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Apportionment_NEW\Tools and Forms\"/>
    </mc:Choice>
  </mc:AlternateContent>
  <xr:revisionPtr revIDLastSave="0" documentId="13_ncr:1_{E3C09339-4AE4-4DA2-A3E0-C97D5DB020FB}" xr6:coauthVersionLast="47" xr6:coauthVersionMax="47" xr10:uidLastSave="{00000000-0000-0000-0000-000000000000}"/>
  <bookViews>
    <workbookView xWindow="29970" yWindow="855" windowWidth="27495" windowHeight="13470" tabRatio="935" activeTab="2" xr2:uid="{00000000-000D-0000-FFFF-FFFF00000000}"/>
  </bookViews>
  <sheets>
    <sheet name="Please Read Instructions" sheetId="29" r:id="rId1"/>
    <sheet name="CCDDD" sheetId="26" state="hidden" r:id="rId2"/>
    <sheet name="Fund Balance Summary" sheetId="24" r:id="rId3"/>
    <sheet name="ALLOC" sheetId="28" state="hidden" r:id="rId4"/>
    <sheet name="Indirects" sheetId="27" state="hidden" r:id="rId5"/>
    <sheet name="GL 810 Restricted" sheetId="2" r:id="rId6"/>
    <sheet name="GL 815 Restricted" sheetId="3" r:id="rId7"/>
    <sheet name="GL 819 Restricted" sheetId="34" r:id="rId8"/>
    <sheet name="GL 821 Restricted" sheetId="4" r:id="rId9"/>
    <sheet name="PLD Allocation" sheetId="50" state="hidden" r:id="rId10"/>
    <sheet name="1191 PLD 34 Annual Detail" sheetId="53" state="hidden" r:id="rId11"/>
    <sheet name="GL 823 Restricted" sheetId="56" r:id="rId12"/>
    <sheet name="GL 825 Restricted" sheetId="33" r:id="rId13"/>
    <sheet name="GL 828 Restricted" sheetId="31" r:id="rId14"/>
    <sheet name="Food Svc Carryover" sheetId="32" state="hidden" r:id="rId15"/>
    <sheet name="Sheet1" sheetId="60" state="hidden" r:id="rId16"/>
    <sheet name="GL 830 Restricted" sheetId="5" r:id="rId17"/>
    <sheet name="GL 835 Restricted" sheetId="6" r:id="rId18"/>
    <sheet name="GL 840 Nonspendable" sheetId="1" r:id="rId19"/>
    <sheet name="GL 845 Restricted" sheetId="7" r:id="rId20"/>
    <sheet name="GL 850 Restricted" sheetId="8" r:id="rId21"/>
    <sheet name="GL 855 Nonspendable" sheetId="9" r:id="rId22"/>
    <sheet name="GL 861 CPF Restricted" sheetId="10" r:id="rId23"/>
    <sheet name="GL 862 CPF Restricted" sheetId="11" r:id="rId24"/>
    <sheet name="GL 863 CPF Restricted" sheetId="12" r:id="rId25"/>
    <sheet name="GL 864 CPF Restricted" sheetId="13" r:id="rId26"/>
    <sheet name="GL 865 CPF Restricted" sheetId="14" r:id="rId27"/>
    <sheet name="GL 866 CPF Restricted" sheetId="15" r:id="rId28"/>
    <sheet name="GL 867 CPF Restricted" sheetId="16" r:id="rId29"/>
    <sheet name="GL 868 CPF Restricted" sheetId="59" r:id="rId30"/>
    <sheet name="GL 869 CPF Restricted" sheetId="17" r:id="rId31"/>
    <sheet name="GL 870 Committed" sheetId="18" r:id="rId32"/>
    <sheet name="GL 872 Committed" sheetId="19" r:id="rId33"/>
    <sheet name="GL 873 Committed" sheetId="55" r:id="rId34"/>
    <sheet name="GL 875 Assigned" sheetId="20" r:id="rId35"/>
    <sheet name="GL 884 Assigned" sheetId="21" r:id="rId36"/>
    <sheet name="GL 888 Assigned" sheetId="25" r:id="rId37"/>
    <sheet name="GL 889 Assigned" sheetId="22" r:id="rId38"/>
    <sheet name="GL 890 Unassigned" sheetId="23" r:id="rId39"/>
    <sheet name="GL 891 Unassigned MFBP" sheetId="38" r:id="rId40"/>
    <sheet name="Journal Entries" sheetId="30" r:id="rId41"/>
  </sheets>
  <definedNames>
    <definedName name="_xlnm._FilterDatabase" localSheetId="2" hidden="1">'Fund Balance Summary'!$A$1:$B$2</definedName>
    <definedName name="DISNAME">ALLOC!$C$7:$C$336</definedName>
    <definedName name="disnameA">ALLOC!$A$7:$A$336</definedName>
    <definedName name="_xlnm.Print_Area" localSheetId="2">'Fund Balance Summary'!$A$1:$O$57</definedName>
    <definedName name="_xlnm.Print_Area" localSheetId="8">'GL 821 Restricted'!$A$70:$C$90</definedName>
    <definedName name="_xlnm.Print_Area" localSheetId="11">'GL 823 Restricted'!$A$1:$G$23</definedName>
    <definedName name="_xlnm.Print_Area" localSheetId="13">'GL 828 Restricted'!$A$1:$F$47</definedName>
    <definedName name="_xlnm.Print_Area" localSheetId="0">'Please Read Instructions'!$B$2:$B$28</definedName>
    <definedName name="solver_eng" localSheetId="0" hidden="1">1</definedName>
    <definedName name="solver_neg" localSheetId="0" hidden="1">1</definedName>
    <definedName name="solver_num" localSheetId="0" hidden="1">0</definedName>
    <definedName name="solver_opt" localSheetId="0" hidden="1">'Please Read Instructions'!$B$2</definedName>
    <definedName name="solver_typ" localSheetId="0" hidden="1">1</definedName>
    <definedName name="solver_val" localSheetId="0" hidden="1">0</definedName>
    <definedName name="solver_ver" localSheetId="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 i="53" l="1"/>
  <c r="D40" i="33" l="1"/>
  <c r="C40" i="33"/>
  <c r="B40" i="33"/>
  <c r="E40" i="33" l="1"/>
  <c r="E6" i="33" l="1"/>
  <c r="B17" i="33"/>
  <c r="B42" i="33" s="1"/>
  <c r="C17" i="33"/>
  <c r="C42" i="33" s="1"/>
  <c r="D17" i="33"/>
  <c r="D42" i="33" s="1"/>
  <c r="C8" i="59"/>
  <c r="G4" i="60"/>
  <c r="Q4" i="32"/>
  <c r="I61" i="4"/>
  <c r="I56" i="4"/>
  <c r="AA336" i="60"/>
  <c r="AA335" i="60"/>
  <c r="AA334" i="60"/>
  <c r="AA333" i="60"/>
  <c r="AA332" i="60"/>
  <c r="AA331" i="60"/>
  <c r="AA330" i="60"/>
  <c r="AA329" i="60"/>
  <c r="AA328" i="60"/>
  <c r="AA327" i="60"/>
  <c r="AA326" i="60"/>
  <c r="AA325" i="60"/>
  <c r="AA324" i="60"/>
  <c r="AA323" i="60"/>
  <c r="AA322" i="60"/>
  <c r="AA321" i="60"/>
  <c r="AA320" i="60"/>
  <c r="AA319" i="60"/>
  <c r="AA318" i="60"/>
  <c r="AA317" i="60"/>
  <c r="AA316" i="60"/>
  <c r="AA315" i="60"/>
  <c r="AA314" i="60"/>
  <c r="AA313" i="60"/>
  <c r="AA312" i="60"/>
  <c r="AA311" i="60"/>
  <c r="AA310" i="60"/>
  <c r="AA309" i="60"/>
  <c r="AA308" i="60"/>
  <c r="AA307" i="60"/>
  <c r="AA306" i="60"/>
  <c r="AA305" i="60"/>
  <c r="AA304" i="60"/>
  <c r="AA303" i="60"/>
  <c r="AA302" i="60"/>
  <c r="AA301" i="60"/>
  <c r="AA300" i="60"/>
  <c r="AA299" i="60"/>
  <c r="AA298" i="60"/>
  <c r="AA297" i="60"/>
  <c r="AA296" i="60"/>
  <c r="AA295" i="60"/>
  <c r="AA294" i="60"/>
  <c r="AA293" i="60"/>
  <c r="AA292" i="60"/>
  <c r="AA291" i="60"/>
  <c r="AA290" i="60"/>
  <c r="AA289" i="60"/>
  <c r="AA288" i="60"/>
  <c r="AA287" i="60"/>
  <c r="AA286" i="60"/>
  <c r="AA285" i="60"/>
  <c r="AA284" i="60"/>
  <c r="AA283" i="60"/>
  <c r="AA282" i="60"/>
  <c r="AA281" i="60"/>
  <c r="AA280" i="60"/>
  <c r="AA279" i="60"/>
  <c r="AA278" i="60"/>
  <c r="AA277" i="60"/>
  <c r="AA276" i="60"/>
  <c r="AA275" i="60"/>
  <c r="AA274" i="60"/>
  <c r="AA273" i="60"/>
  <c r="AA272" i="60"/>
  <c r="AA271" i="60"/>
  <c r="AA270" i="60"/>
  <c r="AA269" i="60"/>
  <c r="AA268" i="60"/>
  <c r="AA267" i="60"/>
  <c r="AA266" i="60"/>
  <c r="AA265" i="60"/>
  <c r="AA264" i="60"/>
  <c r="AA263" i="60"/>
  <c r="AA262" i="60"/>
  <c r="AA261" i="60"/>
  <c r="AA260" i="60"/>
  <c r="AA259" i="60"/>
  <c r="AA258" i="60"/>
  <c r="AA257" i="60"/>
  <c r="AA256" i="60"/>
  <c r="AA255" i="60"/>
  <c r="AA254" i="60"/>
  <c r="AA253" i="60"/>
  <c r="AA252" i="60"/>
  <c r="AA251" i="60"/>
  <c r="AA250" i="60"/>
  <c r="AA249" i="60"/>
  <c r="AA248" i="60"/>
  <c r="AA247" i="60"/>
  <c r="AA246" i="60"/>
  <c r="AA245" i="60"/>
  <c r="AA244" i="60"/>
  <c r="AA243" i="60"/>
  <c r="AA242" i="60"/>
  <c r="AA241" i="60"/>
  <c r="AA240" i="60"/>
  <c r="AA239" i="60"/>
  <c r="AA238" i="60"/>
  <c r="AA237" i="60"/>
  <c r="AA236" i="60"/>
  <c r="AA235" i="60"/>
  <c r="AA234" i="60"/>
  <c r="AA233" i="60"/>
  <c r="AA232" i="60"/>
  <c r="AA231" i="60"/>
  <c r="AA230" i="60"/>
  <c r="AA229" i="60"/>
  <c r="AA228" i="60"/>
  <c r="AA227" i="60"/>
  <c r="AA226" i="60"/>
  <c r="AA225" i="60"/>
  <c r="AA224" i="60"/>
  <c r="AA223" i="60"/>
  <c r="AA222" i="60"/>
  <c r="AA221" i="60"/>
  <c r="AA220" i="60"/>
  <c r="AA219" i="60"/>
  <c r="AA218" i="60"/>
  <c r="AA217" i="60"/>
  <c r="AA216" i="60"/>
  <c r="AA215" i="60"/>
  <c r="AA214" i="60"/>
  <c r="AA213" i="60"/>
  <c r="AA212" i="60"/>
  <c r="AA211" i="60"/>
  <c r="AA210" i="60"/>
  <c r="AA209" i="60"/>
  <c r="AA208" i="60"/>
  <c r="AA207" i="60"/>
  <c r="AA206" i="60"/>
  <c r="AA205" i="60"/>
  <c r="AA204" i="60"/>
  <c r="AA203" i="60"/>
  <c r="AA202" i="60"/>
  <c r="AA201" i="60"/>
  <c r="AA200" i="60"/>
  <c r="AA199" i="60"/>
  <c r="AA198" i="60"/>
  <c r="AA197" i="60"/>
  <c r="AA196" i="60"/>
  <c r="AA195" i="60"/>
  <c r="AA194" i="60"/>
  <c r="AA193" i="60"/>
  <c r="AA192" i="60"/>
  <c r="AA191" i="60"/>
  <c r="AA190" i="60"/>
  <c r="AA189" i="60"/>
  <c r="AA188" i="60"/>
  <c r="AA187" i="60"/>
  <c r="AA186" i="60"/>
  <c r="AA185" i="60"/>
  <c r="AA184" i="60"/>
  <c r="AA183" i="60"/>
  <c r="AA182" i="60"/>
  <c r="AA181" i="60"/>
  <c r="AA180" i="60"/>
  <c r="AA179" i="60"/>
  <c r="AA178" i="60"/>
  <c r="AA177" i="60"/>
  <c r="AA176" i="60"/>
  <c r="AA175" i="60"/>
  <c r="AA174" i="60"/>
  <c r="AA173" i="60"/>
  <c r="AA172" i="60"/>
  <c r="AA171" i="60"/>
  <c r="AA170" i="60"/>
  <c r="AA169" i="60"/>
  <c r="AA168" i="60"/>
  <c r="AA167" i="60"/>
  <c r="AA166" i="60"/>
  <c r="AA165" i="60"/>
  <c r="AA164" i="60"/>
  <c r="AA163" i="60"/>
  <c r="AA162" i="60"/>
  <c r="AA161" i="60"/>
  <c r="AA160" i="60"/>
  <c r="AA159" i="60"/>
  <c r="AA158" i="60"/>
  <c r="AA157" i="60"/>
  <c r="AA156" i="60"/>
  <c r="AA155" i="60"/>
  <c r="AA154" i="60"/>
  <c r="AA153" i="60"/>
  <c r="AA152" i="60"/>
  <c r="AA151" i="60"/>
  <c r="AA150" i="60"/>
  <c r="AA149" i="60"/>
  <c r="AA148" i="60"/>
  <c r="AA147" i="60"/>
  <c r="AA146" i="60"/>
  <c r="AA145" i="60"/>
  <c r="AA144" i="60"/>
  <c r="AA143" i="60"/>
  <c r="AA142" i="60"/>
  <c r="AA141" i="60"/>
  <c r="AA140" i="60"/>
  <c r="AA139" i="60"/>
  <c r="AA138" i="60"/>
  <c r="AA137" i="60"/>
  <c r="AA136" i="60"/>
  <c r="AA135" i="60"/>
  <c r="AA134" i="60"/>
  <c r="AA133" i="60"/>
  <c r="AA132" i="60"/>
  <c r="AA131" i="60"/>
  <c r="AA130" i="60"/>
  <c r="AA129" i="60"/>
  <c r="AA128" i="60"/>
  <c r="AA127" i="60"/>
  <c r="AA126" i="60"/>
  <c r="AA125" i="60"/>
  <c r="AA124" i="60"/>
  <c r="AA123" i="60"/>
  <c r="AA122" i="60"/>
  <c r="AA121" i="60"/>
  <c r="AA120" i="60"/>
  <c r="AA119" i="60"/>
  <c r="AA118" i="60"/>
  <c r="AA117" i="60"/>
  <c r="AA116" i="60"/>
  <c r="AA115" i="60"/>
  <c r="AA114" i="60"/>
  <c r="AA113" i="60"/>
  <c r="AA112" i="60"/>
  <c r="AA111" i="60"/>
  <c r="AA110" i="60"/>
  <c r="AA109" i="60"/>
  <c r="AA108" i="60"/>
  <c r="AA107" i="60"/>
  <c r="AA106" i="60"/>
  <c r="AA105" i="60"/>
  <c r="AA104" i="60"/>
  <c r="AA103" i="60"/>
  <c r="AA102" i="60"/>
  <c r="AA101" i="60"/>
  <c r="AA100" i="60"/>
  <c r="AA99" i="60"/>
  <c r="AA98" i="60"/>
  <c r="AA97" i="60"/>
  <c r="AA96" i="60"/>
  <c r="AA95" i="60"/>
  <c r="AA94" i="60"/>
  <c r="AA93" i="60"/>
  <c r="AA92" i="60"/>
  <c r="AA91" i="60"/>
  <c r="AA90" i="60"/>
  <c r="AA89" i="60"/>
  <c r="AA88" i="60"/>
  <c r="AA87" i="60"/>
  <c r="AA86" i="60"/>
  <c r="AA85" i="60"/>
  <c r="AA84" i="60"/>
  <c r="AA83" i="60"/>
  <c r="AA82" i="60"/>
  <c r="AA81" i="60"/>
  <c r="AA80" i="60"/>
  <c r="AA79" i="60"/>
  <c r="AA78" i="60"/>
  <c r="AA77" i="60"/>
  <c r="AA76" i="60"/>
  <c r="AA75" i="60"/>
  <c r="AA74" i="60"/>
  <c r="AA73" i="60"/>
  <c r="AA72" i="60"/>
  <c r="AA71" i="60"/>
  <c r="AA70" i="60"/>
  <c r="AA69" i="60"/>
  <c r="AA68" i="60"/>
  <c r="AA67" i="60"/>
  <c r="AA66" i="60"/>
  <c r="AA65" i="60"/>
  <c r="AA64" i="60"/>
  <c r="AA63" i="60"/>
  <c r="AA62" i="60"/>
  <c r="AA61" i="60"/>
  <c r="AA60" i="60"/>
  <c r="AA59" i="60"/>
  <c r="AA58" i="60"/>
  <c r="AA57" i="60"/>
  <c r="AA56" i="60"/>
  <c r="AA55" i="60"/>
  <c r="AA54" i="60"/>
  <c r="AA53" i="60"/>
  <c r="AA52" i="60"/>
  <c r="AA51" i="60"/>
  <c r="AA50" i="60"/>
  <c r="AA49" i="60"/>
  <c r="AA48" i="60"/>
  <c r="AA47" i="60"/>
  <c r="AA46" i="60"/>
  <c r="AA45" i="60"/>
  <c r="AA44" i="60"/>
  <c r="AA43" i="60"/>
  <c r="AA42" i="60"/>
  <c r="AA41" i="60"/>
  <c r="AA40" i="60"/>
  <c r="AA39" i="60"/>
  <c r="AA38" i="60"/>
  <c r="AA37" i="60"/>
  <c r="AA36" i="60"/>
  <c r="AA35" i="60"/>
  <c r="AA34" i="60"/>
  <c r="AA33" i="60"/>
  <c r="AA32" i="60"/>
  <c r="AA31" i="60"/>
  <c r="AA30" i="60"/>
  <c r="AA29" i="60"/>
  <c r="AA28" i="60"/>
  <c r="AA27" i="60"/>
  <c r="AA26" i="60"/>
  <c r="AA25" i="60"/>
  <c r="AA24" i="60"/>
  <c r="AA23" i="60"/>
  <c r="AA22" i="60"/>
  <c r="AA21" i="60"/>
  <c r="AA20" i="60"/>
  <c r="AA19" i="60"/>
  <c r="AA18" i="60"/>
  <c r="AA17" i="60"/>
  <c r="AA16" i="60"/>
  <c r="AA15" i="60"/>
  <c r="AA14" i="60"/>
  <c r="AA13" i="60"/>
  <c r="AA12" i="60"/>
  <c r="AA11" i="60"/>
  <c r="AA10" i="60"/>
  <c r="AA9" i="60"/>
  <c r="AA8" i="60"/>
  <c r="AA7" i="60"/>
  <c r="B1" i="24"/>
  <c r="E17" i="33" l="1"/>
  <c r="K328" i="26"/>
  <c r="K78" i="26"/>
  <c r="K165" i="26"/>
  <c r="K315" i="26"/>
  <c r="K307" i="26"/>
  <c r="K331" i="26"/>
  <c r="K101" i="26"/>
  <c r="K108" i="26"/>
  <c r="K291" i="26"/>
  <c r="K281" i="26"/>
  <c r="K100" i="26"/>
  <c r="K147" i="26"/>
  <c r="K249" i="26"/>
  <c r="K65" i="26"/>
  <c r="K329" i="26"/>
  <c r="K171" i="26"/>
  <c r="K297" i="26"/>
  <c r="K187" i="26"/>
  <c r="K267" i="26"/>
  <c r="K243" i="26"/>
  <c r="K72" i="26"/>
  <c r="K44" i="26"/>
  <c r="K273" i="26"/>
  <c r="K96" i="26"/>
  <c r="K205" i="26"/>
  <c r="K42" i="26"/>
  <c r="K220" i="26"/>
  <c r="K286" i="26"/>
  <c r="K137" i="26"/>
  <c r="K132" i="26"/>
  <c r="K144" i="26"/>
  <c r="K316" i="26"/>
  <c r="K166" i="26"/>
  <c r="K177" i="26"/>
  <c r="K157" i="26"/>
  <c r="K146" i="26"/>
  <c r="K16" i="26"/>
  <c r="K91" i="26"/>
  <c r="K12" i="26"/>
  <c r="K217" i="26"/>
  <c r="K305" i="26"/>
  <c r="K46" i="26"/>
  <c r="K292" i="26"/>
  <c r="K43" i="26"/>
  <c r="K306" i="26"/>
  <c r="K63" i="26"/>
  <c r="K303" i="26"/>
  <c r="K302" i="26"/>
  <c r="K80" i="26"/>
  <c r="K287" i="26"/>
  <c r="K240" i="26"/>
  <c r="K106" i="26"/>
  <c r="K228" i="26"/>
  <c r="K193" i="26"/>
  <c r="K296" i="26"/>
  <c r="K183" i="26"/>
  <c r="K330" i="26"/>
  <c r="K126" i="26"/>
  <c r="K184" i="26"/>
  <c r="K151" i="26"/>
  <c r="K45" i="26"/>
  <c r="K89" i="26"/>
  <c r="K276" i="26"/>
  <c r="K141" i="26"/>
  <c r="K47" i="26"/>
  <c r="K299" i="26"/>
  <c r="K312" i="26"/>
  <c r="K36" i="26"/>
  <c r="K196" i="26"/>
  <c r="K218" i="26"/>
  <c r="K143" i="26"/>
  <c r="K265" i="26"/>
  <c r="K77" i="26"/>
  <c r="K238" i="26"/>
  <c r="K61" i="26"/>
  <c r="K314" i="26"/>
  <c r="K138" i="26"/>
  <c r="K64" i="26"/>
  <c r="K35" i="26"/>
  <c r="K95" i="26"/>
  <c r="K32" i="26"/>
  <c r="K154" i="26"/>
  <c r="K155" i="26"/>
  <c r="K176" i="26"/>
  <c r="K104" i="26"/>
  <c r="K198" i="26"/>
  <c r="K264" i="26"/>
  <c r="K268" i="26"/>
  <c r="K102" i="26"/>
  <c r="K58" i="26"/>
  <c r="K275" i="26"/>
  <c r="K136" i="26"/>
  <c r="K257" i="26"/>
  <c r="K160" i="26"/>
  <c r="K118" i="26"/>
  <c r="K152" i="26"/>
  <c r="K6" i="26"/>
  <c r="K69" i="26"/>
  <c r="K170" i="26"/>
  <c r="K134" i="26"/>
  <c r="K87" i="26"/>
  <c r="K274" i="26"/>
  <c r="K159" i="26"/>
  <c r="K167" i="26"/>
  <c r="K255" i="26"/>
  <c r="K85" i="26"/>
  <c r="K168" i="26"/>
  <c r="K49" i="26"/>
  <c r="K130" i="26"/>
  <c r="K5" i="26"/>
  <c r="K248" i="26"/>
  <c r="K22" i="26"/>
  <c r="K48" i="26"/>
  <c r="K245" i="26"/>
  <c r="K142" i="26"/>
  <c r="K197" i="26"/>
  <c r="K252" i="26"/>
  <c r="K278" i="26"/>
  <c r="K114" i="26"/>
  <c r="K37" i="26"/>
  <c r="K92" i="26"/>
  <c r="K318" i="26"/>
  <c r="K68" i="26"/>
  <c r="K14" i="26"/>
  <c r="K94" i="26"/>
  <c r="K211" i="26"/>
  <c r="K41" i="26"/>
  <c r="K202" i="26"/>
  <c r="K62" i="26"/>
  <c r="K280" i="26"/>
  <c r="K298" i="26"/>
  <c r="K25" i="26"/>
  <c r="K283" i="26"/>
  <c r="K221" i="26"/>
  <c r="K272" i="26"/>
  <c r="K250" i="26"/>
  <c r="K56" i="26"/>
  <c r="K175" i="26"/>
  <c r="K182" i="26"/>
  <c r="K322" i="26"/>
  <c r="K173" i="26"/>
  <c r="K260" i="26"/>
  <c r="K231" i="26"/>
  <c r="K189" i="26"/>
  <c r="K206" i="26"/>
  <c r="K201" i="26"/>
  <c r="K290" i="26"/>
  <c r="K158" i="26"/>
  <c r="K208" i="26"/>
  <c r="K19" i="26"/>
  <c r="K192" i="26"/>
  <c r="K194" i="26"/>
  <c r="K174" i="26"/>
  <c r="K111" i="26"/>
  <c r="K181" i="26"/>
  <c r="K213" i="26"/>
  <c r="K150" i="26"/>
  <c r="K253" i="26"/>
  <c r="K103" i="26"/>
  <c r="K263" i="26"/>
  <c r="K59" i="26"/>
  <c r="K107" i="26"/>
  <c r="K321" i="26"/>
  <c r="K191" i="26"/>
  <c r="K54" i="26"/>
  <c r="K4" i="26"/>
  <c r="K232" i="26"/>
  <c r="K266" i="26"/>
  <c r="K33" i="26"/>
  <c r="K317" i="26"/>
  <c r="K34" i="26"/>
  <c r="K210" i="26"/>
  <c r="K195" i="26"/>
  <c r="K289" i="26"/>
  <c r="K17" i="26"/>
  <c r="K324" i="26"/>
  <c r="K3" i="26"/>
  <c r="K162" i="26"/>
  <c r="K164" i="26"/>
  <c r="K86" i="26"/>
  <c r="K172" i="26"/>
  <c r="K145" i="26"/>
  <c r="K319" i="26"/>
  <c r="K98" i="26"/>
  <c r="K242" i="26"/>
  <c r="K129" i="26"/>
  <c r="K97" i="26"/>
  <c r="K294" i="26"/>
  <c r="K30" i="26"/>
  <c r="K15" i="26"/>
  <c r="K326" i="26"/>
  <c r="K40" i="26"/>
  <c r="K128" i="26"/>
  <c r="K70" i="26"/>
  <c r="K288" i="26"/>
  <c r="K67" i="26"/>
  <c r="K57" i="26"/>
  <c r="K282" i="26"/>
  <c r="K29" i="26"/>
  <c r="K81" i="26"/>
  <c r="K261" i="26"/>
  <c r="K31" i="26"/>
  <c r="K180" i="26"/>
  <c r="K9" i="26"/>
  <c r="K18" i="26"/>
  <c r="K113" i="26"/>
  <c r="K320" i="26"/>
  <c r="K116" i="26"/>
  <c r="K115" i="26"/>
  <c r="K230" i="26"/>
  <c r="K229" i="26"/>
  <c r="K277" i="26"/>
  <c r="K169" i="26"/>
  <c r="K279" i="26"/>
  <c r="K82" i="26"/>
  <c r="K185" i="26"/>
  <c r="K125" i="26"/>
  <c r="K135" i="26"/>
  <c r="K254" i="26"/>
  <c r="K119" i="26"/>
  <c r="K258" i="26"/>
  <c r="K285" i="26"/>
  <c r="K8" i="26"/>
  <c r="K239" i="26"/>
  <c r="K295" i="26"/>
  <c r="K11" i="26"/>
  <c r="K256" i="26"/>
  <c r="K233" i="26"/>
  <c r="K301" i="26"/>
  <c r="K109" i="26"/>
  <c r="K156" i="26"/>
  <c r="K74" i="26"/>
  <c r="K90" i="26"/>
  <c r="K247" i="26"/>
  <c r="K216" i="26"/>
  <c r="K38" i="26"/>
  <c r="K223" i="26"/>
  <c r="K21" i="26"/>
  <c r="K222" i="26"/>
  <c r="K262" i="26"/>
  <c r="K52" i="26"/>
  <c r="K186" i="26"/>
  <c r="K188" i="26"/>
  <c r="K190" i="26"/>
  <c r="K325" i="26"/>
  <c r="K246" i="26"/>
  <c r="K50" i="26"/>
  <c r="K226" i="26"/>
  <c r="K284" i="26"/>
  <c r="K71" i="26"/>
  <c r="K161" i="26"/>
  <c r="K153" i="26"/>
  <c r="K178" i="26"/>
  <c r="K112" i="26"/>
  <c r="K2" i="26"/>
  <c r="K99" i="26"/>
  <c r="K323" i="26"/>
  <c r="K75" i="26"/>
  <c r="K163" i="26"/>
  <c r="K244" i="26"/>
  <c r="K259" i="26"/>
  <c r="K51" i="26"/>
  <c r="K308" i="26"/>
  <c r="K227" i="26"/>
  <c r="K304" i="26"/>
  <c r="K214" i="26"/>
  <c r="K83" i="26"/>
  <c r="K120" i="26"/>
  <c r="K269" i="26"/>
  <c r="K179" i="26"/>
  <c r="K207" i="26"/>
  <c r="K234" i="26"/>
  <c r="K117" i="26"/>
  <c r="K199" i="26"/>
  <c r="K55" i="26"/>
  <c r="K122" i="26"/>
  <c r="K311" i="26"/>
  <c r="K148" i="26"/>
  <c r="K66" i="26"/>
  <c r="K204" i="26"/>
  <c r="K20" i="26"/>
  <c r="K200" i="26"/>
  <c r="K123" i="26"/>
  <c r="K327" i="26"/>
  <c r="K121" i="26"/>
  <c r="K28" i="26"/>
  <c r="K293" i="26"/>
  <c r="K140" i="26"/>
  <c r="K270" i="26"/>
  <c r="K60" i="26"/>
  <c r="K241" i="26"/>
  <c r="K79" i="26"/>
  <c r="K76" i="26"/>
  <c r="K236" i="26"/>
  <c r="K10" i="26"/>
  <c r="K23" i="26"/>
  <c r="K88" i="26"/>
  <c r="K309" i="26"/>
  <c r="K105" i="26"/>
  <c r="K131" i="26"/>
  <c r="K110" i="26"/>
  <c r="K300" i="26"/>
  <c r="K224" i="26"/>
  <c r="K225" i="26"/>
  <c r="K24" i="26"/>
  <c r="K251" i="26"/>
  <c r="K53" i="26"/>
  <c r="K215" i="26"/>
  <c r="K212" i="26"/>
  <c r="K84" i="26"/>
  <c r="K313" i="26"/>
  <c r="K26" i="26"/>
  <c r="K27" i="26"/>
  <c r="K133" i="26"/>
  <c r="K73" i="26"/>
  <c r="K271" i="26"/>
  <c r="K149" i="26"/>
  <c r="K235" i="26"/>
  <c r="K219" i="26"/>
  <c r="K93" i="26"/>
  <c r="K127" i="26"/>
  <c r="K209" i="26"/>
  <c r="K124" i="26"/>
  <c r="K7" i="26"/>
  <c r="K39" i="26"/>
  <c r="K237" i="26"/>
  <c r="K139" i="26"/>
  <c r="K203" i="26"/>
  <c r="K13" i="26"/>
  <c r="K310" i="26"/>
  <c r="N328" i="26"/>
  <c r="N78" i="26"/>
  <c r="N165" i="26"/>
  <c r="N315" i="26"/>
  <c r="N307" i="26"/>
  <c r="N331" i="26"/>
  <c r="N101" i="26"/>
  <c r="N108" i="26"/>
  <c r="N291" i="26"/>
  <c r="N281" i="26"/>
  <c r="N100" i="26"/>
  <c r="N147" i="26"/>
  <c r="N249" i="26"/>
  <c r="N65" i="26"/>
  <c r="N329" i="26"/>
  <c r="N171" i="26"/>
  <c r="N297" i="26"/>
  <c r="N187" i="26"/>
  <c r="N267" i="26"/>
  <c r="N243" i="26"/>
  <c r="N72" i="26"/>
  <c r="N44" i="26"/>
  <c r="N273" i="26"/>
  <c r="N96" i="26"/>
  <c r="N205" i="26"/>
  <c r="N42" i="26"/>
  <c r="N220" i="26"/>
  <c r="N286" i="26"/>
  <c r="N137" i="26"/>
  <c r="N132" i="26"/>
  <c r="N144" i="26"/>
  <c r="N316" i="26"/>
  <c r="N166" i="26"/>
  <c r="N177" i="26"/>
  <c r="N157" i="26"/>
  <c r="N146" i="26"/>
  <c r="N16" i="26"/>
  <c r="N91" i="26"/>
  <c r="N12" i="26"/>
  <c r="N217" i="26"/>
  <c r="N305" i="26"/>
  <c r="N46" i="26"/>
  <c r="N292" i="26"/>
  <c r="N43" i="26"/>
  <c r="N306" i="26"/>
  <c r="N63" i="26"/>
  <c r="N303" i="26"/>
  <c r="N302" i="26"/>
  <c r="N80" i="26"/>
  <c r="N287" i="26"/>
  <c r="N240" i="26"/>
  <c r="N106" i="26"/>
  <c r="N228" i="26"/>
  <c r="N193" i="26"/>
  <c r="N296" i="26"/>
  <c r="N183" i="26"/>
  <c r="N330" i="26"/>
  <c r="N126" i="26"/>
  <c r="N184" i="26"/>
  <c r="N151" i="26"/>
  <c r="N45" i="26"/>
  <c r="N89" i="26"/>
  <c r="N276" i="26"/>
  <c r="N141" i="26"/>
  <c r="N47" i="26"/>
  <c r="N299" i="26"/>
  <c r="N312" i="26"/>
  <c r="N36" i="26"/>
  <c r="N196" i="26"/>
  <c r="N218" i="26"/>
  <c r="N143" i="26"/>
  <c r="N265" i="26"/>
  <c r="N77" i="26"/>
  <c r="N238" i="26"/>
  <c r="N61" i="26"/>
  <c r="N314" i="26"/>
  <c r="N138" i="26"/>
  <c r="N64" i="26"/>
  <c r="N35" i="26"/>
  <c r="N95" i="26"/>
  <c r="N32" i="26"/>
  <c r="N154" i="26"/>
  <c r="N155" i="26"/>
  <c r="N176" i="26"/>
  <c r="N104" i="26"/>
  <c r="N198" i="26"/>
  <c r="N264" i="26"/>
  <c r="N268" i="26"/>
  <c r="N102" i="26"/>
  <c r="N58" i="26"/>
  <c r="N275" i="26"/>
  <c r="N136" i="26"/>
  <c r="N257" i="26"/>
  <c r="N160" i="26"/>
  <c r="N118" i="26"/>
  <c r="N152" i="26"/>
  <c r="N6" i="26"/>
  <c r="N69" i="26"/>
  <c r="N170" i="26"/>
  <c r="N134" i="26"/>
  <c r="N87" i="26"/>
  <c r="N274" i="26"/>
  <c r="N159" i="26"/>
  <c r="N167" i="26"/>
  <c r="N255" i="26"/>
  <c r="N85" i="26"/>
  <c r="N168" i="26"/>
  <c r="N49" i="26"/>
  <c r="N130" i="26"/>
  <c r="N5" i="26"/>
  <c r="N248" i="26"/>
  <c r="N22" i="26"/>
  <c r="N48" i="26"/>
  <c r="N245" i="26"/>
  <c r="N142" i="26"/>
  <c r="N197" i="26"/>
  <c r="N252" i="26"/>
  <c r="N278" i="26"/>
  <c r="N114" i="26"/>
  <c r="N37" i="26"/>
  <c r="N92" i="26"/>
  <c r="N318" i="26"/>
  <c r="N68" i="26"/>
  <c r="N14" i="26"/>
  <c r="N94" i="26"/>
  <c r="N211" i="26"/>
  <c r="N41" i="26"/>
  <c r="N202" i="26"/>
  <c r="N62" i="26"/>
  <c r="N280" i="26"/>
  <c r="N298" i="26"/>
  <c r="N25" i="26"/>
  <c r="N283" i="26"/>
  <c r="N221" i="26"/>
  <c r="N272" i="26"/>
  <c r="N250" i="26"/>
  <c r="N56" i="26"/>
  <c r="N175" i="26"/>
  <c r="N182" i="26"/>
  <c r="N322" i="26"/>
  <c r="N173" i="26"/>
  <c r="N260" i="26"/>
  <c r="N231" i="26"/>
  <c r="N189" i="26"/>
  <c r="N206" i="26"/>
  <c r="N201" i="26"/>
  <c r="N290" i="26"/>
  <c r="N158" i="26"/>
  <c r="N208" i="26"/>
  <c r="N19" i="26"/>
  <c r="N192" i="26"/>
  <c r="N194" i="26"/>
  <c r="N174" i="26"/>
  <c r="N111" i="26"/>
  <c r="N181" i="26"/>
  <c r="N213" i="26"/>
  <c r="N150" i="26"/>
  <c r="N253" i="26"/>
  <c r="N103" i="26"/>
  <c r="N263" i="26"/>
  <c r="N59" i="26"/>
  <c r="N107" i="26"/>
  <c r="N321" i="26"/>
  <c r="N191" i="26"/>
  <c r="N54" i="26"/>
  <c r="N4" i="26"/>
  <c r="N232" i="26"/>
  <c r="N266" i="26"/>
  <c r="N33" i="26"/>
  <c r="N317" i="26"/>
  <c r="N34" i="26"/>
  <c r="N210" i="26"/>
  <c r="N195" i="26"/>
  <c r="N289" i="26"/>
  <c r="N17" i="26"/>
  <c r="N324" i="26"/>
  <c r="N3" i="26"/>
  <c r="N162" i="26"/>
  <c r="N164" i="26"/>
  <c r="N86" i="26"/>
  <c r="N172" i="26"/>
  <c r="N145" i="26"/>
  <c r="N319" i="26"/>
  <c r="N98" i="26"/>
  <c r="N242" i="26"/>
  <c r="N129" i="26"/>
  <c r="N97" i="26"/>
  <c r="N294" i="26"/>
  <c r="N30" i="26"/>
  <c r="N15" i="26"/>
  <c r="N326" i="26"/>
  <c r="N40" i="26"/>
  <c r="N128" i="26"/>
  <c r="N70" i="26"/>
  <c r="N288" i="26"/>
  <c r="N67" i="26"/>
  <c r="N57" i="26"/>
  <c r="N282" i="26"/>
  <c r="N29" i="26"/>
  <c r="N81" i="26"/>
  <c r="N261" i="26"/>
  <c r="N31" i="26"/>
  <c r="N180" i="26"/>
  <c r="N9" i="26"/>
  <c r="N18" i="26"/>
  <c r="N113" i="26"/>
  <c r="N320" i="26"/>
  <c r="N116" i="26"/>
  <c r="N115" i="26"/>
  <c r="N230" i="26"/>
  <c r="N229" i="26"/>
  <c r="N277" i="26"/>
  <c r="N169" i="26"/>
  <c r="N279" i="26"/>
  <c r="N82" i="26"/>
  <c r="N185" i="26"/>
  <c r="N125" i="26"/>
  <c r="N135" i="26"/>
  <c r="N254" i="26"/>
  <c r="N119" i="26"/>
  <c r="N258" i="26"/>
  <c r="N285" i="26"/>
  <c r="N8" i="26"/>
  <c r="N239" i="26"/>
  <c r="N295" i="26"/>
  <c r="N11" i="26"/>
  <c r="N256" i="26"/>
  <c r="N233" i="26"/>
  <c r="N301" i="26"/>
  <c r="N109" i="26"/>
  <c r="N156" i="26"/>
  <c r="N74" i="26"/>
  <c r="N90" i="26"/>
  <c r="N247" i="26"/>
  <c r="N216" i="26"/>
  <c r="N38" i="26"/>
  <c r="N223" i="26"/>
  <c r="N21" i="26"/>
  <c r="N222" i="26"/>
  <c r="N262" i="26"/>
  <c r="N52" i="26"/>
  <c r="N186" i="26"/>
  <c r="N188" i="26"/>
  <c r="N190" i="26"/>
  <c r="N325" i="26"/>
  <c r="N246" i="26"/>
  <c r="N50" i="26"/>
  <c r="N226" i="26"/>
  <c r="N284" i="26"/>
  <c r="N71" i="26"/>
  <c r="N161" i="26"/>
  <c r="N153" i="26"/>
  <c r="N178" i="26"/>
  <c r="N112" i="26"/>
  <c r="N2" i="26"/>
  <c r="N99" i="26"/>
  <c r="N323" i="26"/>
  <c r="N75" i="26"/>
  <c r="N163" i="26"/>
  <c r="N244" i="26"/>
  <c r="N259" i="26"/>
  <c r="N51" i="26"/>
  <c r="N308" i="26"/>
  <c r="N227" i="26"/>
  <c r="N304" i="26"/>
  <c r="N214" i="26"/>
  <c r="N83" i="26"/>
  <c r="N120" i="26"/>
  <c r="N269" i="26"/>
  <c r="N179" i="26"/>
  <c r="N207" i="26"/>
  <c r="N234" i="26"/>
  <c r="N117" i="26"/>
  <c r="N199" i="26"/>
  <c r="N55" i="26"/>
  <c r="N122" i="26"/>
  <c r="N311" i="26"/>
  <c r="N148" i="26"/>
  <c r="N66" i="26"/>
  <c r="N204" i="26"/>
  <c r="N20" i="26"/>
  <c r="N200" i="26"/>
  <c r="N123" i="26"/>
  <c r="N327" i="26"/>
  <c r="N121" i="26"/>
  <c r="N28" i="26"/>
  <c r="N293" i="26"/>
  <c r="N140" i="26"/>
  <c r="N270" i="26"/>
  <c r="N60" i="26"/>
  <c r="N241" i="26"/>
  <c r="N79" i="26"/>
  <c r="N76" i="26"/>
  <c r="N236" i="26"/>
  <c r="N10" i="26"/>
  <c r="N23" i="26"/>
  <c r="N88" i="26"/>
  <c r="N309" i="26"/>
  <c r="N105" i="26"/>
  <c r="N131" i="26"/>
  <c r="N110" i="26"/>
  <c r="N300" i="26"/>
  <c r="N224" i="26"/>
  <c r="N225" i="26"/>
  <c r="N24" i="26"/>
  <c r="N251" i="26"/>
  <c r="N53" i="26"/>
  <c r="N215" i="26"/>
  <c r="N212" i="26"/>
  <c r="N84" i="26"/>
  <c r="N313" i="26"/>
  <c r="N26" i="26"/>
  <c r="N27" i="26"/>
  <c r="N133" i="26"/>
  <c r="N73" i="26"/>
  <c r="N271" i="26"/>
  <c r="N149" i="26"/>
  <c r="N235" i="26"/>
  <c r="N219" i="26"/>
  <c r="N93" i="26"/>
  <c r="N127" i="26"/>
  <c r="N209" i="26"/>
  <c r="N124" i="26"/>
  <c r="N7" i="26"/>
  <c r="N39" i="26"/>
  <c r="N237" i="26"/>
  <c r="N139" i="26"/>
  <c r="N203" i="26"/>
  <c r="N13" i="26"/>
  <c r="N310" i="26"/>
  <c r="K1" i="26" l="1"/>
  <c r="T336" i="27" l="1"/>
  <c r="S336" i="27"/>
  <c r="T335" i="27"/>
  <c r="S335" i="27"/>
  <c r="T334" i="27"/>
  <c r="S334" i="27"/>
  <c r="T333" i="27"/>
  <c r="S333" i="27"/>
  <c r="T332" i="27"/>
  <c r="S332" i="27"/>
  <c r="T331" i="27"/>
  <c r="S331" i="27"/>
  <c r="T330" i="27"/>
  <c r="S330" i="27"/>
  <c r="T329" i="27"/>
  <c r="S329" i="27"/>
  <c r="T328" i="27"/>
  <c r="S328" i="27"/>
  <c r="T327" i="27"/>
  <c r="S327" i="27"/>
  <c r="T326" i="27"/>
  <c r="S326" i="27"/>
  <c r="T325" i="27"/>
  <c r="S325" i="27"/>
  <c r="T324" i="27"/>
  <c r="S324" i="27"/>
  <c r="T323" i="27"/>
  <c r="S323" i="27"/>
  <c r="T322" i="27"/>
  <c r="S322" i="27"/>
  <c r="T321" i="27"/>
  <c r="S321" i="27"/>
  <c r="T320" i="27"/>
  <c r="S320" i="27"/>
  <c r="T319" i="27"/>
  <c r="S319" i="27"/>
  <c r="T318" i="27"/>
  <c r="S318" i="27"/>
  <c r="T317" i="27"/>
  <c r="S317" i="27"/>
  <c r="T316" i="27"/>
  <c r="S316" i="27"/>
  <c r="T315" i="27"/>
  <c r="S315" i="27"/>
  <c r="T314" i="27"/>
  <c r="S314" i="27"/>
  <c r="T313" i="27"/>
  <c r="S313" i="27"/>
  <c r="T312" i="27"/>
  <c r="S312" i="27"/>
  <c r="T311" i="27"/>
  <c r="S311" i="27"/>
  <c r="T310" i="27"/>
  <c r="S310" i="27"/>
  <c r="T309" i="27"/>
  <c r="S309" i="27"/>
  <c r="T308" i="27"/>
  <c r="S308" i="27"/>
  <c r="T307" i="27"/>
  <c r="S307" i="27"/>
  <c r="T306" i="27"/>
  <c r="S306" i="27"/>
  <c r="T305" i="27"/>
  <c r="S305" i="27"/>
  <c r="T304" i="27"/>
  <c r="S304" i="27"/>
  <c r="T303" i="27"/>
  <c r="S303" i="27"/>
  <c r="T302" i="27"/>
  <c r="S302" i="27"/>
  <c r="T301" i="27"/>
  <c r="S301" i="27"/>
  <c r="T300" i="27"/>
  <c r="S300" i="27"/>
  <c r="T299" i="27"/>
  <c r="S299" i="27"/>
  <c r="T298" i="27"/>
  <c r="S298" i="27"/>
  <c r="T297" i="27"/>
  <c r="S297" i="27"/>
  <c r="T296" i="27"/>
  <c r="S296" i="27"/>
  <c r="T295" i="27"/>
  <c r="S295" i="27"/>
  <c r="T294" i="27"/>
  <c r="S294" i="27"/>
  <c r="T293" i="27"/>
  <c r="S293" i="27"/>
  <c r="T292" i="27"/>
  <c r="S292" i="27"/>
  <c r="T291" i="27"/>
  <c r="S291" i="27"/>
  <c r="T290" i="27"/>
  <c r="S290" i="27"/>
  <c r="T289" i="27"/>
  <c r="S289" i="27"/>
  <c r="T288" i="27"/>
  <c r="S288" i="27"/>
  <c r="T287" i="27"/>
  <c r="S287" i="27"/>
  <c r="T286" i="27"/>
  <c r="S286" i="27"/>
  <c r="T285" i="27"/>
  <c r="S285" i="27"/>
  <c r="T284" i="27"/>
  <c r="S284" i="27"/>
  <c r="T283" i="27"/>
  <c r="S283" i="27"/>
  <c r="T282" i="27"/>
  <c r="S282" i="27"/>
  <c r="T281" i="27"/>
  <c r="S281" i="27"/>
  <c r="T280" i="27"/>
  <c r="S280" i="27"/>
  <c r="T279" i="27"/>
  <c r="S279" i="27"/>
  <c r="T278" i="27"/>
  <c r="S278" i="27"/>
  <c r="T277" i="27"/>
  <c r="S277" i="27"/>
  <c r="T276" i="27"/>
  <c r="S276" i="27"/>
  <c r="T275" i="27"/>
  <c r="S275" i="27"/>
  <c r="T274" i="27"/>
  <c r="S274" i="27"/>
  <c r="T273" i="27"/>
  <c r="S273" i="27"/>
  <c r="T272" i="27"/>
  <c r="S272" i="27"/>
  <c r="T271" i="27"/>
  <c r="S271" i="27"/>
  <c r="T270" i="27"/>
  <c r="S270" i="27"/>
  <c r="T269" i="27"/>
  <c r="S269" i="27"/>
  <c r="T268" i="27"/>
  <c r="S268" i="27"/>
  <c r="T267" i="27"/>
  <c r="S267" i="27"/>
  <c r="T266" i="27"/>
  <c r="S266" i="27"/>
  <c r="T265" i="27"/>
  <c r="S265" i="27"/>
  <c r="T264" i="27"/>
  <c r="S264" i="27"/>
  <c r="T263" i="27"/>
  <c r="S263" i="27"/>
  <c r="T262" i="27"/>
  <c r="S262" i="27"/>
  <c r="T261" i="27"/>
  <c r="S261" i="27"/>
  <c r="T260" i="27"/>
  <c r="S260" i="27"/>
  <c r="T259" i="27"/>
  <c r="S259" i="27"/>
  <c r="T258" i="27"/>
  <c r="S258" i="27"/>
  <c r="T257" i="27"/>
  <c r="S257" i="27"/>
  <c r="T256" i="27"/>
  <c r="S256" i="27"/>
  <c r="T255" i="27"/>
  <c r="S255" i="27"/>
  <c r="T254" i="27"/>
  <c r="S254" i="27"/>
  <c r="T253" i="27"/>
  <c r="S253" i="27"/>
  <c r="T252" i="27"/>
  <c r="S252" i="27"/>
  <c r="T251" i="27"/>
  <c r="S251" i="27"/>
  <c r="T250" i="27"/>
  <c r="S250" i="27"/>
  <c r="T249" i="27"/>
  <c r="S249" i="27"/>
  <c r="T248" i="27"/>
  <c r="S248" i="27"/>
  <c r="T247" i="27"/>
  <c r="S247" i="27"/>
  <c r="T246" i="27"/>
  <c r="S246" i="27"/>
  <c r="T245" i="27"/>
  <c r="S245" i="27"/>
  <c r="T244" i="27"/>
  <c r="S244" i="27"/>
  <c r="T243" i="27"/>
  <c r="S243" i="27"/>
  <c r="T242" i="27"/>
  <c r="S242" i="27"/>
  <c r="T241" i="27"/>
  <c r="S241" i="27"/>
  <c r="T240" i="27"/>
  <c r="S240" i="27"/>
  <c r="T239" i="27"/>
  <c r="S239" i="27"/>
  <c r="T238" i="27"/>
  <c r="S238" i="27"/>
  <c r="T237" i="27"/>
  <c r="S237" i="27"/>
  <c r="T236" i="27"/>
  <c r="S236" i="27"/>
  <c r="T235" i="27"/>
  <c r="S235" i="27"/>
  <c r="T234" i="27"/>
  <c r="S234" i="27"/>
  <c r="T233" i="27"/>
  <c r="S233" i="27"/>
  <c r="T232" i="27"/>
  <c r="S232" i="27"/>
  <c r="T231" i="27"/>
  <c r="S231" i="27"/>
  <c r="T230" i="27"/>
  <c r="S230" i="27"/>
  <c r="T229" i="27"/>
  <c r="S229" i="27"/>
  <c r="T228" i="27"/>
  <c r="S228" i="27"/>
  <c r="T227" i="27"/>
  <c r="S227" i="27"/>
  <c r="T226" i="27"/>
  <c r="S226" i="27"/>
  <c r="T225" i="27"/>
  <c r="S225" i="27"/>
  <c r="T224" i="27"/>
  <c r="S224" i="27"/>
  <c r="T223" i="27"/>
  <c r="S223" i="27"/>
  <c r="T222" i="27"/>
  <c r="S222" i="27"/>
  <c r="T221" i="27"/>
  <c r="S221" i="27"/>
  <c r="T220" i="27"/>
  <c r="S220" i="27"/>
  <c r="T219" i="27"/>
  <c r="S219" i="27"/>
  <c r="T218" i="27"/>
  <c r="S218" i="27"/>
  <c r="T217" i="27"/>
  <c r="S217" i="27"/>
  <c r="T216" i="27"/>
  <c r="S216" i="27"/>
  <c r="T215" i="27"/>
  <c r="S215" i="27"/>
  <c r="T214" i="27"/>
  <c r="S214" i="27"/>
  <c r="T213" i="27"/>
  <c r="S213" i="27"/>
  <c r="T212" i="27"/>
  <c r="S212" i="27"/>
  <c r="T211" i="27"/>
  <c r="S211" i="27"/>
  <c r="T210" i="27"/>
  <c r="S210" i="27"/>
  <c r="T209" i="27"/>
  <c r="S209" i="27"/>
  <c r="T208" i="27"/>
  <c r="S208" i="27"/>
  <c r="T207" i="27"/>
  <c r="S207" i="27"/>
  <c r="T206" i="27"/>
  <c r="S206" i="27"/>
  <c r="T205" i="27"/>
  <c r="S205" i="27"/>
  <c r="T204" i="27"/>
  <c r="S204" i="27"/>
  <c r="T203" i="27"/>
  <c r="S203" i="27"/>
  <c r="T202" i="27"/>
  <c r="S202" i="27"/>
  <c r="T201" i="27"/>
  <c r="S201" i="27"/>
  <c r="T200" i="27"/>
  <c r="S200" i="27"/>
  <c r="T199" i="27"/>
  <c r="S199" i="27"/>
  <c r="T198" i="27"/>
  <c r="S198" i="27"/>
  <c r="T197" i="27"/>
  <c r="S197" i="27"/>
  <c r="T196" i="27"/>
  <c r="S196" i="27"/>
  <c r="T195" i="27"/>
  <c r="S195" i="27"/>
  <c r="T194" i="27"/>
  <c r="S194" i="27"/>
  <c r="T193" i="27"/>
  <c r="S193" i="27"/>
  <c r="T192" i="27"/>
  <c r="S192" i="27"/>
  <c r="T191" i="27"/>
  <c r="S191" i="27"/>
  <c r="T190" i="27"/>
  <c r="S190" i="27"/>
  <c r="T189" i="27"/>
  <c r="S189" i="27"/>
  <c r="T188" i="27"/>
  <c r="S188" i="27"/>
  <c r="T187" i="27"/>
  <c r="S187" i="27"/>
  <c r="T186" i="27"/>
  <c r="S186" i="27"/>
  <c r="T185" i="27"/>
  <c r="S185" i="27"/>
  <c r="T184" i="27"/>
  <c r="S184" i="27"/>
  <c r="T183" i="27"/>
  <c r="S183" i="27"/>
  <c r="T182" i="27"/>
  <c r="S182" i="27"/>
  <c r="T181" i="27"/>
  <c r="S181" i="27"/>
  <c r="T180" i="27"/>
  <c r="S180" i="27"/>
  <c r="T179" i="27"/>
  <c r="S179" i="27"/>
  <c r="T178" i="27"/>
  <c r="S178" i="27"/>
  <c r="T177" i="27"/>
  <c r="S177" i="27"/>
  <c r="T176" i="27"/>
  <c r="S176" i="27"/>
  <c r="T175" i="27"/>
  <c r="S175" i="27"/>
  <c r="T174" i="27"/>
  <c r="S174" i="27"/>
  <c r="T173" i="27"/>
  <c r="S173" i="27"/>
  <c r="T172" i="27"/>
  <c r="S172" i="27"/>
  <c r="T171" i="27"/>
  <c r="S171" i="27"/>
  <c r="T170" i="27"/>
  <c r="S170" i="27"/>
  <c r="T169" i="27"/>
  <c r="S169" i="27"/>
  <c r="T168" i="27"/>
  <c r="S168" i="27"/>
  <c r="T167" i="27"/>
  <c r="S167" i="27"/>
  <c r="T166" i="27"/>
  <c r="S166" i="27"/>
  <c r="T165" i="27"/>
  <c r="S165" i="27"/>
  <c r="T164" i="27"/>
  <c r="S164" i="27"/>
  <c r="T163" i="27"/>
  <c r="S163" i="27"/>
  <c r="T162" i="27"/>
  <c r="S162" i="27"/>
  <c r="T161" i="27"/>
  <c r="S161" i="27"/>
  <c r="T160" i="27"/>
  <c r="S160" i="27"/>
  <c r="T159" i="27"/>
  <c r="S159" i="27"/>
  <c r="T158" i="27"/>
  <c r="S158" i="27"/>
  <c r="T157" i="27"/>
  <c r="S157" i="27"/>
  <c r="T156" i="27"/>
  <c r="S156" i="27"/>
  <c r="T155" i="27"/>
  <c r="S155" i="27"/>
  <c r="T154" i="27"/>
  <c r="S154" i="27"/>
  <c r="T153" i="27"/>
  <c r="S153" i="27"/>
  <c r="T152" i="27"/>
  <c r="S152" i="27"/>
  <c r="T151" i="27"/>
  <c r="S151" i="27"/>
  <c r="T150" i="27"/>
  <c r="S150" i="27"/>
  <c r="T149" i="27"/>
  <c r="S149" i="27"/>
  <c r="T148" i="27"/>
  <c r="S148" i="27"/>
  <c r="T147" i="27"/>
  <c r="S147" i="27"/>
  <c r="T146" i="27"/>
  <c r="S146" i="27"/>
  <c r="T145" i="27"/>
  <c r="S145" i="27"/>
  <c r="T144" i="27"/>
  <c r="S144" i="27"/>
  <c r="T143" i="27"/>
  <c r="S143" i="27"/>
  <c r="T142" i="27"/>
  <c r="S142" i="27"/>
  <c r="T141" i="27"/>
  <c r="S141" i="27"/>
  <c r="T140" i="27"/>
  <c r="S140" i="27"/>
  <c r="T139" i="27"/>
  <c r="S139" i="27"/>
  <c r="T138" i="27"/>
  <c r="S138" i="27"/>
  <c r="T137" i="27"/>
  <c r="S137" i="27"/>
  <c r="T136" i="27"/>
  <c r="S136" i="27"/>
  <c r="T135" i="27"/>
  <c r="S135" i="27"/>
  <c r="T134" i="27"/>
  <c r="S134" i="27"/>
  <c r="T133" i="27"/>
  <c r="S133" i="27"/>
  <c r="T132" i="27"/>
  <c r="S132" i="27"/>
  <c r="T131" i="27"/>
  <c r="S131" i="27"/>
  <c r="T130" i="27"/>
  <c r="S130" i="27"/>
  <c r="T129" i="27"/>
  <c r="S129" i="27"/>
  <c r="T128" i="27"/>
  <c r="S128" i="27"/>
  <c r="T127" i="27"/>
  <c r="S127" i="27"/>
  <c r="T126" i="27"/>
  <c r="S126" i="27"/>
  <c r="T125" i="27"/>
  <c r="S125" i="27"/>
  <c r="T124" i="27"/>
  <c r="S124" i="27"/>
  <c r="T123" i="27"/>
  <c r="S123" i="27"/>
  <c r="T122" i="27"/>
  <c r="S122" i="27"/>
  <c r="T121" i="27"/>
  <c r="S121" i="27"/>
  <c r="T120" i="27"/>
  <c r="S120" i="27"/>
  <c r="T119" i="27"/>
  <c r="S119" i="27"/>
  <c r="T118" i="27"/>
  <c r="S118" i="27"/>
  <c r="T117" i="27"/>
  <c r="S117" i="27"/>
  <c r="T116" i="27"/>
  <c r="S116" i="27"/>
  <c r="T115" i="27"/>
  <c r="S115" i="27"/>
  <c r="T114" i="27"/>
  <c r="S114" i="27"/>
  <c r="T113" i="27"/>
  <c r="S113" i="27"/>
  <c r="T112" i="27"/>
  <c r="S112" i="27"/>
  <c r="T111" i="27"/>
  <c r="S111" i="27"/>
  <c r="T110" i="27"/>
  <c r="S110" i="27"/>
  <c r="T109" i="27"/>
  <c r="S109" i="27"/>
  <c r="T108" i="27"/>
  <c r="S108" i="27"/>
  <c r="T107" i="27"/>
  <c r="S107" i="27"/>
  <c r="T106" i="27"/>
  <c r="S106" i="27"/>
  <c r="T105" i="27"/>
  <c r="S105" i="27"/>
  <c r="T104" i="27"/>
  <c r="S104" i="27"/>
  <c r="T103" i="27"/>
  <c r="S103" i="27"/>
  <c r="T102" i="27"/>
  <c r="S102" i="27"/>
  <c r="T101" i="27"/>
  <c r="S101" i="27"/>
  <c r="T100" i="27"/>
  <c r="S100" i="27"/>
  <c r="T99" i="27"/>
  <c r="S99" i="27"/>
  <c r="T98" i="27"/>
  <c r="S98" i="27"/>
  <c r="T97" i="27"/>
  <c r="S97" i="27"/>
  <c r="T96" i="27"/>
  <c r="S96" i="27"/>
  <c r="T95" i="27"/>
  <c r="S95" i="27"/>
  <c r="T94" i="27"/>
  <c r="S94" i="27"/>
  <c r="T93" i="27"/>
  <c r="S93" i="27"/>
  <c r="T92" i="27"/>
  <c r="S92" i="27"/>
  <c r="T91" i="27"/>
  <c r="S91" i="27"/>
  <c r="T90" i="27"/>
  <c r="S90" i="27"/>
  <c r="T89" i="27"/>
  <c r="S89" i="27"/>
  <c r="T88" i="27"/>
  <c r="S88" i="27"/>
  <c r="T87" i="27"/>
  <c r="S87" i="27"/>
  <c r="T86" i="27"/>
  <c r="S86" i="27"/>
  <c r="T85" i="27"/>
  <c r="S85" i="27"/>
  <c r="T84" i="27"/>
  <c r="S84" i="27"/>
  <c r="T83" i="27"/>
  <c r="S83" i="27"/>
  <c r="T82" i="27"/>
  <c r="S82" i="27"/>
  <c r="T81" i="27"/>
  <c r="S81" i="27"/>
  <c r="T80" i="27"/>
  <c r="S80" i="27"/>
  <c r="T79" i="27"/>
  <c r="S79" i="27"/>
  <c r="T78" i="27"/>
  <c r="S78" i="27"/>
  <c r="T77" i="27"/>
  <c r="S77" i="27"/>
  <c r="T76" i="27"/>
  <c r="S76" i="27"/>
  <c r="T75" i="27"/>
  <c r="S75" i="27"/>
  <c r="T74" i="27"/>
  <c r="S74" i="27"/>
  <c r="T73" i="27"/>
  <c r="S73" i="27"/>
  <c r="T72" i="27"/>
  <c r="S72" i="27"/>
  <c r="T71" i="27"/>
  <c r="S71" i="27"/>
  <c r="T70" i="27"/>
  <c r="S70" i="27"/>
  <c r="T69" i="27"/>
  <c r="S69" i="27"/>
  <c r="T68" i="27"/>
  <c r="S68" i="27"/>
  <c r="T67" i="27"/>
  <c r="S67" i="27"/>
  <c r="T66" i="27"/>
  <c r="S66" i="27"/>
  <c r="T65" i="27"/>
  <c r="S65" i="27"/>
  <c r="T64" i="27"/>
  <c r="S64" i="27"/>
  <c r="T63" i="27"/>
  <c r="S63" i="27"/>
  <c r="T62" i="27"/>
  <c r="S62" i="27"/>
  <c r="T61" i="27"/>
  <c r="S61" i="27"/>
  <c r="T60" i="27"/>
  <c r="S60" i="27"/>
  <c r="T59" i="27"/>
  <c r="S59" i="27"/>
  <c r="T58" i="27"/>
  <c r="S58" i="27"/>
  <c r="T57" i="27"/>
  <c r="S57" i="27"/>
  <c r="T56" i="27"/>
  <c r="S56" i="27"/>
  <c r="T55" i="27"/>
  <c r="S55" i="27"/>
  <c r="T54" i="27"/>
  <c r="S54" i="27"/>
  <c r="T53" i="27"/>
  <c r="S53" i="27"/>
  <c r="T52" i="27"/>
  <c r="S52" i="27"/>
  <c r="T51" i="27"/>
  <c r="S51" i="27"/>
  <c r="T50" i="27"/>
  <c r="S50" i="27"/>
  <c r="T49" i="27"/>
  <c r="S49" i="27"/>
  <c r="T48" i="27"/>
  <c r="S48" i="27"/>
  <c r="T47" i="27"/>
  <c r="S47" i="27"/>
  <c r="T46" i="27"/>
  <c r="S46" i="27"/>
  <c r="T45" i="27"/>
  <c r="S45" i="27"/>
  <c r="T44" i="27"/>
  <c r="S44" i="27"/>
  <c r="T43" i="27"/>
  <c r="S43" i="27"/>
  <c r="T42" i="27"/>
  <c r="S42" i="27"/>
  <c r="T41" i="27"/>
  <c r="S41" i="27"/>
  <c r="T40" i="27"/>
  <c r="S40" i="27"/>
  <c r="T39" i="27"/>
  <c r="S39" i="27"/>
  <c r="T38" i="27"/>
  <c r="S38" i="27"/>
  <c r="T37" i="27"/>
  <c r="S37" i="27"/>
  <c r="T36" i="27"/>
  <c r="S36" i="27"/>
  <c r="T35" i="27"/>
  <c r="S35" i="27"/>
  <c r="T34" i="27"/>
  <c r="S34" i="27"/>
  <c r="T33" i="27"/>
  <c r="S33" i="27"/>
  <c r="T32" i="27"/>
  <c r="S32" i="27"/>
  <c r="T31" i="27"/>
  <c r="S31" i="27"/>
  <c r="T30" i="27"/>
  <c r="S30" i="27"/>
  <c r="T29" i="27"/>
  <c r="S29" i="27"/>
  <c r="T28" i="27"/>
  <c r="S28" i="27"/>
  <c r="T27" i="27"/>
  <c r="S27" i="27"/>
  <c r="T26" i="27"/>
  <c r="S26" i="27"/>
  <c r="T25" i="27"/>
  <c r="S25" i="27"/>
  <c r="T24" i="27"/>
  <c r="S24" i="27"/>
  <c r="T23" i="27"/>
  <c r="S23" i="27"/>
  <c r="T22" i="27"/>
  <c r="S22" i="27"/>
  <c r="T21" i="27"/>
  <c r="S21" i="27"/>
  <c r="T20" i="27"/>
  <c r="S20" i="27"/>
  <c r="T19" i="27"/>
  <c r="S19" i="27"/>
  <c r="T18" i="27"/>
  <c r="S18" i="27"/>
  <c r="T17" i="27"/>
  <c r="S17" i="27"/>
  <c r="T16" i="27"/>
  <c r="S16" i="27"/>
  <c r="T15" i="27"/>
  <c r="S15" i="27"/>
  <c r="T14" i="27"/>
  <c r="S14" i="27"/>
  <c r="T13" i="27"/>
  <c r="S13" i="27"/>
  <c r="T12" i="27"/>
  <c r="S12" i="27"/>
  <c r="T11" i="27"/>
  <c r="S11" i="27"/>
  <c r="T10" i="27"/>
  <c r="S10" i="27"/>
  <c r="T9" i="27"/>
  <c r="S9" i="27"/>
  <c r="T8" i="27"/>
  <c r="S8" i="27"/>
  <c r="T7" i="27"/>
  <c r="S7" i="27"/>
  <c r="AB248" i="50"/>
  <c r="AB212" i="50"/>
  <c r="AB119" i="50"/>
  <c r="AC7" i="50"/>
  <c r="AA7" i="50"/>
  <c r="X248" i="50"/>
  <c r="X212" i="50"/>
  <c r="X119" i="50"/>
  <c r="BD7" i="50"/>
  <c r="AY337" i="50"/>
  <c r="AY336" i="50"/>
  <c r="AY335" i="50"/>
  <c r="AY334" i="50"/>
  <c r="AY333" i="50"/>
  <c r="AY332" i="50"/>
  <c r="AY331" i="50"/>
  <c r="AY330" i="50"/>
  <c r="AY329" i="50"/>
  <c r="AY328" i="50"/>
  <c r="AY327" i="50"/>
  <c r="AY326" i="50"/>
  <c r="AY325" i="50"/>
  <c r="AY324" i="50"/>
  <c r="AY323" i="50"/>
  <c r="AY322" i="50"/>
  <c r="AY321" i="50"/>
  <c r="AY320" i="50"/>
  <c r="AY319" i="50"/>
  <c r="AY318" i="50"/>
  <c r="AY317" i="50"/>
  <c r="AY316" i="50"/>
  <c r="AY315" i="50"/>
  <c r="AY314" i="50"/>
  <c r="AY313" i="50"/>
  <c r="AY312" i="50"/>
  <c r="AY311" i="50"/>
  <c r="AY310" i="50"/>
  <c r="AY309" i="50"/>
  <c r="AY308" i="50"/>
  <c r="AY307" i="50"/>
  <c r="AY306" i="50"/>
  <c r="AY305" i="50"/>
  <c r="AY304" i="50"/>
  <c r="AY303" i="50"/>
  <c r="AY302" i="50"/>
  <c r="AY301" i="50"/>
  <c r="AY300" i="50"/>
  <c r="AY299" i="50"/>
  <c r="AY298" i="50"/>
  <c r="AY297" i="50"/>
  <c r="AY296" i="50"/>
  <c r="AY295" i="50"/>
  <c r="AY294" i="50"/>
  <c r="AY293" i="50"/>
  <c r="AY292" i="50"/>
  <c r="AY291" i="50"/>
  <c r="AY290" i="50"/>
  <c r="AY289" i="50"/>
  <c r="AY288" i="50"/>
  <c r="AY287" i="50"/>
  <c r="AY286" i="50"/>
  <c r="AY285" i="50"/>
  <c r="AY284" i="50"/>
  <c r="AY283" i="50"/>
  <c r="AY282" i="50"/>
  <c r="AY281" i="50"/>
  <c r="AY280" i="50"/>
  <c r="AY279" i="50"/>
  <c r="AY278" i="50"/>
  <c r="AY277" i="50"/>
  <c r="AY276" i="50"/>
  <c r="AY275" i="50"/>
  <c r="AY274" i="50"/>
  <c r="AY273" i="50"/>
  <c r="AY272" i="50"/>
  <c r="AY271" i="50"/>
  <c r="AY270" i="50"/>
  <c r="AY269" i="50"/>
  <c r="AY268" i="50"/>
  <c r="AY267" i="50"/>
  <c r="AY266" i="50"/>
  <c r="AY265" i="50"/>
  <c r="AY264" i="50"/>
  <c r="AY263" i="50"/>
  <c r="AY262" i="50"/>
  <c r="AY261" i="50"/>
  <c r="AY260" i="50"/>
  <c r="AY259" i="50"/>
  <c r="AY258" i="50"/>
  <c r="AY257" i="50"/>
  <c r="AY256" i="50"/>
  <c r="AY255" i="50"/>
  <c r="AY254" i="50"/>
  <c r="AY253" i="50"/>
  <c r="AY252" i="50"/>
  <c r="AY251" i="50"/>
  <c r="AY250" i="50"/>
  <c r="AY249" i="50"/>
  <c r="AY248" i="50"/>
  <c r="AY247" i="50"/>
  <c r="AY246" i="50"/>
  <c r="AY245" i="50"/>
  <c r="AY244" i="50"/>
  <c r="AY243" i="50"/>
  <c r="AY242" i="50"/>
  <c r="AY241" i="50"/>
  <c r="AY240" i="50"/>
  <c r="AY239" i="50"/>
  <c r="AY238" i="50"/>
  <c r="AY237" i="50"/>
  <c r="AY236" i="50"/>
  <c r="AY235" i="50"/>
  <c r="AY234" i="50"/>
  <c r="AY233" i="50"/>
  <c r="AY232" i="50"/>
  <c r="AY231" i="50"/>
  <c r="AY230" i="50"/>
  <c r="AY229" i="50"/>
  <c r="AY228" i="50"/>
  <c r="AY227" i="50"/>
  <c r="AY226" i="50"/>
  <c r="AY225" i="50"/>
  <c r="AY224" i="50"/>
  <c r="AY223" i="50"/>
  <c r="AY222" i="50"/>
  <c r="AY221" i="50"/>
  <c r="AY220" i="50"/>
  <c r="AY219" i="50"/>
  <c r="AY218" i="50"/>
  <c r="AY217" i="50"/>
  <c r="AY216" i="50"/>
  <c r="AY215" i="50"/>
  <c r="AY214" i="50"/>
  <c r="AY213" i="50"/>
  <c r="AY212" i="50"/>
  <c r="AY211" i="50"/>
  <c r="AY210" i="50"/>
  <c r="AY209" i="50"/>
  <c r="AY208" i="50"/>
  <c r="AY207" i="50"/>
  <c r="AY206" i="50"/>
  <c r="AY205" i="50"/>
  <c r="AY204" i="50"/>
  <c r="AY203" i="50"/>
  <c r="AY202" i="50"/>
  <c r="AY201" i="50"/>
  <c r="AY200" i="50"/>
  <c r="AY199" i="50"/>
  <c r="AY198" i="50"/>
  <c r="AY197" i="50"/>
  <c r="AY196" i="50"/>
  <c r="AY195" i="50"/>
  <c r="AY194" i="50"/>
  <c r="AY193" i="50"/>
  <c r="AY192" i="50"/>
  <c r="AY191" i="50"/>
  <c r="AY190" i="50"/>
  <c r="AY189" i="50"/>
  <c r="AY188" i="50"/>
  <c r="AY187" i="50"/>
  <c r="AY186" i="50"/>
  <c r="AY185" i="50"/>
  <c r="AY184" i="50"/>
  <c r="AY183" i="50"/>
  <c r="AY182" i="50"/>
  <c r="AY181" i="50"/>
  <c r="AY180" i="50"/>
  <c r="AY179" i="50"/>
  <c r="AY178" i="50"/>
  <c r="AY177" i="50"/>
  <c r="AY176" i="50"/>
  <c r="AY175" i="50"/>
  <c r="AY174" i="50"/>
  <c r="AY173" i="50"/>
  <c r="AY172" i="50"/>
  <c r="AY171" i="50"/>
  <c r="AY170" i="50"/>
  <c r="AY169" i="50"/>
  <c r="AY168" i="50"/>
  <c r="AY167" i="50"/>
  <c r="AY166" i="50"/>
  <c r="AY165" i="50"/>
  <c r="AY164" i="50"/>
  <c r="AY163" i="50"/>
  <c r="AY162" i="50"/>
  <c r="AY161" i="50"/>
  <c r="AY160" i="50"/>
  <c r="AY159" i="50"/>
  <c r="AY158" i="50"/>
  <c r="AY157" i="50"/>
  <c r="AY156" i="50"/>
  <c r="AY155" i="50"/>
  <c r="AY154" i="50"/>
  <c r="AY153" i="50"/>
  <c r="AY152" i="50"/>
  <c r="AY151" i="50"/>
  <c r="AY150" i="50"/>
  <c r="AY149" i="50"/>
  <c r="AY148" i="50"/>
  <c r="AY147" i="50"/>
  <c r="AY146" i="50"/>
  <c r="AY145" i="50"/>
  <c r="AY144" i="50"/>
  <c r="AY143" i="50"/>
  <c r="AY142" i="50"/>
  <c r="AY141" i="50"/>
  <c r="AY140" i="50"/>
  <c r="AY139" i="50"/>
  <c r="AY138" i="50"/>
  <c r="AY137" i="50"/>
  <c r="AY136" i="50"/>
  <c r="AY135" i="50"/>
  <c r="AY134" i="50"/>
  <c r="AY133" i="50"/>
  <c r="AY132" i="50"/>
  <c r="AY131" i="50"/>
  <c r="AY130" i="50"/>
  <c r="AY129" i="50"/>
  <c r="AY128" i="50"/>
  <c r="AY127" i="50"/>
  <c r="AY126" i="50"/>
  <c r="AY125" i="50"/>
  <c r="AY124" i="50"/>
  <c r="AY123" i="50"/>
  <c r="AY122" i="50"/>
  <c r="AY121" i="50"/>
  <c r="AY120" i="50"/>
  <c r="AY119" i="50"/>
  <c r="AY118" i="50"/>
  <c r="AY117" i="50"/>
  <c r="AY116" i="50"/>
  <c r="AY115" i="50"/>
  <c r="AY114" i="50"/>
  <c r="AY113" i="50"/>
  <c r="AY112" i="50"/>
  <c r="AY111" i="50"/>
  <c r="AY110" i="50"/>
  <c r="AY109" i="50"/>
  <c r="AY108" i="50"/>
  <c r="AY107" i="50"/>
  <c r="AY106" i="50"/>
  <c r="AY105" i="50"/>
  <c r="AY104" i="50"/>
  <c r="AY103" i="50"/>
  <c r="AY102" i="50"/>
  <c r="AY101" i="50"/>
  <c r="AY100" i="50"/>
  <c r="AY99" i="50"/>
  <c r="AY98" i="50"/>
  <c r="AY97" i="50"/>
  <c r="AY96" i="50"/>
  <c r="AY95" i="50"/>
  <c r="AY94" i="50"/>
  <c r="AY93" i="50"/>
  <c r="AY92" i="50"/>
  <c r="AY91" i="50"/>
  <c r="AY90" i="50"/>
  <c r="AY89" i="50"/>
  <c r="AY88" i="50"/>
  <c r="AY87" i="50"/>
  <c r="AY86" i="50"/>
  <c r="AY85" i="50"/>
  <c r="AY84" i="50"/>
  <c r="AY83" i="50"/>
  <c r="AY82" i="50"/>
  <c r="AY81" i="50"/>
  <c r="AY80" i="50"/>
  <c r="AY79" i="50"/>
  <c r="AY78" i="50"/>
  <c r="AY77" i="50"/>
  <c r="AY76" i="50"/>
  <c r="AY75" i="50"/>
  <c r="AY74" i="50"/>
  <c r="AY73" i="50"/>
  <c r="AY72" i="50"/>
  <c r="AY71" i="50"/>
  <c r="AY70" i="50"/>
  <c r="AY69" i="50"/>
  <c r="AY68" i="50"/>
  <c r="AY67" i="50"/>
  <c r="AY66" i="50"/>
  <c r="AY65" i="50"/>
  <c r="AY64" i="50"/>
  <c r="AY63" i="50"/>
  <c r="AY62" i="50"/>
  <c r="AY61" i="50"/>
  <c r="AY60" i="50"/>
  <c r="AY59" i="50"/>
  <c r="AY58" i="50"/>
  <c r="AY57" i="50"/>
  <c r="AY56" i="50"/>
  <c r="AY55" i="50"/>
  <c r="AY54" i="50"/>
  <c r="AY53" i="50"/>
  <c r="AY52" i="50"/>
  <c r="AY51" i="50"/>
  <c r="AY50" i="50"/>
  <c r="AY49" i="50"/>
  <c r="AY48" i="50"/>
  <c r="AY47" i="50"/>
  <c r="AY46" i="50"/>
  <c r="AY45" i="50"/>
  <c r="AY44" i="50"/>
  <c r="AY43" i="50"/>
  <c r="AY42" i="50"/>
  <c r="AY41" i="50"/>
  <c r="AY40" i="50"/>
  <c r="AY39" i="50"/>
  <c r="AY38" i="50"/>
  <c r="AY37" i="50"/>
  <c r="AY36" i="50"/>
  <c r="AY35" i="50"/>
  <c r="AY34" i="50"/>
  <c r="AY33" i="50"/>
  <c r="AY32" i="50"/>
  <c r="AY31" i="50"/>
  <c r="AY30" i="50"/>
  <c r="AY29" i="50"/>
  <c r="AY28" i="50"/>
  <c r="AY27" i="50"/>
  <c r="AY26" i="50"/>
  <c r="AY25" i="50"/>
  <c r="AY24" i="50"/>
  <c r="AY23" i="50"/>
  <c r="AY22" i="50"/>
  <c r="AY21" i="50"/>
  <c r="AY20" i="50"/>
  <c r="AY19" i="50"/>
  <c r="AY18" i="50"/>
  <c r="AY17" i="50"/>
  <c r="AY16" i="50"/>
  <c r="AY15" i="50"/>
  <c r="AY14" i="50"/>
  <c r="AY13" i="50"/>
  <c r="AY12" i="50"/>
  <c r="AY11" i="50"/>
  <c r="AY10" i="50"/>
  <c r="AY9" i="50"/>
  <c r="AY8" i="50"/>
  <c r="Y7" i="50" l="1"/>
  <c r="AE334" i="50"/>
  <c r="AE84" i="50"/>
  <c r="AE171" i="50"/>
  <c r="AE321" i="50"/>
  <c r="AE313" i="50"/>
  <c r="AE337" i="50"/>
  <c r="AE107" i="50"/>
  <c r="AE114" i="50"/>
  <c r="AE297" i="50"/>
  <c r="AE287" i="50"/>
  <c r="AE106" i="50"/>
  <c r="AE153" i="50"/>
  <c r="AE255" i="50"/>
  <c r="AE71" i="50"/>
  <c r="AE335" i="50"/>
  <c r="AE177" i="50"/>
  <c r="AE303" i="50"/>
  <c r="AE193" i="50"/>
  <c r="AE273" i="50"/>
  <c r="AE249" i="50"/>
  <c r="AE78" i="50"/>
  <c r="AE50" i="50"/>
  <c r="AE279" i="50"/>
  <c r="AE102" i="50"/>
  <c r="AE211" i="50"/>
  <c r="AE48" i="50"/>
  <c r="AE226" i="50"/>
  <c r="AE292" i="50"/>
  <c r="AE143" i="50"/>
  <c r="AE138" i="50"/>
  <c r="AE150" i="50"/>
  <c r="AE322" i="50"/>
  <c r="AE172" i="50"/>
  <c r="AE183" i="50"/>
  <c r="AE163" i="50"/>
  <c r="AE152" i="50"/>
  <c r="AE22" i="50"/>
  <c r="AE97" i="50"/>
  <c r="AE18" i="50"/>
  <c r="AE223" i="50"/>
  <c r="AE311" i="50"/>
  <c r="AE52" i="50"/>
  <c r="AE298" i="50"/>
  <c r="AE49" i="50"/>
  <c r="AE312" i="50"/>
  <c r="AE69" i="50"/>
  <c r="AE309" i="50"/>
  <c r="AE308" i="50"/>
  <c r="AE86" i="50"/>
  <c r="AE293" i="50"/>
  <c r="AE246" i="50"/>
  <c r="AE112" i="50"/>
  <c r="AE234" i="50"/>
  <c r="AE199" i="50"/>
  <c r="AE302" i="50"/>
  <c r="AE189" i="50"/>
  <c r="AE336" i="50"/>
  <c r="AE132" i="50"/>
  <c r="AE190" i="50"/>
  <c r="AE157" i="50"/>
  <c r="AE51" i="50"/>
  <c r="AE95" i="50"/>
  <c r="AE282" i="50"/>
  <c r="AE147" i="50"/>
  <c r="AE53" i="50"/>
  <c r="AE305" i="50"/>
  <c r="AE318" i="50"/>
  <c r="AE42" i="50"/>
  <c r="AE202" i="50"/>
  <c r="AE224" i="50"/>
  <c r="AE149" i="50"/>
  <c r="AE271" i="50"/>
  <c r="AE83" i="50"/>
  <c r="AE244" i="50"/>
  <c r="AE67" i="50"/>
  <c r="AE320" i="50"/>
  <c r="AE144" i="50"/>
  <c r="AE70" i="50"/>
  <c r="AE41" i="50"/>
  <c r="AE101" i="50"/>
  <c r="AE38" i="50"/>
  <c r="AE160" i="50"/>
  <c r="AE161" i="50"/>
  <c r="AE182" i="50"/>
  <c r="AE110" i="50"/>
  <c r="AE204" i="50"/>
  <c r="AE270" i="50"/>
  <c r="AE274" i="50"/>
  <c r="AE108" i="50"/>
  <c r="AE64" i="50"/>
  <c r="AE281" i="50"/>
  <c r="AE142" i="50"/>
  <c r="AE263" i="50"/>
  <c r="AE166" i="50"/>
  <c r="AE124" i="50"/>
  <c r="AE158" i="50"/>
  <c r="AE12" i="50"/>
  <c r="AE75" i="50"/>
  <c r="AE176" i="50"/>
  <c r="AE140" i="50"/>
  <c r="AE93" i="50"/>
  <c r="AE280" i="50"/>
  <c r="AE165" i="50"/>
  <c r="AE173" i="50"/>
  <c r="AE261" i="50"/>
  <c r="AE91" i="50"/>
  <c r="AE174" i="50"/>
  <c r="AE55" i="50"/>
  <c r="AE136" i="50"/>
  <c r="AE11" i="50"/>
  <c r="AE254" i="50"/>
  <c r="AE28" i="50"/>
  <c r="AE54" i="50"/>
  <c r="AE251" i="50"/>
  <c r="AE148" i="50"/>
  <c r="AE203" i="50"/>
  <c r="AE258" i="50"/>
  <c r="AE284" i="50"/>
  <c r="AE122" i="50"/>
  <c r="AE43" i="50"/>
  <c r="AE98" i="50"/>
  <c r="AE324" i="50"/>
  <c r="AE74" i="50"/>
  <c r="AE20" i="50"/>
  <c r="AE100" i="50"/>
  <c r="AE217" i="50"/>
  <c r="AE47" i="50"/>
  <c r="AE208" i="50"/>
  <c r="AE68" i="50"/>
  <c r="AE286" i="50"/>
  <c r="AE304" i="50"/>
  <c r="AE31" i="50"/>
  <c r="AE289" i="50"/>
  <c r="AE227" i="50"/>
  <c r="AE278" i="50"/>
  <c r="AE256" i="50"/>
  <c r="AE62" i="50"/>
  <c r="AE181" i="50"/>
  <c r="AE188" i="50"/>
  <c r="AE328" i="50"/>
  <c r="AE179" i="50"/>
  <c r="AE266" i="50"/>
  <c r="AE237" i="50"/>
  <c r="AE195" i="50"/>
  <c r="AE212" i="50"/>
  <c r="AE207" i="50"/>
  <c r="AE296" i="50"/>
  <c r="AE164" i="50"/>
  <c r="AE214" i="50"/>
  <c r="AE25" i="50"/>
  <c r="AE198" i="50"/>
  <c r="AE200" i="50"/>
  <c r="AE180" i="50"/>
  <c r="AE117" i="50"/>
  <c r="AE187" i="50"/>
  <c r="AE219" i="50"/>
  <c r="AE156" i="50"/>
  <c r="AE259" i="50"/>
  <c r="AE109" i="50"/>
  <c r="AE269" i="50"/>
  <c r="AE65" i="50"/>
  <c r="AE113" i="50"/>
  <c r="AE327" i="50"/>
  <c r="AE197" i="50"/>
  <c r="AE60" i="50"/>
  <c r="AE10" i="50"/>
  <c r="AE238" i="50"/>
  <c r="AE272" i="50"/>
  <c r="AE39" i="50"/>
  <c r="AE323" i="50"/>
  <c r="AE40" i="50"/>
  <c r="AE216" i="50"/>
  <c r="AE201" i="50"/>
  <c r="AE295" i="50"/>
  <c r="AE23" i="50"/>
  <c r="AE330" i="50"/>
  <c r="AE9" i="50"/>
  <c r="AE168" i="50"/>
  <c r="AE170" i="50"/>
  <c r="AE92" i="50"/>
  <c r="AE178" i="50"/>
  <c r="AE151" i="50"/>
  <c r="AE325" i="50"/>
  <c r="AE104" i="50"/>
  <c r="AE247" i="50"/>
  <c r="AE135" i="50"/>
  <c r="AE103" i="50"/>
  <c r="AE300" i="50"/>
  <c r="AE36" i="50"/>
  <c r="AE21" i="50"/>
  <c r="AE332" i="50"/>
  <c r="AE46" i="50"/>
  <c r="AE134" i="50"/>
  <c r="AE76" i="50"/>
  <c r="AE294" i="50"/>
  <c r="AE73" i="50"/>
  <c r="AE63" i="50"/>
  <c r="AE288" i="50"/>
  <c r="AE35" i="50"/>
  <c r="AE87" i="50"/>
  <c r="AE267" i="50"/>
  <c r="AE37" i="50"/>
  <c r="AE186" i="50"/>
  <c r="AE15" i="50"/>
  <c r="AE24" i="50"/>
  <c r="AE119" i="50"/>
  <c r="AE326" i="50"/>
  <c r="AE121" i="50"/>
  <c r="AE120" i="50"/>
  <c r="AE236" i="50"/>
  <c r="AE235" i="50"/>
  <c r="AE283" i="50"/>
  <c r="AE175" i="50"/>
  <c r="AE285" i="50"/>
  <c r="AE88" i="50"/>
  <c r="AE191" i="50"/>
  <c r="AE131" i="50"/>
  <c r="AE141" i="50"/>
  <c r="AE260" i="50"/>
  <c r="AE125" i="50"/>
  <c r="AE264" i="50"/>
  <c r="AE291" i="50"/>
  <c r="AE14" i="50"/>
  <c r="AE245" i="50"/>
  <c r="AE301" i="50"/>
  <c r="AE17" i="50"/>
  <c r="AE262" i="50"/>
  <c r="AE239" i="50"/>
  <c r="AE307" i="50"/>
  <c r="AE115" i="50"/>
  <c r="AE162" i="50"/>
  <c r="AE80" i="50"/>
  <c r="AE96" i="50"/>
  <c r="AE253" i="50"/>
  <c r="AE222" i="50"/>
  <c r="AE44" i="50"/>
  <c r="AE229" i="50"/>
  <c r="AE27" i="50"/>
  <c r="AE228" i="50"/>
  <c r="AE268" i="50"/>
  <c r="AE58" i="50"/>
  <c r="AE192" i="50"/>
  <c r="AE194" i="50"/>
  <c r="AE196" i="50"/>
  <c r="AE331" i="50"/>
  <c r="AE252" i="50"/>
  <c r="AE56" i="50"/>
  <c r="AE232" i="50"/>
  <c r="AE290" i="50"/>
  <c r="AE77" i="50"/>
  <c r="AE167" i="50"/>
  <c r="AE159" i="50"/>
  <c r="AE184" i="50"/>
  <c r="AE118" i="50"/>
  <c r="AE8" i="50"/>
  <c r="AE105" i="50"/>
  <c r="AE329" i="50"/>
  <c r="AE81" i="50"/>
  <c r="AE169" i="50"/>
  <c r="AE250" i="50"/>
  <c r="AE265" i="50"/>
  <c r="AE57" i="50"/>
  <c r="AE314" i="50"/>
  <c r="AE233" i="50"/>
  <c r="AE310" i="50"/>
  <c r="AE220" i="50"/>
  <c r="AE89" i="50"/>
  <c r="AE126" i="50"/>
  <c r="AE275" i="50"/>
  <c r="AE185" i="50"/>
  <c r="AE213" i="50"/>
  <c r="AE240" i="50"/>
  <c r="AE123" i="50"/>
  <c r="AE205" i="50"/>
  <c r="AE61" i="50"/>
  <c r="AE128" i="50"/>
  <c r="AE317" i="50"/>
  <c r="AE154" i="50"/>
  <c r="AE72" i="50"/>
  <c r="AE210" i="50"/>
  <c r="AE26" i="50"/>
  <c r="AE206" i="50"/>
  <c r="AE129" i="50"/>
  <c r="AE333" i="50"/>
  <c r="AE127" i="50"/>
  <c r="AE34" i="50"/>
  <c r="AE299" i="50"/>
  <c r="AE146" i="50"/>
  <c r="AE276" i="50"/>
  <c r="AE66" i="50"/>
  <c r="AE248" i="50"/>
  <c r="AE85" i="50"/>
  <c r="AE82" i="50"/>
  <c r="AE242" i="50"/>
  <c r="AE16" i="50"/>
  <c r="AE29" i="50"/>
  <c r="AE94" i="50"/>
  <c r="AE315" i="50"/>
  <c r="AE111" i="50"/>
  <c r="AE137" i="50"/>
  <c r="AE116" i="50"/>
  <c r="AE306" i="50"/>
  <c r="AE230" i="50"/>
  <c r="AE231" i="50"/>
  <c r="AE30" i="50"/>
  <c r="AE257" i="50"/>
  <c r="AE59" i="50"/>
  <c r="AE221" i="50"/>
  <c r="AE218" i="50"/>
  <c r="AE90" i="50"/>
  <c r="AE319" i="50"/>
  <c r="AE32" i="50"/>
  <c r="AE33" i="50"/>
  <c r="AE139" i="50"/>
  <c r="AE79" i="50"/>
  <c r="AE277" i="50"/>
  <c r="AE155" i="50"/>
  <c r="AE241" i="50"/>
  <c r="AE225" i="50"/>
  <c r="AE99" i="50"/>
  <c r="AE133" i="50"/>
  <c r="AE215" i="50"/>
  <c r="AE130" i="50"/>
  <c r="AE13" i="50"/>
  <c r="AE45" i="50"/>
  <c r="AE243" i="50"/>
  <c r="AE145" i="50"/>
  <c r="AE209" i="50"/>
  <c r="AE19" i="50"/>
  <c r="AE316" i="50"/>
  <c r="AV334" i="50"/>
  <c r="AW334" i="50"/>
  <c r="AV84" i="50"/>
  <c r="AW84" i="50"/>
  <c r="AV171" i="50"/>
  <c r="AW171" i="50"/>
  <c r="AV321" i="50"/>
  <c r="AW321" i="50"/>
  <c r="AV313" i="50"/>
  <c r="AW313" i="50"/>
  <c r="AV337" i="50"/>
  <c r="AW337" i="50"/>
  <c r="AV107" i="50"/>
  <c r="AW107" i="50"/>
  <c r="AV114" i="50"/>
  <c r="AW114" i="50"/>
  <c r="AV297" i="50"/>
  <c r="AW297" i="50"/>
  <c r="AV287" i="50"/>
  <c r="AW287" i="50"/>
  <c r="AV106" i="50"/>
  <c r="AW106" i="50"/>
  <c r="AV153" i="50"/>
  <c r="AW153" i="50"/>
  <c r="AV255" i="50"/>
  <c r="AW255" i="50"/>
  <c r="AV71" i="50"/>
  <c r="AW71" i="50"/>
  <c r="AV335" i="50"/>
  <c r="AW335" i="50"/>
  <c r="AV177" i="50"/>
  <c r="AW177" i="50"/>
  <c r="AV303" i="50"/>
  <c r="AW303" i="50"/>
  <c r="AV193" i="50"/>
  <c r="AW193" i="50"/>
  <c r="AV273" i="50"/>
  <c r="AW273" i="50"/>
  <c r="AV249" i="50"/>
  <c r="AW249" i="50"/>
  <c r="AV78" i="50"/>
  <c r="AW78" i="50"/>
  <c r="AV50" i="50"/>
  <c r="AW50" i="50"/>
  <c r="AV279" i="50"/>
  <c r="AW279" i="50"/>
  <c r="AV102" i="50"/>
  <c r="AW102" i="50"/>
  <c r="AV211" i="50"/>
  <c r="AW211" i="50"/>
  <c r="AV48" i="50"/>
  <c r="AW48" i="50"/>
  <c r="AV226" i="50"/>
  <c r="AW226" i="50"/>
  <c r="AV292" i="50"/>
  <c r="AW292" i="50"/>
  <c r="AV143" i="50"/>
  <c r="AW143" i="50"/>
  <c r="AV138" i="50"/>
  <c r="AW138" i="50"/>
  <c r="AV150" i="50"/>
  <c r="AW150" i="50"/>
  <c r="AV322" i="50"/>
  <c r="AW322" i="50"/>
  <c r="AV172" i="50"/>
  <c r="AW172" i="50"/>
  <c r="AV183" i="50"/>
  <c r="AW183" i="50"/>
  <c r="AV163" i="50"/>
  <c r="AW163" i="50"/>
  <c r="AV152" i="50"/>
  <c r="AW152" i="50"/>
  <c r="AV22" i="50"/>
  <c r="AW22" i="50"/>
  <c r="AV97" i="50"/>
  <c r="AW97" i="50"/>
  <c r="AV18" i="50"/>
  <c r="AW18" i="50"/>
  <c r="AV223" i="50"/>
  <c r="AW223" i="50"/>
  <c r="AV311" i="50"/>
  <c r="AW311" i="50"/>
  <c r="AV52" i="50"/>
  <c r="AW52" i="50"/>
  <c r="AV298" i="50"/>
  <c r="AW298" i="50"/>
  <c r="AV49" i="50"/>
  <c r="AW49" i="50"/>
  <c r="AV312" i="50"/>
  <c r="AW312" i="50"/>
  <c r="AV69" i="50"/>
  <c r="AW69" i="50"/>
  <c r="AV309" i="50"/>
  <c r="AW309" i="50"/>
  <c r="AV308" i="50"/>
  <c r="AW308" i="50"/>
  <c r="AV86" i="50"/>
  <c r="AW86" i="50"/>
  <c r="AV293" i="50"/>
  <c r="AW293" i="50"/>
  <c r="AV246" i="50"/>
  <c r="AW246" i="50"/>
  <c r="AV112" i="50"/>
  <c r="AW112" i="50"/>
  <c r="AV234" i="50"/>
  <c r="AW234" i="50"/>
  <c r="AV199" i="50"/>
  <c r="AW199" i="50"/>
  <c r="AV302" i="50"/>
  <c r="AW302" i="50"/>
  <c r="AV189" i="50"/>
  <c r="AW189" i="50"/>
  <c r="AV336" i="50"/>
  <c r="AW336" i="50"/>
  <c r="AV132" i="50"/>
  <c r="AW132" i="50"/>
  <c r="AV190" i="50"/>
  <c r="AW190" i="50"/>
  <c r="AV157" i="50"/>
  <c r="AW157" i="50"/>
  <c r="AV51" i="50"/>
  <c r="AW51" i="50"/>
  <c r="AV95" i="50"/>
  <c r="AW95" i="50"/>
  <c r="AV282" i="50"/>
  <c r="AW282" i="50"/>
  <c r="AV147" i="50"/>
  <c r="AW147" i="50"/>
  <c r="AV53" i="50"/>
  <c r="AW53" i="50"/>
  <c r="AV305" i="50"/>
  <c r="AW305" i="50"/>
  <c r="AV318" i="50"/>
  <c r="AW318" i="50"/>
  <c r="AV42" i="50"/>
  <c r="AW42" i="50"/>
  <c r="AV202" i="50"/>
  <c r="AW202" i="50"/>
  <c r="AV224" i="50"/>
  <c r="AW224" i="50"/>
  <c r="AV149" i="50"/>
  <c r="AW149" i="50"/>
  <c r="AV271" i="50"/>
  <c r="AW271" i="50"/>
  <c r="AV83" i="50"/>
  <c r="AW83" i="50"/>
  <c r="AV244" i="50"/>
  <c r="AW244" i="50"/>
  <c r="AV67" i="50"/>
  <c r="AW67" i="50"/>
  <c r="AV320" i="50"/>
  <c r="AW320" i="50"/>
  <c r="AV144" i="50"/>
  <c r="AW144" i="50"/>
  <c r="AV70" i="50"/>
  <c r="AW70" i="50"/>
  <c r="AV41" i="50"/>
  <c r="AW41" i="50"/>
  <c r="AV101" i="50"/>
  <c r="AW101" i="50"/>
  <c r="AV38" i="50"/>
  <c r="AW38" i="50"/>
  <c r="AV160" i="50"/>
  <c r="AW160" i="50"/>
  <c r="AV161" i="50"/>
  <c r="AW161" i="50"/>
  <c r="AV182" i="50"/>
  <c r="AW182" i="50"/>
  <c r="AV110" i="50"/>
  <c r="AW110" i="50"/>
  <c r="AV204" i="50"/>
  <c r="AW204" i="50"/>
  <c r="AV270" i="50"/>
  <c r="AW270" i="50"/>
  <c r="AV274" i="50"/>
  <c r="AW274" i="50"/>
  <c r="AV108" i="50"/>
  <c r="AW108" i="50"/>
  <c r="AV64" i="50"/>
  <c r="AW64" i="50"/>
  <c r="AV281" i="50"/>
  <c r="AW281" i="50"/>
  <c r="AV142" i="50"/>
  <c r="AW142" i="50"/>
  <c r="AV263" i="50"/>
  <c r="AW263" i="50"/>
  <c r="AV166" i="50"/>
  <c r="AW166" i="50"/>
  <c r="AV124" i="50"/>
  <c r="AW124" i="50"/>
  <c r="AV158" i="50"/>
  <c r="AW158" i="50"/>
  <c r="AV12" i="50"/>
  <c r="AW12" i="50"/>
  <c r="AV75" i="50"/>
  <c r="AW75" i="50"/>
  <c r="AV176" i="50"/>
  <c r="AW176" i="50"/>
  <c r="AV140" i="50"/>
  <c r="AW140" i="50"/>
  <c r="AV93" i="50"/>
  <c r="AW93" i="50"/>
  <c r="AV280" i="50"/>
  <c r="AW280" i="50"/>
  <c r="AV165" i="50"/>
  <c r="AW165" i="50"/>
  <c r="AV173" i="50"/>
  <c r="AW173" i="50"/>
  <c r="AV261" i="50"/>
  <c r="AW261" i="50"/>
  <c r="AV91" i="50"/>
  <c r="AW91" i="50"/>
  <c r="AV174" i="50"/>
  <c r="AW174" i="50"/>
  <c r="AV55" i="50"/>
  <c r="AW55" i="50"/>
  <c r="AV136" i="50"/>
  <c r="AW136" i="50"/>
  <c r="AV11" i="50"/>
  <c r="AW11" i="50"/>
  <c r="AV254" i="50"/>
  <c r="AW254" i="50"/>
  <c r="AV28" i="50"/>
  <c r="AW28" i="50"/>
  <c r="AV54" i="50"/>
  <c r="AW54" i="50"/>
  <c r="AV251" i="50"/>
  <c r="AW251" i="50"/>
  <c r="AV148" i="50"/>
  <c r="AW148" i="50"/>
  <c r="AV203" i="50"/>
  <c r="AW203" i="50"/>
  <c r="AV258" i="50"/>
  <c r="AW258" i="50"/>
  <c r="AV284" i="50"/>
  <c r="AW284" i="50"/>
  <c r="AV122" i="50"/>
  <c r="AW122" i="50"/>
  <c r="AV43" i="50"/>
  <c r="AW43" i="50"/>
  <c r="AV98" i="50"/>
  <c r="AW98" i="50"/>
  <c r="AV324" i="50"/>
  <c r="AW324" i="50"/>
  <c r="AV74" i="50"/>
  <c r="AW74" i="50"/>
  <c r="AV20" i="50"/>
  <c r="AW20" i="50"/>
  <c r="AV100" i="50"/>
  <c r="AW100" i="50"/>
  <c r="AV217" i="50"/>
  <c r="AW217" i="50"/>
  <c r="AV47" i="50"/>
  <c r="AW47" i="50"/>
  <c r="AV208" i="50"/>
  <c r="AW208" i="50"/>
  <c r="AV68" i="50"/>
  <c r="AW68" i="50"/>
  <c r="AV286" i="50"/>
  <c r="AW286" i="50"/>
  <c r="AV304" i="50"/>
  <c r="AW304" i="50"/>
  <c r="AV31" i="50"/>
  <c r="AW31" i="50"/>
  <c r="AV289" i="50"/>
  <c r="AW289" i="50"/>
  <c r="AV227" i="50"/>
  <c r="AW227" i="50"/>
  <c r="AV278" i="50"/>
  <c r="AW278" i="50"/>
  <c r="AV256" i="50"/>
  <c r="AW256" i="50"/>
  <c r="AV62" i="50"/>
  <c r="AW62" i="50"/>
  <c r="AV181" i="50"/>
  <c r="AW181" i="50"/>
  <c r="AV188" i="50"/>
  <c r="AW188" i="50"/>
  <c r="AV328" i="50"/>
  <c r="AW328" i="50"/>
  <c r="AV179" i="50"/>
  <c r="AW179" i="50"/>
  <c r="AV266" i="50"/>
  <c r="AW266" i="50"/>
  <c r="AV237" i="50"/>
  <c r="AW237" i="50"/>
  <c r="AV195" i="50"/>
  <c r="AW195" i="50"/>
  <c r="AV212" i="50"/>
  <c r="AW212" i="50"/>
  <c r="AV207" i="50"/>
  <c r="AW207" i="50"/>
  <c r="AV296" i="50"/>
  <c r="AW296" i="50"/>
  <c r="AV164" i="50"/>
  <c r="AW164" i="50"/>
  <c r="AV214" i="50"/>
  <c r="AW214" i="50"/>
  <c r="AV25" i="50"/>
  <c r="AW25" i="50"/>
  <c r="AV198" i="50"/>
  <c r="AW198" i="50"/>
  <c r="AV200" i="50"/>
  <c r="AW200" i="50"/>
  <c r="AV180" i="50"/>
  <c r="AW180" i="50"/>
  <c r="AV117" i="50"/>
  <c r="AW117" i="50"/>
  <c r="AV187" i="50"/>
  <c r="AW187" i="50"/>
  <c r="AV219" i="50"/>
  <c r="AW219" i="50"/>
  <c r="AV156" i="50"/>
  <c r="AW156" i="50"/>
  <c r="AV259" i="50"/>
  <c r="AW259" i="50"/>
  <c r="AV109" i="50"/>
  <c r="AW109" i="50"/>
  <c r="AV269" i="50"/>
  <c r="AW269" i="50"/>
  <c r="AV65" i="50"/>
  <c r="AW65" i="50"/>
  <c r="AV113" i="50"/>
  <c r="AW113" i="50"/>
  <c r="AV327" i="50"/>
  <c r="AW327" i="50"/>
  <c r="AV197" i="50"/>
  <c r="AW197" i="50"/>
  <c r="AV60" i="50"/>
  <c r="AW60" i="50"/>
  <c r="AV10" i="50"/>
  <c r="AW10" i="50"/>
  <c r="AV238" i="50"/>
  <c r="AW238" i="50"/>
  <c r="AV272" i="50"/>
  <c r="AW272" i="50"/>
  <c r="AV39" i="50"/>
  <c r="AW39" i="50"/>
  <c r="AV323" i="50"/>
  <c r="AW323" i="50"/>
  <c r="AV40" i="50"/>
  <c r="AW40" i="50"/>
  <c r="AV216" i="50"/>
  <c r="AW216" i="50"/>
  <c r="AV201" i="50"/>
  <c r="AW201" i="50"/>
  <c r="AV295" i="50"/>
  <c r="AW295" i="50"/>
  <c r="AV23" i="50"/>
  <c r="AW23" i="50"/>
  <c r="AV330" i="50"/>
  <c r="AW330" i="50"/>
  <c r="AV9" i="50"/>
  <c r="AW9" i="50"/>
  <c r="AV168" i="50"/>
  <c r="AW168" i="50"/>
  <c r="AV170" i="50"/>
  <c r="AW170" i="50"/>
  <c r="AV92" i="50"/>
  <c r="AW92" i="50"/>
  <c r="AV178" i="50"/>
  <c r="AW178" i="50"/>
  <c r="AV151" i="50"/>
  <c r="AW151" i="50"/>
  <c r="AV325" i="50"/>
  <c r="AW325" i="50"/>
  <c r="AV104" i="50"/>
  <c r="AW104" i="50"/>
  <c r="AV247" i="50"/>
  <c r="AW247" i="50"/>
  <c r="AV135" i="50"/>
  <c r="AW135" i="50"/>
  <c r="AV103" i="50"/>
  <c r="AW103" i="50"/>
  <c r="AV300" i="50"/>
  <c r="AW300" i="50"/>
  <c r="AV36" i="50"/>
  <c r="AW36" i="50"/>
  <c r="AV21" i="50"/>
  <c r="AW21" i="50"/>
  <c r="AV332" i="50"/>
  <c r="AW332" i="50"/>
  <c r="AV46" i="50"/>
  <c r="AW46" i="50"/>
  <c r="AV134" i="50"/>
  <c r="AW134" i="50"/>
  <c r="AV76" i="50"/>
  <c r="AW76" i="50"/>
  <c r="AV294" i="50"/>
  <c r="AW294" i="50"/>
  <c r="AV73" i="50"/>
  <c r="AW73" i="50"/>
  <c r="AV63" i="50"/>
  <c r="AW63" i="50"/>
  <c r="AV288" i="50"/>
  <c r="AW288" i="50"/>
  <c r="AV35" i="50"/>
  <c r="AW35" i="50"/>
  <c r="AV87" i="50"/>
  <c r="AW87" i="50"/>
  <c r="AV267" i="50"/>
  <c r="AW267" i="50"/>
  <c r="AV37" i="50"/>
  <c r="AW37" i="50"/>
  <c r="AV186" i="50"/>
  <c r="AW186" i="50"/>
  <c r="AV15" i="50"/>
  <c r="AW15" i="50"/>
  <c r="AV24" i="50"/>
  <c r="AW24" i="50"/>
  <c r="AV119" i="50"/>
  <c r="AW119" i="50"/>
  <c r="AV326" i="50"/>
  <c r="AW326" i="50"/>
  <c r="AV121" i="50"/>
  <c r="AW121" i="50"/>
  <c r="AV120" i="50"/>
  <c r="AW120" i="50"/>
  <c r="AV236" i="50"/>
  <c r="AW236" i="50"/>
  <c r="AV235" i="50"/>
  <c r="AW235" i="50"/>
  <c r="AV283" i="50"/>
  <c r="AW283" i="50"/>
  <c r="AV175" i="50"/>
  <c r="AW175" i="50"/>
  <c r="AV285" i="50"/>
  <c r="AW285" i="50"/>
  <c r="AV88" i="50"/>
  <c r="AW88" i="50"/>
  <c r="AV191" i="50"/>
  <c r="AW191" i="50"/>
  <c r="AV131" i="50"/>
  <c r="AW131" i="50"/>
  <c r="AV141" i="50"/>
  <c r="AW141" i="50"/>
  <c r="AV260" i="50"/>
  <c r="AW260" i="50"/>
  <c r="AV125" i="50"/>
  <c r="AW125" i="50"/>
  <c r="AV264" i="50"/>
  <c r="AW264" i="50"/>
  <c r="AV291" i="50"/>
  <c r="AW291" i="50"/>
  <c r="AV14" i="50"/>
  <c r="AW14" i="50"/>
  <c r="AV245" i="50"/>
  <c r="AW245" i="50"/>
  <c r="AV301" i="50"/>
  <c r="AW301" i="50"/>
  <c r="AV17" i="50"/>
  <c r="AW17" i="50"/>
  <c r="AV262" i="50"/>
  <c r="AW262" i="50"/>
  <c r="AV239" i="50"/>
  <c r="AW239" i="50"/>
  <c r="AV307" i="50"/>
  <c r="AW307" i="50"/>
  <c r="AV115" i="50"/>
  <c r="AW115" i="50"/>
  <c r="AV162" i="50"/>
  <c r="AW162" i="50"/>
  <c r="AV80" i="50"/>
  <c r="AW80" i="50"/>
  <c r="AV96" i="50"/>
  <c r="AW96" i="50"/>
  <c r="AV253" i="50"/>
  <c r="AW253" i="50"/>
  <c r="AV222" i="50"/>
  <c r="AW222" i="50"/>
  <c r="AV44" i="50"/>
  <c r="AW44" i="50"/>
  <c r="AV229" i="50"/>
  <c r="AW229" i="50"/>
  <c r="AV27" i="50"/>
  <c r="AW27" i="50"/>
  <c r="AV228" i="50"/>
  <c r="AW228" i="50"/>
  <c r="AV268" i="50"/>
  <c r="AW268" i="50"/>
  <c r="AV58" i="50"/>
  <c r="AW58" i="50"/>
  <c r="AV192" i="50"/>
  <c r="AW192" i="50"/>
  <c r="AV194" i="50"/>
  <c r="AW194" i="50"/>
  <c r="AV196" i="50"/>
  <c r="AW196" i="50"/>
  <c r="AV331" i="50"/>
  <c r="AW331" i="50"/>
  <c r="AV252" i="50"/>
  <c r="AW252" i="50"/>
  <c r="AV56" i="50"/>
  <c r="AW56" i="50"/>
  <c r="AV232" i="50"/>
  <c r="AW232" i="50"/>
  <c r="AV290" i="50"/>
  <c r="AW290" i="50"/>
  <c r="AV77" i="50"/>
  <c r="AW77" i="50"/>
  <c r="AV167" i="50"/>
  <c r="AW167" i="50"/>
  <c r="AV159" i="50"/>
  <c r="AW159" i="50"/>
  <c r="AV184" i="50"/>
  <c r="AW184" i="50"/>
  <c r="AV118" i="50"/>
  <c r="AW118" i="50"/>
  <c r="AV8" i="50"/>
  <c r="AW8" i="50"/>
  <c r="AV105" i="50"/>
  <c r="AW105" i="50"/>
  <c r="AV329" i="50"/>
  <c r="AW329" i="50"/>
  <c r="AV81" i="50"/>
  <c r="AW81" i="50"/>
  <c r="AV169" i="50"/>
  <c r="AW169" i="50"/>
  <c r="AV250" i="50"/>
  <c r="AW250" i="50"/>
  <c r="AV265" i="50"/>
  <c r="AW265" i="50"/>
  <c r="AV57" i="50"/>
  <c r="AW57" i="50"/>
  <c r="AV314" i="50"/>
  <c r="AW314" i="50"/>
  <c r="AV233" i="50"/>
  <c r="AW233" i="50"/>
  <c r="AV310" i="50"/>
  <c r="AW310" i="50"/>
  <c r="AV220" i="50"/>
  <c r="AW220" i="50"/>
  <c r="AV89" i="50"/>
  <c r="AW89" i="50"/>
  <c r="AV126" i="50"/>
  <c r="AW126" i="50"/>
  <c r="AV275" i="50"/>
  <c r="AW275" i="50"/>
  <c r="AV185" i="50"/>
  <c r="AW185" i="50"/>
  <c r="AV213" i="50"/>
  <c r="AW213" i="50"/>
  <c r="AV240" i="50"/>
  <c r="AW240" i="50"/>
  <c r="AV123" i="50"/>
  <c r="AW123" i="50"/>
  <c r="AV205" i="50"/>
  <c r="AW205" i="50"/>
  <c r="AV61" i="50"/>
  <c r="AW61" i="50"/>
  <c r="AV128" i="50"/>
  <c r="AW128" i="50"/>
  <c r="AV317" i="50"/>
  <c r="AW317" i="50"/>
  <c r="AV154" i="50"/>
  <c r="AW154" i="50"/>
  <c r="AV72" i="50"/>
  <c r="AW72" i="50"/>
  <c r="AV210" i="50"/>
  <c r="AW210" i="50"/>
  <c r="AV26" i="50"/>
  <c r="AW26" i="50"/>
  <c r="AV206" i="50"/>
  <c r="AW206" i="50"/>
  <c r="AV129" i="50"/>
  <c r="AW129" i="50"/>
  <c r="AV333" i="50"/>
  <c r="AW333" i="50"/>
  <c r="AV127" i="50"/>
  <c r="AW127" i="50"/>
  <c r="AV34" i="50"/>
  <c r="AW34" i="50"/>
  <c r="AV299" i="50"/>
  <c r="AW299" i="50"/>
  <c r="AV146" i="50"/>
  <c r="AW146" i="50"/>
  <c r="AV276" i="50"/>
  <c r="AW276" i="50"/>
  <c r="AV66" i="50"/>
  <c r="AW66" i="50"/>
  <c r="AV248" i="50"/>
  <c r="AW248" i="50"/>
  <c r="AV85" i="50"/>
  <c r="AW85" i="50"/>
  <c r="AV82" i="50"/>
  <c r="AW82" i="50"/>
  <c r="AV242" i="50"/>
  <c r="AW242" i="50"/>
  <c r="AV16" i="50"/>
  <c r="AW16" i="50"/>
  <c r="AV29" i="50"/>
  <c r="AW29" i="50"/>
  <c r="AV94" i="50"/>
  <c r="AW94" i="50"/>
  <c r="AV315" i="50"/>
  <c r="AW315" i="50"/>
  <c r="AV111" i="50"/>
  <c r="AW111" i="50"/>
  <c r="AV137" i="50"/>
  <c r="AW137" i="50"/>
  <c r="AV116" i="50"/>
  <c r="AW116" i="50"/>
  <c r="AV306" i="50"/>
  <c r="AW306" i="50"/>
  <c r="AV230" i="50"/>
  <c r="AW230" i="50"/>
  <c r="AV231" i="50"/>
  <c r="AW231" i="50"/>
  <c r="AV30" i="50"/>
  <c r="AW30" i="50"/>
  <c r="AV257" i="50"/>
  <c r="AW257" i="50"/>
  <c r="AV59" i="50"/>
  <c r="AW59" i="50"/>
  <c r="AV221" i="50"/>
  <c r="AW221" i="50"/>
  <c r="AV218" i="50"/>
  <c r="AW218" i="50"/>
  <c r="AV90" i="50"/>
  <c r="AW90" i="50"/>
  <c r="AV319" i="50"/>
  <c r="AW319" i="50"/>
  <c r="AV32" i="50"/>
  <c r="AW32" i="50"/>
  <c r="AV33" i="50"/>
  <c r="AW33" i="50"/>
  <c r="AV139" i="50"/>
  <c r="AW139" i="50"/>
  <c r="AV79" i="50"/>
  <c r="AW79" i="50"/>
  <c r="AV277" i="50"/>
  <c r="AW277" i="50"/>
  <c r="AV155" i="50"/>
  <c r="AW155" i="50"/>
  <c r="AV241" i="50"/>
  <c r="AW241" i="50"/>
  <c r="AV225" i="50"/>
  <c r="AW225" i="50"/>
  <c r="AV99" i="50"/>
  <c r="AW99" i="50"/>
  <c r="AV133" i="50"/>
  <c r="AW133" i="50"/>
  <c r="AV215" i="50"/>
  <c r="AW215" i="50"/>
  <c r="AV130" i="50"/>
  <c r="AW130" i="50"/>
  <c r="AV13" i="50"/>
  <c r="AW13" i="50"/>
  <c r="AV45" i="50"/>
  <c r="AW45" i="50"/>
  <c r="AV243" i="50"/>
  <c r="AW243" i="50"/>
  <c r="AV145" i="50"/>
  <c r="AW145" i="50"/>
  <c r="AV209" i="50"/>
  <c r="AW209" i="50"/>
  <c r="AV19" i="50"/>
  <c r="AW19" i="50"/>
  <c r="AV316" i="50"/>
  <c r="AW316" i="50"/>
  <c r="AW7" i="50" l="1"/>
  <c r="AL336" i="28" l="1"/>
  <c r="AM336" i="28" s="1"/>
  <c r="AK336" i="28"/>
  <c r="AG336" i="28"/>
  <c r="AF336" i="28"/>
  <c r="AL335" i="28"/>
  <c r="AK335" i="28"/>
  <c r="AG335" i="28"/>
  <c r="AF335" i="28"/>
  <c r="AL334" i="28"/>
  <c r="AK334" i="28"/>
  <c r="AG334" i="28"/>
  <c r="AF334" i="28"/>
  <c r="AL333" i="28"/>
  <c r="AM333" i="28" s="1"/>
  <c r="AK333" i="28"/>
  <c r="AG333" i="28"/>
  <c r="AF333" i="28"/>
  <c r="AL332" i="28"/>
  <c r="AK332" i="28"/>
  <c r="AG332" i="28"/>
  <c r="AF332" i="28"/>
  <c r="AL331" i="28"/>
  <c r="AK331" i="28"/>
  <c r="AG331" i="28"/>
  <c r="AF331" i="28"/>
  <c r="AL330" i="28"/>
  <c r="AM330" i="28" s="1"/>
  <c r="AK330" i="28"/>
  <c r="AG330" i="28"/>
  <c r="AF330" i="28"/>
  <c r="AL329" i="28"/>
  <c r="AK329" i="28"/>
  <c r="AG329" i="28"/>
  <c r="AF329" i="28"/>
  <c r="AL328" i="28"/>
  <c r="AK328" i="28"/>
  <c r="AG328" i="28"/>
  <c r="AF328" i="28"/>
  <c r="AL327" i="28"/>
  <c r="AK327" i="28"/>
  <c r="AG327" i="28"/>
  <c r="AF327" i="28"/>
  <c r="AL326" i="28"/>
  <c r="AK326" i="28"/>
  <c r="AG326" i="28"/>
  <c r="AF326" i="28"/>
  <c r="AL325" i="28"/>
  <c r="AK325" i="28"/>
  <c r="AG325" i="28"/>
  <c r="AF325" i="28"/>
  <c r="AL324" i="28"/>
  <c r="AK324" i="28"/>
  <c r="AG324" i="28"/>
  <c r="AF324" i="28"/>
  <c r="AL323" i="28"/>
  <c r="AK323" i="28"/>
  <c r="AG323" i="28"/>
  <c r="AF323" i="28"/>
  <c r="AL322" i="28"/>
  <c r="AK322" i="28"/>
  <c r="AG322" i="28"/>
  <c r="AF322" i="28"/>
  <c r="AL321" i="28"/>
  <c r="AK321" i="28"/>
  <c r="AG321" i="28"/>
  <c r="AF321" i="28"/>
  <c r="AL320" i="28"/>
  <c r="AK320" i="28"/>
  <c r="AG320" i="28"/>
  <c r="AF320" i="28"/>
  <c r="AL319" i="28"/>
  <c r="AK319" i="28"/>
  <c r="AG319" i="28"/>
  <c r="AF319" i="28"/>
  <c r="AL318" i="28"/>
  <c r="AK318" i="28"/>
  <c r="AG318" i="28"/>
  <c r="AF318" i="28"/>
  <c r="AL317" i="28"/>
  <c r="AK317" i="28"/>
  <c r="AG317" i="28"/>
  <c r="AF317" i="28"/>
  <c r="AL316" i="28"/>
  <c r="AK316" i="28"/>
  <c r="AG316" i="28"/>
  <c r="AF316" i="28"/>
  <c r="AL315" i="28"/>
  <c r="AK315" i="28"/>
  <c r="AG315" i="28"/>
  <c r="AF315" i="28"/>
  <c r="AL314" i="28"/>
  <c r="AK314" i="28"/>
  <c r="AG314" i="28"/>
  <c r="AF314" i="28"/>
  <c r="AL313" i="28"/>
  <c r="AK313" i="28"/>
  <c r="AG313" i="28"/>
  <c r="AF313" i="28"/>
  <c r="AL312" i="28"/>
  <c r="AK312" i="28"/>
  <c r="AG312" i="28"/>
  <c r="AF312" i="28"/>
  <c r="AL311" i="28"/>
  <c r="AK311" i="28"/>
  <c r="AG311" i="28"/>
  <c r="AF311" i="28"/>
  <c r="AL310" i="28"/>
  <c r="AK310" i="28"/>
  <c r="AG310" i="28"/>
  <c r="AF310" i="28"/>
  <c r="AL309" i="28"/>
  <c r="AK309" i="28"/>
  <c r="AG309" i="28"/>
  <c r="AF309" i="28"/>
  <c r="AL308" i="28"/>
  <c r="AK308" i="28"/>
  <c r="AG308" i="28"/>
  <c r="AF308" i="28"/>
  <c r="AL307" i="28"/>
  <c r="AK307" i="28"/>
  <c r="AG307" i="28"/>
  <c r="AF307" i="28"/>
  <c r="AL306" i="28"/>
  <c r="AK306" i="28"/>
  <c r="AG306" i="28"/>
  <c r="AF306" i="28"/>
  <c r="AL305" i="28"/>
  <c r="AK305" i="28"/>
  <c r="AG305" i="28"/>
  <c r="AF305" i="28"/>
  <c r="AL304" i="28"/>
  <c r="AK304" i="28"/>
  <c r="AG304" i="28"/>
  <c r="AF304" i="28"/>
  <c r="AL303" i="28"/>
  <c r="AK303" i="28"/>
  <c r="AG303" i="28"/>
  <c r="AF303" i="28"/>
  <c r="AL302" i="28"/>
  <c r="AK302" i="28"/>
  <c r="AG302" i="28"/>
  <c r="AF302" i="28"/>
  <c r="AL301" i="28"/>
  <c r="AK301" i="28"/>
  <c r="AG301" i="28"/>
  <c r="AF301" i="28"/>
  <c r="AL300" i="28"/>
  <c r="AK300" i="28"/>
  <c r="AG300" i="28"/>
  <c r="AF300" i="28"/>
  <c r="AL299" i="28"/>
  <c r="AK299" i="28"/>
  <c r="AG299" i="28"/>
  <c r="AF299" i="28"/>
  <c r="AL298" i="28"/>
  <c r="AK298" i="28"/>
  <c r="AG298" i="28"/>
  <c r="AF298" i="28"/>
  <c r="AL297" i="28"/>
  <c r="AK297" i="28"/>
  <c r="AG297" i="28"/>
  <c r="AF297" i="28"/>
  <c r="AL296" i="28"/>
  <c r="AK296" i="28"/>
  <c r="AG296" i="28"/>
  <c r="AF296" i="28"/>
  <c r="AL295" i="28"/>
  <c r="AK295" i="28"/>
  <c r="AG295" i="28"/>
  <c r="AF295" i="28"/>
  <c r="AL294" i="28"/>
  <c r="AK294" i="28"/>
  <c r="AG294" i="28"/>
  <c r="AF294" i="28"/>
  <c r="AL293" i="28"/>
  <c r="AK293" i="28"/>
  <c r="AG293" i="28"/>
  <c r="AF293" i="28"/>
  <c r="AL292" i="28"/>
  <c r="AK292" i="28"/>
  <c r="AG292" i="28"/>
  <c r="AF292" i="28"/>
  <c r="AL291" i="28"/>
  <c r="AK291" i="28"/>
  <c r="AG291" i="28"/>
  <c r="AF291" i="28"/>
  <c r="AL290" i="28"/>
  <c r="AK290" i="28"/>
  <c r="AG290" i="28"/>
  <c r="AF290" i="28"/>
  <c r="AL289" i="28"/>
  <c r="AK289" i="28"/>
  <c r="AG289" i="28"/>
  <c r="AF289" i="28"/>
  <c r="AL288" i="28"/>
  <c r="AK288" i="28"/>
  <c r="AG288" i="28"/>
  <c r="AF288" i="28"/>
  <c r="AL287" i="28"/>
  <c r="AK287" i="28"/>
  <c r="AG287" i="28"/>
  <c r="AF287" i="28"/>
  <c r="AL286" i="28"/>
  <c r="AK286" i="28"/>
  <c r="AG286" i="28"/>
  <c r="AF286" i="28"/>
  <c r="AL285" i="28"/>
  <c r="AK285" i="28"/>
  <c r="AG285" i="28"/>
  <c r="AF285" i="28"/>
  <c r="AL284" i="28"/>
  <c r="AK284" i="28"/>
  <c r="AG284" i="28"/>
  <c r="AF284" i="28"/>
  <c r="AL283" i="28"/>
  <c r="AK283" i="28"/>
  <c r="AG283" i="28"/>
  <c r="AF283" i="28"/>
  <c r="AL282" i="28"/>
  <c r="AK282" i="28"/>
  <c r="AG282" i="28"/>
  <c r="AH282" i="28" s="1"/>
  <c r="AF282" i="28"/>
  <c r="AL281" i="28"/>
  <c r="AK281" i="28"/>
  <c r="AG281" i="28"/>
  <c r="AF281" i="28"/>
  <c r="AL280" i="28"/>
  <c r="AK280" i="28"/>
  <c r="AG280" i="28"/>
  <c r="AF280" i="28"/>
  <c r="AL279" i="28"/>
  <c r="AK279" i="28"/>
  <c r="AG279" i="28"/>
  <c r="AF279" i="28"/>
  <c r="AL278" i="28"/>
  <c r="AK278" i="28"/>
  <c r="AG278" i="28"/>
  <c r="AF278" i="28"/>
  <c r="AH278" i="28" s="1"/>
  <c r="AL277" i="28"/>
  <c r="AK277" i="28"/>
  <c r="AG277" i="28"/>
  <c r="AF277" i="28"/>
  <c r="AL276" i="28"/>
  <c r="AK276" i="28"/>
  <c r="AG276" i="28"/>
  <c r="AF276" i="28"/>
  <c r="AL275" i="28"/>
  <c r="AK275" i="28"/>
  <c r="AG275" i="28"/>
  <c r="AF275" i="28"/>
  <c r="AL274" i="28"/>
  <c r="AK274" i="28"/>
  <c r="AG274" i="28"/>
  <c r="AF274" i="28"/>
  <c r="AL273" i="28"/>
  <c r="AM273" i="28" s="1"/>
  <c r="AK273" i="28"/>
  <c r="AG273" i="28"/>
  <c r="AF273" i="28"/>
  <c r="AL272" i="28"/>
  <c r="AK272" i="28"/>
  <c r="AG272" i="28"/>
  <c r="AF272" i="28"/>
  <c r="AL271" i="28"/>
  <c r="AK271" i="28"/>
  <c r="AG271" i="28"/>
  <c r="AF271" i="28"/>
  <c r="AL270" i="28"/>
  <c r="AK270" i="28"/>
  <c r="AG270" i="28"/>
  <c r="AH270" i="28" s="1"/>
  <c r="AF270" i="28"/>
  <c r="AL269" i="28"/>
  <c r="AK269" i="28"/>
  <c r="AM269" i="28" s="1"/>
  <c r="AG269" i="28"/>
  <c r="AF269" i="28"/>
  <c r="AL268" i="28"/>
  <c r="AK268" i="28"/>
  <c r="AG268" i="28"/>
  <c r="AF268" i="28"/>
  <c r="AL267" i="28"/>
  <c r="AM267" i="28" s="1"/>
  <c r="AK267" i="28"/>
  <c r="AG267" i="28"/>
  <c r="AF267" i="28"/>
  <c r="AL266" i="28"/>
  <c r="AK266" i="28"/>
  <c r="AG266" i="28"/>
  <c r="AF266" i="28"/>
  <c r="AL265" i="28"/>
  <c r="AK265" i="28"/>
  <c r="AG265" i="28"/>
  <c r="AH265" i="28" s="1"/>
  <c r="AF265" i="28"/>
  <c r="AL264" i="28"/>
  <c r="AK264" i="28"/>
  <c r="AG264" i="28"/>
  <c r="AF264" i="28"/>
  <c r="AL263" i="28"/>
  <c r="AK263" i="28"/>
  <c r="AG263" i="28"/>
  <c r="AF263" i="28"/>
  <c r="AL262" i="28"/>
  <c r="AK262" i="28"/>
  <c r="AG262" i="28"/>
  <c r="AF262" i="28"/>
  <c r="AL261" i="28"/>
  <c r="AK261" i="28"/>
  <c r="AG261" i="28"/>
  <c r="AF261" i="28"/>
  <c r="AL260" i="28"/>
  <c r="AK260" i="28"/>
  <c r="AG260" i="28"/>
  <c r="AF260" i="28"/>
  <c r="AL259" i="28"/>
  <c r="AK259" i="28"/>
  <c r="AG259" i="28"/>
  <c r="AF259" i="28"/>
  <c r="AL258" i="28"/>
  <c r="AK258" i="28"/>
  <c r="AG258" i="28"/>
  <c r="AF258" i="28"/>
  <c r="AL257" i="28"/>
  <c r="AK257" i="28"/>
  <c r="AG257" i="28"/>
  <c r="AF257" i="28"/>
  <c r="AL256" i="28"/>
  <c r="AK256" i="28"/>
  <c r="AG256" i="28"/>
  <c r="AF256" i="28"/>
  <c r="AL255" i="28"/>
  <c r="AK255" i="28"/>
  <c r="AG255" i="28"/>
  <c r="AF255" i="28"/>
  <c r="AL254" i="28"/>
  <c r="AK254" i="28"/>
  <c r="AG254" i="28"/>
  <c r="AF254" i="28"/>
  <c r="AL253" i="28"/>
  <c r="AK253" i="28"/>
  <c r="AG253" i="28"/>
  <c r="AF253" i="28"/>
  <c r="AL252" i="28"/>
  <c r="AK252" i="28"/>
  <c r="AG252" i="28"/>
  <c r="AF252" i="28"/>
  <c r="AL251" i="28"/>
  <c r="AK251" i="28"/>
  <c r="AG251" i="28"/>
  <c r="AF251" i="28"/>
  <c r="AL250" i="28"/>
  <c r="AK250" i="28"/>
  <c r="AG250" i="28"/>
  <c r="AF250" i="28"/>
  <c r="AL249" i="28"/>
  <c r="AK249" i="28"/>
  <c r="AG249" i="28"/>
  <c r="AF249" i="28"/>
  <c r="AL248" i="28"/>
  <c r="AK248" i="28"/>
  <c r="AG248" i="28"/>
  <c r="AF248" i="28"/>
  <c r="AL247" i="28"/>
  <c r="AK247" i="28"/>
  <c r="AG247" i="28"/>
  <c r="AF247" i="28"/>
  <c r="AL246" i="28"/>
  <c r="AK246" i="28"/>
  <c r="AG246" i="28"/>
  <c r="AF246" i="28"/>
  <c r="AL245" i="28"/>
  <c r="AK245" i="28"/>
  <c r="AG245" i="28"/>
  <c r="AF245" i="28"/>
  <c r="AH245" i="28" s="1"/>
  <c r="AL244" i="28"/>
  <c r="AK244" i="28"/>
  <c r="AG244" i="28"/>
  <c r="AF244" i="28"/>
  <c r="AL243" i="28"/>
  <c r="AK243" i="28"/>
  <c r="AG243" i="28"/>
  <c r="AF243" i="28"/>
  <c r="AL242" i="28"/>
  <c r="AK242" i="28"/>
  <c r="AG242" i="28"/>
  <c r="AF242" i="28"/>
  <c r="AL241" i="28"/>
  <c r="AK241" i="28"/>
  <c r="AG241" i="28"/>
  <c r="AF241" i="28"/>
  <c r="AL240" i="28"/>
  <c r="AK240" i="28"/>
  <c r="AG240" i="28"/>
  <c r="AF240" i="28"/>
  <c r="AL239" i="28"/>
  <c r="AK239" i="28"/>
  <c r="AG239" i="28"/>
  <c r="AF239" i="28"/>
  <c r="AL238" i="28"/>
  <c r="AK238" i="28"/>
  <c r="AG238" i="28"/>
  <c r="AF238" i="28"/>
  <c r="AL237" i="28"/>
  <c r="AK237" i="28"/>
  <c r="AG237" i="28"/>
  <c r="AF237" i="28"/>
  <c r="AL236" i="28"/>
  <c r="AK236" i="28"/>
  <c r="AG236" i="28"/>
  <c r="AF236" i="28"/>
  <c r="AL235" i="28"/>
  <c r="AK235" i="28"/>
  <c r="AG235" i="28"/>
  <c r="AF235" i="28"/>
  <c r="AL234" i="28"/>
  <c r="AK234" i="28"/>
  <c r="AG234" i="28"/>
  <c r="AF234" i="28"/>
  <c r="AL233" i="28"/>
  <c r="AK233" i="28"/>
  <c r="AG233" i="28"/>
  <c r="AF233" i="28"/>
  <c r="AL232" i="28"/>
  <c r="AK232" i="28"/>
  <c r="AG232" i="28"/>
  <c r="AF232" i="28"/>
  <c r="AL231" i="28"/>
  <c r="AK231" i="28"/>
  <c r="AG231" i="28"/>
  <c r="AF231" i="28"/>
  <c r="AL230" i="28"/>
  <c r="AK230" i="28"/>
  <c r="AG230" i="28"/>
  <c r="AF230" i="28"/>
  <c r="AL229" i="28"/>
  <c r="AK229" i="28"/>
  <c r="AG229" i="28"/>
  <c r="AF229" i="28"/>
  <c r="AL228" i="28"/>
  <c r="AK228" i="28"/>
  <c r="AG228" i="28"/>
  <c r="AF228" i="28"/>
  <c r="AL227" i="28"/>
  <c r="AK227" i="28"/>
  <c r="AG227" i="28"/>
  <c r="AF227" i="28"/>
  <c r="AL226" i="28"/>
  <c r="AK226" i="28"/>
  <c r="AG226" i="28"/>
  <c r="AF226" i="28"/>
  <c r="AL225" i="28"/>
  <c r="AK225" i="28"/>
  <c r="AG225" i="28"/>
  <c r="AF225" i="28"/>
  <c r="AL224" i="28"/>
  <c r="AK224" i="28"/>
  <c r="AG224" i="28"/>
  <c r="AF224" i="28"/>
  <c r="AL223" i="28"/>
  <c r="AK223" i="28"/>
  <c r="AG223" i="28"/>
  <c r="AF223" i="28"/>
  <c r="AL222" i="28"/>
  <c r="AK222" i="28"/>
  <c r="AG222" i="28"/>
  <c r="AF222" i="28"/>
  <c r="AL221" i="28"/>
  <c r="AK221" i="28"/>
  <c r="AG221" i="28"/>
  <c r="AF221" i="28"/>
  <c r="AH221" i="28" s="1"/>
  <c r="AL220" i="28"/>
  <c r="AK220" i="28"/>
  <c r="AG220" i="28"/>
  <c r="AF220" i="28"/>
  <c r="AL219" i="28"/>
  <c r="AK219" i="28"/>
  <c r="AG219" i="28"/>
  <c r="AF219" i="28"/>
  <c r="AL218" i="28"/>
  <c r="AK218" i="28"/>
  <c r="AG218" i="28"/>
  <c r="AF218" i="28"/>
  <c r="AL217" i="28"/>
  <c r="AK217" i="28"/>
  <c r="AG217" i="28"/>
  <c r="AF217" i="28"/>
  <c r="AL216" i="28"/>
  <c r="AK216" i="28"/>
  <c r="AG216" i="28"/>
  <c r="AF216" i="28"/>
  <c r="AL215" i="28"/>
  <c r="AK215" i="28"/>
  <c r="AG215" i="28"/>
  <c r="AF215" i="28"/>
  <c r="AH215" i="28" s="1"/>
  <c r="AL214" i="28"/>
  <c r="AK214" i="28"/>
  <c r="AG214" i="28"/>
  <c r="AF214" i="28"/>
  <c r="AL213" i="28"/>
  <c r="AK213" i="28"/>
  <c r="AG213" i="28"/>
  <c r="AF213" i="28"/>
  <c r="AL212" i="28"/>
  <c r="AK212" i="28"/>
  <c r="AG212" i="28"/>
  <c r="AF212" i="28"/>
  <c r="AL211" i="28"/>
  <c r="AK211" i="28"/>
  <c r="AG211" i="28"/>
  <c r="AF211" i="28"/>
  <c r="AL210" i="28"/>
  <c r="AK210" i="28"/>
  <c r="AG210" i="28"/>
  <c r="AF210" i="28"/>
  <c r="AL209" i="28"/>
  <c r="AK209" i="28"/>
  <c r="AG209" i="28"/>
  <c r="AF209" i="28"/>
  <c r="AL208" i="28"/>
  <c r="AK208" i="28"/>
  <c r="AG208" i="28"/>
  <c r="AF208" i="28"/>
  <c r="AL207" i="28"/>
  <c r="AK207" i="28"/>
  <c r="AG207" i="28"/>
  <c r="AF207" i="28"/>
  <c r="AL206" i="28"/>
  <c r="AK206" i="28"/>
  <c r="AG206" i="28"/>
  <c r="AF206" i="28"/>
  <c r="AL205" i="28"/>
  <c r="AK205" i="28"/>
  <c r="AG205" i="28"/>
  <c r="AF205" i="28"/>
  <c r="AL204" i="28"/>
  <c r="AK204" i="28"/>
  <c r="AG204" i="28"/>
  <c r="AF204" i="28"/>
  <c r="AL203" i="28"/>
  <c r="AK203" i="28"/>
  <c r="AG203" i="28"/>
  <c r="AF203" i="28"/>
  <c r="AL202" i="28"/>
  <c r="AK202" i="28"/>
  <c r="AG202" i="28"/>
  <c r="AF202" i="28"/>
  <c r="AL201" i="28"/>
  <c r="AM201" i="28" s="1"/>
  <c r="AK201" i="28"/>
  <c r="AG201" i="28"/>
  <c r="AF201" i="28"/>
  <c r="AL200" i="28"/>
  <c r="AK200" i="28"/>
  <c r="AG200" i="28"/>
  <c r="AF200" i="28"/>
  <c r="AL199" i="28"/>
  <c r="AK199" i="28"/>
  <c r="AG199" i="28"/>
  <c r="AF199" i="28"/>
  <c r="AL198" i="28"/>
  <c r="AK198" i="28"/>
  <c r="AG198" i="28"/>
  <c r="AF198" i="28"/>
  <c r="AL197" i="28"/>
  <c r="AK197" i="28"/>
  <c r="AM197" i="28" s="1"/>
  <c r="AG197" i="28"/>
  <c r="AF197" i="28"/>
  <c r="AL196" i="28"/>
  <c r="AK196" i="28"/>
  <c r="AG196" i="28"/>
  <c r="AF196" i="28"/>
  <c r="AL195" i="28"/>
  <c r="AM195" i="28" s="1"/>
  <c r="AK195" i="28"/>
  <c r="AG195" i="28"/>
  <c r="AF195" i="28"/>
  <c r="AH195" i="28" s="1"/>
  <c r="AL194" i="28"/>
  <c r="AK194" i="28"/>
  <c r="AG194" i="28"/>
  <c r="AF194" i="28"/>
  <c r="AL193" i="28"/>
  <c r="AK193" i="28"/>
  <c r="AM193" i="28" s="1"/>
  <c r="AG193" i="28"/>
  <c r="AF193" i="28"/>
  <c r="AL192" i="28"/>
  <c r="AK192" i="28"/>
  <c r="AG192" i="28"/>
  <c r="AF192" i="28"/>
  <c r="AL191" i="28"/>
  <c r="AK191" i="28"/>
  <c r="AG191" i="28"/>
  <c r="AF191" i="28"/>
  <c r="AL190" i="28"/>
  <c r="AK190" i="28"/>
  <c r="AG190" i="28"/>
  <c r="AF190" i="28"/>
  <c r="AL189" i="28"/>
  <c r="AK189" i="28"/>
  <c r="AG189" i="28"/>
  <c r="AF189" i="28"/>
  <c r="AL188" i="28"/>
  <c r="AK188" i="28"/>
  <c r="AG188" i="28"/>
  <c r="AF188" i="28"/>
  <c r="AL187" i="28"/>
  <c r="AK187" i="28"/>
  <c r="AG187" i="28"/>
  <c r="AF187" i="28"/>
  <c r="AL186" i="28"/>
  <c r="AM186" i="28" s="1"/>
  <c r="AK186" i="28"/>
  <c r="AG186" i="28"/>
  <c r="AF186" i="28"/>
  <c r="AL185" i="28"/>
  <c r="AK185" i="28"/>
  <c r="AG185" i="28"/>
  <c r="AF185" i="28"/>
  <c r="AL184" i="28"/>
  <c r="AK184" i="28"/>
  <c r="AG184" i="28"/>
  <c r="AF184" i="28"/>
  <c r="AL183" i="28"/>
  <c r="AM183" i="28" s="1"/>
  <c r="AK183" i="28"/>
  <c r="AG183" i="28"/>
  <c r="AF183" i="28"/>
  <c r="AL182" i="28"/>
  <c r="AK182" i="28"/>
  <c r="AG182" i="28"/>
  <c r="AF182" i="28"/>
  <c r="AL181" i="28"/>
  <c r="AK181" i="28"/>
  <c r="AG181" i="28"/>
  <c r="AF181" i="28"/>
  <c r="AL180" i="28"/>
  <c r="AK180" i="28"/>
  <c r="AG180" i="28"/>
  <c r="AF180" i="28"/>
  <c r="AL179" i="28"/>
  <c r="AK179" i="28"/>
  <c r="AG179" i="28"/>
  <c r="AF179" i="28"/>
  <c r="AL178" i="28"/>
  <c r="AK178" i="28"/>
  <c r="AG178" i="28"/>
  <c r="AF178" i="28"/>
  <c r="AL177" i="28"/>
  <c r="AK177" i="28"/>
  <c r="AG177" i="28"/>
  <c r="AF177" i="28"/>
  <c r="AL176" i="28"/>
  <c r="AK176" i="28"/>
  <c r="AG176" i="28"/>
  <c r="AF176" i="28"/>
  <c r="AL175" i="28"/>
  <c r="AK175" i="28"/>
  <c r="AG175" i="28"/>
  <c r="AF175" i="28"/>
  <c r="AL174" i="28"/>
  <c r="AK174" i="28"/>
  <c r="AG174" i="28"/>
  <c r="AF174" i="28"/>
  <c r="AL173" i="28"/>
  <c r="AK173" i="28"/>
  <c r="AG173" i="28"/>
  <c r="AF173" i="28"/>
  <c r="AL172" i="28"/>
  <c r="AK172" i="28"/>
  <c r="AG172" i="28"/>
  <c r="AF172" i="28"/>
  <c r="AL171" i="28"/>
  <c r="AK171" i="28"/>
  <c r="AG171" i="28"/>
  <c r="AF171" i="28"/>
  <c r="AL170" i="28"/>
  <c r="AK170" i="28"/>
  <c r="AG170" i="28"/>
  <c r="AF170" i="28"/>
  <c r="AL169" i="28"/>
  <c r="AK169" i="28"/>
  <c r="AG169" i="28"/>
  <c r="AF169" i="28"/>
  <c r="AL168" i="28"/>
  <c r="AK168" i="28"/>
  <c r="AG168" i="28"/>
  <c r="AF168" i="28"/>
  <c r="AL167" i="28"/>
  <c r="AK167" i="28"/>
  <c r="AG167" i="28"/>
  <c r="AF167" i="28"/>
  <c r="AL166" i="28"/>
  <c r="AK166" i="28"/>
  <c r="AG166" i="28"/>
  <c r="AF166" i="28"/>
  <c r="AL165" i="28"/>
  <c r="AK165" i="28"/>
  <c r="AG165" i="28"/>
  <c r="AF165" i="28"/>
  <c r="AL164" i="28"/>
  <c r="AK164" i="28"/>
  <c r="AG164" i="28"/>
  <c r="AF164" i="28"/>
  <c r="AL163" i="28"/>
  <c r="AK163" i="28"/>
  <c r="AG163" i="28"/>
  <c r="AF163" i="28"/>
  <c r="AL162" i="28"/>
  <c r="AK162" i="28"/>
  <c r="AG162" i="28"/>
  <c r="AF162" i="28"/>
  <c r="AL161" i="28"/>
  <c r="AK161" i="28"/>
  <c r="AG161" i="28"/>
  <c r="AF161" i="28"/>
  <c r="AL160" i="28"/>
  <c r="AK160" i="28"/>
  <c r="AG160" i="28"/>
  <c r="AF160" i="28"/>
  <c r="AL159" i="28"/>
  <c r="AK159" i="28"/>
  <c r="AG159" i="28"/>
  <c r="AF159" i="28"/>
  <c r="AL158" i="28"/>
  <c r="AK158" i="28"/>
  <c r="AM158" i="28" s="1"/>
  <c r="AG158" i="28"/>
  <c r="AF158" i="28"/>
  <c r="AL157" i="28"/>
  <c r="AK157" i="28"/>
  <c r="AG157" i="28"/>
  <c r="AF157" i="28"/>
  <c r="AL156" i="28"/>
  <c r="AK156" i="28"/>
  <c r="AG156" i="28"/>
  <c r="AF156" i="28"/>
  <c r="AL155" i="28"/>
  <c r="AK155" i="28"/>
  <c r="AG155" i="28"/>
  <c r="AF155" i="28"/>
  <c r="AL154" i="28"/>
  <c r="AK154" i="28"/>
  <c r="AG154" i="28"/>
  <c r="AF154" i="28"/>
  <c r="AL153" i="28"/>
  <c r="AM153" i="28" s="1"/>
  <c r="AK153" i="28"/>
  <c r="AG153" i="28"/>
  <c r="AF153" i="28"/>
  <c r="AL152" i="28"/>
  <c r="AK152" i="28"/>
  <c r="AG152" i="28"/>
  <c r="AF152" i="28"/>
  <c r="AL151" i="28"/>
  <c r="AK151" i="28"/>
  <c r="AG151" i="28"/>
  <c r="AF151" i="28"/>
  <c r="AL150" i="28"/>
  <c r="AK150" i="28"/>
  <c r="AG150" i="28"/>
  <c r="AF150" i="28"/>
  <c r="AL149" i="28"/>
  <c r="AK149" i="28"/>
  <c r="AG149" i="28"/>
  <c r="AF149" i="28"/>
  <c r="AL148" i="28"/>
  <c r="AK148" i="28"/>
  <c r="AG148" i="28"/>
  <c r="AF148" i="28"/>
  <c r="AL147" i="28"/>
  <c r="AK147" i="28"/>
  <c r="AG147" i="28"/>
  <c r="AF147" i="28"/>
  <c r="AH147" i="28" s="1"/>
  <c r="AL146" i="28"/>
  <c r="AK146" i="28"/>
  <c r="AM146" i="28" s="1"/>
  <c r="AG146" i="28"/>
  <c r="AF146" i="28"/>
  <c r="AL145" i="28"/>
  <c r="AK145" i="28"/>
  <c r="AG145" i="28"/>
  <c r="AF145" i="28"/>
  <c r="AL144" i="28"/>
  <c r="AK144" i="28"/>
  <c r="AG144" i="28"/>
  <c r="AF144" i="28"/>
  <c r="AL143" i="28"/>
  <c r="AK143" i="28"/>
  <c r="AG143" i="28"/>
  <c r="AF143" i="28"/>
  <c r="AL142" i="28"/>
  <c r="AK142" i="28"/>
  <c r="AG142" i="28"/>
  <c r="AF142" i="28"/>
  <c r="AL141" i="28"/>
  <c r="AM141" i="28" s="1"/>
  <c r="AK141" i="28"/>
  <c r="AG141" i="28"/>
  <c r="AF141" i="28"/>
  <c r="AL140" i="28"/>
  <c r="AK140" i="28"/>
  <c r="AG140" i="28"/>
  <c r="AF140" i="28"/>
  <c r="AL139" i="28"/>
  <c r="AK139" i="28"/>
  <c r="AG139" i="28"/>
  <c r="AF139" i="28"/>
  <c r="AL138" i="28"/>
  <c r="AK138" i="28"/>
  <c r="AG138" i="28"/>
  <c r="AF138" i="28"/>
  <c r="AL137" i="28"/>
  <c r="AK137" i="28"/>
  <c r="AG137" i="28"/>
  <c r="AF137" i="28"/>
  <c r="AL136" i="28"/>
  <c r="AK136" i="28"/>
  <c r="AG136" i="28"/>
  <c r="AF136" i="28"/>
  <c r="AL135" i="28"/>
  <c r="AK135" i="28"/>
  <c r="AG135" i="28"/>
  <c r="AF135" i="28"/>
  <c r="AL134" i="28"/>
  <c r="AK134" i="28"/>
  <c r="AG134" i="28"/>
  <c r="AF134" i="28"/>
  <c r="AL133" i="28"/>
  <c r="AK133" i="28"/>
  <c r="AG133" i="28"/>
  <c r="AF133" i="28"/>
  <c r="AL132" i="28"/>
  <c r="AK132" i="28"/>
  <c r="AG132" i="28"/>
  <c r="AF132" i="28"/>
  <c r="AL131" i="28"/>
  <c r="AK131" i="28"/>
  <c r="AG131" i="28"/>
  <c r="AF131" i="28"/>
  <c r="AL130" i="28"/>
  <c r="AK130" i="28"/>
  <c r="AG130" i="28"/>
  <c r="AF130" i="28"/>
  <c r="AL129" i="28"/>
  <c r="AK129" i="28"/>
  <c r="AG129" i="28"/>
  <c r="AF129" i="28"/>
  <c r="AL128" i="28"/>
  <c r="AK128" i="28"/>
  <c r="AG128" i="28"/>
  <c r="AF128" i="28"/>
  <c r="AL127" i="28"/>
  <c r="AK127" i="28"/>
  <c r="AG127" i="28"/>
  <c r="AF127" i="28"/>
  <c r="AL126" i="28"/>
  <c r="AK126" i="28"/>
  <c r="AG126" i="28"/>
  <c r="AF126" i="28"/>
  <c r="AL125" i="28"/>
  <c r="AK125" i="28"/>
  <c r="AG125" i="28"/>
  <c r="AF125" i="28"/>
  <c r="AL124" i="28"/>
  <c r="AK124" i="28"/>
  <c r="AG124" i="28"/>
  <c r="AF124" i="28"/>
  <c r="AL123" i="28"/>
  <c r="AK123" i="28"/>
  <c r="AG123" i="28"/>
  <c r="AF123" i="28"/>
  <c r="AL122" i="28"/>
  <c r="AK122" i="28"/>
  <c r="AG122" i="28"/>
  <c r="AF122" i="28"/>
  <c r="AL121" i="28"/>
  <c r="AK121" i="28"/>
  <c r="AG121" i="28"/>
  <c r="AF121" i="28"/>
  <c r="AL120" i="28"/>
  <c r="AK120" i="28"/>
  <c r="AG120" i="28"/>
  <c r="AF120" i="28"/>
  <c r="AL119" i="28"/>
  <c r="AK119" i="28"/>
  <c r="AG119" i="28"/>
  <c r="AF119" i="28"/>
  <c r="AL118" i="28"/>
  <c r="AK118" i="28"/>
  <c r="AG118" i="28"/>
  <c r="AF118" i="28"/>
  <c r="AL117" i="28"/>
  <c r="AK117" i="28"/>
  <c r="AG117" i="28"/>
  <c r="AF117" i="28"/>
  <c r="AL116" i="28"/>
  <c r="AK116" i="28"/>
  <c r="AG116" i="28"/>
  <c r="AF116" i="28"/>
  <c r="AL115" i="28"/>
  <c r="AK115" i="28"/>
  <c r="AG115" i="28"/>
  <c r="AF115" i="28"/>
  <c r="AL114" i="28"/>
  <c r="AK114" i="28"/>
  <c r="AG114" i="28"/>
  <c r="AF114" i="28"/>
  <c r="AL113" i="28"/>
  <c r="AK113" i="28"/>
  <c r="AG113" i="28"/>
  <c r="AF113" i="28"/>
  <c r="AL112" i="28"/>
  <c r="AK112" i="28"/>
  <c r="AG112" i="28"/>
  <c r="AF112" i="28"/>
  <c r="AL111" i="28"/>
  <c r="AK111" i="28"/>
  <c r="AG111" i="28"/>
  <c r="AF111" i="28"/>
  <c r="AL110" i="28"/>
  <c r="AK110" i="28"/>
  <c r="AG110" i="28"/>
  <c r="AF110" i="28"/>
  <c r="AL109" i="28"/>
  <c r="AK109" i="28"/>
  <c r="AG109" i="28"/>
  <c r="AF109" i="28"/>
  <c r="AL108" i="28"/>
  <c r="AK108" i="28"/>
  <c r="AG108" i="28"/>
  <c r="AF108" i="28"/>
  <c r="AL107" i="28"/>
  <c r="AK107" i="28"/>
  <c r="AG107" i="28"/>
  <c r="AF107" i="28"/>
  <c r="AL106" i="28"/>
  <c r="AK106" i="28"/>
  <c r="AG106" i="28"/>
  <c r="AF106" i="28"/>
  <c r="AL105" i="28"/>
  <c r="AK105" i="28"/>
  <c r="AG105" i="28"/>
  <c r="AF105" i="28"/>
  <c r="AL104" i="28"/>
  <c r="AK104" i="28"/>
  <c r="AG104" i="28"/>
  <c r="AF104" i="28"/>
  <c r="AL103" i="28"/>
  <c r="AK103" i="28"/>
  <c r="AG103" i="28"/>
  <c r="AF103" i="28"/>
  <c r="AL102" i="28"/>
  <c r="AK102" i="28"/>
  <c r="AG102" i="28"/>
  <c r="AF102" i="28"/>
  <c r="AL101" i="28"/>
  <c r="AK101" i="28"/>
  <c r="AG101" i="28"/>
  <c r="AF101" i="28"/>
  <c r="AL100" i="28"/>
  <c r="AK100" i="28"/>
  <c r="AG100" i="28"/>
  <c r="AH100" i="28" s="1"/>
  <c r="AF100" i="28"/>
  <c r="AL99" i="28"/>
  <c r="AK99" i="28"/>
  <c r="AG99" i="28"/>
  <c r="AF99" i="28"/>
  <c r="AH99" i="28" s="1"/>
  <c r="AL98" i="28"/>
  <c r="AK98" i="28"/>
  <c r="AG98" i="28"/>
  <c r="AF98" i="28"/>
  <c r="AL97" i="28"/>
  <c r="AK97" i="28"/>
  <c r="AG97" i="28"/>
  <c r="AF97" i="28"/>
  <c r="AL96" i="28"/>
  <c r="AK96" i="28"/>
  <c r="AG96" i="28"/>
  <c r="AF96" i="28"/>
  <c r="AL95" i="28"/>
  <c r="AK95" i="28"/>
  <c r="AG95" i="28"/>
  <c r="AF95" i="28"/>
  <c r="AL94" i="28"/>
  <c r="AK94" i="28"/>
  <c r="AG94" i="28"/>
  <c r="AF94" i="28"/>
  <c r="AL93" i="28"/>
  <c r="AK93" i="28"/>
  <c r="AG93" i="28"/>
  <c r="AF93" i="28"/>
  <c r="AL92" i="28"/>
  <c r="AK92" i="28"/>
  <c r="AG92" i="28"/>
  <c r="AF92" i="28"/>
  <c r="AL91" i="28"/>
  <c r="AK91" i="28"/>
  <c r="AG91" i="28"/>
  <c r="AF91" i="28"/>
  <c r="AL90" i="28"/>
  <c r="AK90" i="28"/>
  <c r="AG90" i="28"/>
  <c r="AF90" i="28"/>
  <c r="AL89" i="28"/>
  <c r="AK89" i="28"/>
  <c r="AG89" i="28"/>
  <c r="AF89" i="28"/>
  <c r="AL88" i="28"/>
  <c r="AK88" i="28"/>
  <c r="AG88" i="28"/>
  <c r="AF88" i="28"/>
  <c r="AL87" i="28"/>
  <c r="AK87" i="28"/>
  <c r="AG87" i="28"/>
  <c r="AF87" i="28"/>
  <c r="AL86" i="28"/>
  <c r="AK86" i="28"/>
  <c r="AG86" i="28"/>
  <c r="AF86" i="28"/>
  <c r="AL85" i="28"/>
  <c r="AK85" i="28"/>
  <c r="AG85" i="28"/>
  <c r="AH85" i="28" s="1"/>
  <c r="AF85" i="28"/>
  <c r="AL84" i="28"/>
  <c r="AK84" i="28"/>
  <c r="AG84" i="28"/>
  <c r="AF84" i="28"/>
  <c r="AL83" i="28"/>
  <c r="AK83" i="28"/>
  <c r="AG83" i="28"/>
  <c r="AF83" i="28"/>
  <c r="AH83" i="28" s="1"/>
  <c r="AL82" i="28"/>
  <c r="AK82" i="28"/>
  <c r="AG82" i="28"/>
  <c r="AF82" i="28"/>
  <c r="AL81" i="28"/>
  <c r="AK81" i="28"/>
  <c r="AG81" i="28"/>
  <c r="AF81" i="28"/>
  <c r="AL80" i="28"/>
  <c r="AK80" i="28"/>
  <c r="AG80" i="28"/>
  <c r="AF80" i="28"/>
  <c r="AL79" i="28"/>
  <c r="AK79" i="28"/>
  <c r="AG79" i="28"/>
  <c r="AF79" i="28"/>
  <c r="AL78" i="28"/>
  <c r="AK78" i="28"/>
  <c r="AG78" i="28"/>
  <c r="AF78" i="28"/>
  <c r="AL77" i="28"/>
  <c r="AK77" i="28"/>
  <c r="AG77" i="28"/>
  <c r="AF77" i="28"/>
  <c r="AL76" i="28"/>
  <c r="AM76" i="28" s="1"/>
  <c r="AK76" i="28"/>
  <c r="AG76" i="28"/>
  <c r="AF76" i="28"/>
  <c r="AL75" i="28"/>
  <c r="AK75" i="28"/>
  <c r="AG75" i="28"/>
  <c r="AF75" i="28"/>
  <c r="AL74" i="28"/>
  <c r="AK74" i="28"/>
  <c r="AG74" i="28"/>
  <c r="AF74" i="28"/>
  <c r="AL73" i="28"/>
  <c r="AK73" i="28"/>
  <c r="AG73" i="28"/>
  <c r="AF73" i="28"/>
  <c r="AL72" i="28"/>
  <c r="AK72" i="28"/>
  <c r="AG72" i="28"/>
  <c r="AF72" i="28"/>
  <c r="AL71" i="28"/>
  <c r="AK71" i="28"/>
  <c r="AG71" i="28"/>
  <c r="AF71" i="28"/>
  <c r="AL70" i="28"/>
  <c r="AK70" i="28"/>
  <c r="AG70" i="28"/>
  <c r="AF70" i="28"/>
  <c r="AL69" i="28"/>
  <c r="AK69" i="28"/>
  <c r="AG69" i="28"/>
  <c r="AF69" i="28"/>
  <c r="AL68" i="28"/>
  <c r="AK68" i="28"/>
  <c r="AG68" i="28"/>
  <c r="AF68" i="28"/>
  <c r="AL67" i="28"/>
  <c r="AK67" i="28"/>
  <c r="AG67" i="28"/>
  <c r="AF67" i="28"/>
  <c r="AL66" i="28"/>
  <c r="AK66" i="28"/>
  <c r="AG66" i="28"/>
  <c r="AF66" i="28"/>
  <c r="AL65" i="28"/>
  <c r="AK65" i="28"/>
  <c r="AG65" i="28"/>
  <c r="AH65" i="28" s="1"/>
  <c r="AF65" i="28"/>
  <c r="AL64" i="28"/>
  <c r="AK64" i="28"/>
  <c r="AG64" i="28"/>
  <c r="AF64" i="28"/>
  <c r="AL63" i="28"/>
  <c r="AK63" i="28"/>
  <c r="AG63" i="28"/>
  <c r="AF63" i="28"/>
  <c r="AL62" i="28"/>
  <c r="AK62" i="28"/>
  <c r="AG62" i="28"/>
  <c r="AF62" i="28"/>
  <c r="AL61" i="28"/>
  <c r="AK61" i="28"/>
  <c r="AG61" i="28"/>
  <c r="AF61" i="28"/>
  <c r="AL60" i="28"/>
  <c r="AK60" i="28"/>
  <c r="AG60" i="28"/>
  <c r="AF60" i="28"/>
  <c r="AL59" i="28"/>
  <c r="AK59" i="28"/>
  <c r="AG59" i="28"/>
  <c r="AF59" i="28"/>
  <c r="AL58" i="28"/>
  <c r="AK58" i="28"/>
  <c r="AG58" i="28"/>
  <c r="AF58" i="28"/>
  <c r="AL57" i="28"/>
  <c r="AK57" i="28"/>
  <c r="AG57" i="28"/>
  <c r="AF57" i="28"/>
  <c r="AL56" i="28"/>
  <c r="AK56" i="28"/>
  <c r="AG56" i="28"/>
  <c r="AF56" i="28"/>
  <c r="AL55" i="28"/>
  <c r="AK55" i="28"/>
  <c r="AG55" i="28"/>
  <c r="AF55" i="28"/>
  <c r="AL54" i="28"/>
  <c r="AK54" i="28"/>
  <c r="AG54" i="28"/>
  <c r="AF54" i="28"/>
  <c r="AL53" i="28"/>
  <c r="AK53" i="28"/>
  <c r="AG53" i="28"/>
  <c r="AF53" i="28"/>
  <c r="AL52" i="28"/>
  <c r="AK52" i="28"/>
  <c r="AG52" i="28"/>
  <c r="AF52" i="28"/>
  <c r="AL51" i="28"/>
  <c r="AK51" i="28"/>
  <c r="AG51" i="28"/>
  <c r="AF51" i="28"/>
  <c r="AH51" i="28" s="1"/>
  <c r="AL50" i="28"/>
  <c r="AK50" i="28"/>
  <c r="AG50" i="28"/>
  <c r="AF50" i="28"/>
  <c r="AL49" i="28"/>
  <c r="AK49" i="28"/>
  <c r="AG49" i="28"/>
  <c r="AF49" i="28"/>
  <c r="AL48" i="28"/>
  <c r="AK48" i="28"/>
  <c r="AG48" i="28"/>
  <c r="AF48" i="28"/>
  <c r="AL47" i="28"/>
  <c r="AK47" i="28"/>
  <c r="AG47" i="28"/>
  <c r="AF47" i="28"/>
  <c r="AL46" i="28"/>
  <c r="AK46" i="28"/>
  <c r="AG46" i="28"/>
  <c r="AF46" i="28"/>
  <c r="AL45" i="28"/>
  <c r="AK45" i="28"/>
  <c r="AG45" i="28"/>
  <c r="AF45" i="28"/>
  <c r="AL44" i="28"/>
  <c r="AK44" i="28"/>
  <c r="AG44" i="28"/>
  <c r="AF44" i="28"/>
  <c r="AL43" i="28"/>
  <c r="AK43" i="28"/>
  <c r="AG43" i="28"/>
  <c r="AF43" i="28"/>
  <c r="AL42" i="28"/>
  <c r="AK42" i="28"/>
  <c r="AG42" i="28"/>
  <c r="AF42" i="28"/>
  <c r="AL41" i="28"/>
  <c r="AK41" i="28"/>
  <c r="AG41" i="28"/>
  <c r="AF41" i="28"/>
  <c r="AL40" i="28"/>
  <c r="AK40" i="28"/>
  <c r="AG40" i="28"/>
  <c r="AF40" i="28"/>
  <c r="AL39" i="28"/>
  <c r="AK39" i="28"/>
  <c r="AG39" i="28"/>
  <c r="AF39" i="28"/>
  <c r="AH39" i="28" s="1"/>
  <c r="AL38" i="28"/>
  <c r="AK38" i="28"/>
  <c r="AG38" i="28"/>
  <c r="AF38" i="28"/>
  <c r="AL37" i="28"/>
  <c r="AK37" i="28"/>
  <c r="AG37" i="28"/>
  <c r="AF37" i="28"/>
  <c r="AL36" i="28"/>
  <c r="AK36" i="28"/>
  <c r="AG36" i="28"/>
  <c r="AF36" i="28"/>
  <c r="AL35" i="28"/>
  <c r="AK35" i="28"/>
  <c r="AG35" i="28"/>
  <c r="AF35" i="28"/>
  <c r="AL34" i="28"/>
  <c r="AK34" i="28"/>
  <c r="AG34" i="28"/>
  <c r="AF34" i="28"/>
  <c r="AH34" i="28" s="1"/>
  <c r="AL33" i="28"/>
  <c r="AK33" i="28"/>
  <c r="AG33" i="28"/>
  <c r="AF33" i="28"/>
  <c r="AL32" i="28"/>
  <c r="AK32" i="28"/>
  <c r="AM32" i="28" s="1"/>
  <c r="AG32" i="28"/>
  <c r="AF32" i="28"/>
  <c r="AL31" i="28"/>
  <c r="AK31" i="28"/>
  <c r="AG31" i="28"/>
  <c r="AF31" i="28"/>
  <c r="AL30" i="28"/>
  <c r="AK30" i="28"/>
  <c r="AG30" i="28"/>
  <c r="AF30" i="28"/>
  <c r="AL29" i="28"/>
  <c r="AK29" i="28"/>
  <c r="AG29" i="28"/>
  <c r="AF29" i="28"/>
  <c r="AL28" i="28"/>
  <c r="AK28" i="28"/>
  <c r="AG28" i="28"/>
  <c r="AF28" i="28"/>
  <c r="AL27" i="28"/>
  <c r="AK27" i="28"/>
  <c r="AG27" i="28"/>
  <c r="AF27" i="28"/>
  <c r="AL26" i="28"/>
  <c r="AK26" i="28"/>
  <c r="AM26" i="28" s="1"/>
  <c r="AG26" i="28"/>
  <c r="AH26" i="28" s="1"/>
  <c r="AF26" i="28"/>
  <c r="AL25" i="28"/>
  <c r="AK25" i="28"/>
  <c r="AG25" i="28"/>
  <c r="AF25" i="28"/>
  <c r="AL24" i="28"/>
  <c r="AK24" i="28"/>
  <c r="AG24" i="28"/>
  <c r="AF24" i="28"/>
  <c r="AL23" i="28"/>
  <c r="AK23" i="28"/>
  <c r="AG23" i="28"/>
  <c r="AF23" i="28"/>
  <c r="AL22" i="28"/>
  <c r="AK22" i="28"/>
  <c r="AG22" i="28"/>
  <c r="AF22" i="28"/>
  <c r="AL21" i="28"/>
  <c r="AK21" i="28"/>
  <c r="AG21" i="28"/>
  <c r="AF21" i="28"/>
  <c r="AL20" i="28"/>
  <c r="AK20" i="28"/>
  <c r="AG20" i="28"/>
  <c r="AF20" i="28"/>
  <c r="AL19" i="28"/>
  <c r="AK19" i="28"/>
  <c r="AG19" i="28"/>
  <c r="AF19" i="28"/>
  <c r="AL18" i="28"/>
  <c r="AK18" i="28"/>
  <c r="AG18" i="28"/>
  <c r="AF18" i="28"/>
  <c r="AL17" i="28"/>
  <c r="AK17" i="28"/>
  <c r="AG17" i="28"/>
  <c r="AF17" i="28"/>
  <c r="AL16" i="28"/>
  <c r="AK16" i="28"/>
  <c r="AG16" i="28"/>
  <c r="AF16" i="28"/>
  <c r="AL15" i="28"/>
  <c r="AK15" i="28"/>
  <c r="AG15" i="28"/>
  <c r="AF15" i="28"/>
  <c r="AL14" i="28"/>
  <c r="AK14" i="28"/>
  <c r="AM14" i="28" s="1"/>
  <c r="AG14" i="28"/>
  <c r="AH14" i="28" s="1"/>
  <c r="AF14" i="28"/>
  <c r="AL13" i="28"/>
  <c r="AK13" i="28"/>
  <c r="AG13" i="28"/>
  <c r="AF13" i="28"/>
  <c r="AL12" i="28"/>
  <c r="AK12" i="28"/>
  <c r="AG12" i="28"/>
  <c r="AF12" i="28"/>
  <c r="AL11" i="28"/>
  <c r="AK11" i="28"/>
  <c r="AG11" i="28"/>
  <c r="AF11" i="28"/>
  <c r="AL10" i="28"/>
  <c r="AK10" i="28"/>
  <c r="AG10" i="28"/>
  <c r="AF10" i="28"/>
  <c r="AL9" i="28"/>
  <c r="AK9" i="28"/>
  <c r="AG9" i="28"/>
  <c r="AF9" i="28"/>
  <c r="AH9" i="28" s="1"/>
  <c r="AL8" i="28"/>
  <c r="AK8" i="28"/>
  <c r="AG8" i="28"/>
  <c r="AF8" i="28"/>
  <c r="AL7" i="28"/>
  <c r="AK7" i="28"/>
  <c r="AG7" i="28"/>
  <c r="AF7" i="28"/>
  <c r="AM34" i="28" l="1"/>
  <c r="AM58" i="28"/>
  <c r="AH268" i="28"/>
  <c r="AH289" i="28"/>
  <c r="AM139" i="28"/>
  <c r="AM157" i="28"/>
  <c r="AM319" i="28"/>
  <c r="AM44" i="28"/>
  <c r="AH159" i="28"/>
  <c r="AM93" i="28"/>
  <c r="AH49" i="28"/>
  <c r="AH226" i="28"/>
  <c r="AH262" i="28"/>
  <c r="AM20" i="28"/>
  <c r="AM53" i="28"/>
  <c r="AH89" i="28"/>
  <c r="AH95" i="28"/>
  <c r="AH110" i="28"/>
  <c r="AH122" i="28"/>
  <c r="AH131" i="28"/>
  <c r="AH155" i="28"/>
  <c r="AH182" i="28"/>
  <c r="AH209" i="28"/>
  <c r="AM92" i="28"/>
  <c r="AM128" i="28"/>
  <c r="AM152" i="28"/>
  <c r="AH281" i="28"/>
  <c r="AH296" i="28"/>
  <c r="AM9" i="28"/>
  <c r="AM164" i="28"/>
  <c r="AM173" i="28"/>
  <c r="AM179" i="28"/>
  <c r="AM263" i="28"/>
  <c r="AM48" i="28"/>
  <c r="AM275" i="28"/>
  <c r="AM299" i="28"/>
  <c r="AM308" i="28"/>
  <c r="AM314" i="28"/>
  <c r="AM317" i="28"/>
  <c r="AM69" i="28"/>
  <c r="AM102" i="28"/>
  <c r="AM114" i="28"/>
  <c r="AM132" i="28"/>
  <c r="AM135" i="28"/>
  <c r="AM156" i="28"/>
  <c r="AH216" i="28"/>
  <c r="AH243" i="28"/>
  <c r="AH246" i="28"/>
  <c r="AH252" i="28"/>
  <c r="AH318" i="28"/>
  <c r="AH321" i="28"/>
  <c r="AM56" i="28"/>
  <c r="AH134" i="28"/>
  <c r="AH21" i="28"/>
  <c r="AM95" i="28"/>
  <c r="AM162" i="28"/>
  <c r="AM165" i="28"/>
  <c r="AM213" i="28"/>
  <c r="AM219" i="28"/>
  <c r="AH137" i="28"/>
  <c r="AH170" i="28"/>
  <c r="AH257" i="28"/>
  <c r="AM80" i="28"/>
  <c r="AM46" i="28"/>
  <c r="AM55" i="28"/>
  <c r="AH113" i="28"/>
  <c r="AM36" i="28"/>
  <c r="AM254" i="28"/>
  <c r="AM229" i="28"/>
  <c r="AH27" i="28"/>
  <c r="AH179" i="28"/>
  <c r="AH203" i="28"/>
  <c r="AH329" i="28"/>
  <c r="AM323" i="28"/>
  <c r="AH59" i="28"/>
  <c r="AM67" i="28"/>
  <c r="AM73" i="28"/>
  <c r="AM94" i="28"/>
  <c r="AM103" i="28"/>
  <c r="AM136" i="28"/>
  <c r="AM142" i="28"/>
  <c r="AM151" i="28"/>
  <c r="AH163" i="28"/>
  <c r="AH172" i="28"/>
  <c r="AH184" i="28"/>
  <c r="AH211" i="28"/>
  <c r="AH232" i="28"/>
  <c r="AH250" i="28"/>
  <c r="AM143" i="28"/>
  <c r="AH90" i="28"/>
  <c r="AH108" i="28"/>
  <c r="AH135" i="28"/>
  <c r="AM181" i="28"/>
  <c r="AH208" i="28"/>
  <c r="AM243" i="28"/>
  <c r="AM255" i="28"/>
  <c r="AH18" i="28"/>
  <c r="AH38" i="28"/>
  <c r="AH53" i="28"/>
  <c r="AM61" i="28"/>
  <c r="AM64" i="28"/>
  <c r="AM138" i="28"/>
  <c r="AH173" i="28"/>
  <c r="AH220" i="28"/>
  <c r="AH238" i="28"/>
  <c r="AM258" i="28"/>
  <c r="AH287" i="28"/>
  <c r="AH293" i="28"/>
  <c r="AH314" i="28"/>
  <c r="AH317" i="28"/>
  <c r="AH32" i="28"/>
  <c r="AM72" i="28"/>
  <c r="AM149" i="28"/>
  <c r="AH193" i="28"/>
  <c r="AM225" i="28"/>
  <c r="AM286" i="28"/>
  <c r="AM78" i="28"/>
  <c r="AH114" i="28"/>
  <c r="AM322" i="28"/>
  <c r="AH33" i="28"/>
  <c r="AM96" i="28"/>
  <c r="AM105" i="28"/>
  <c r="AM117" i="28"/>
  <c r="AM126" i="28"/>
  <c r="AM140" i="28"/>
  <c r="AM231" i="28"/>
  <c r="AH67" i="28"/>
  <c r="AH87" i="28"/>
  <c r="AH111" i="28"/>
  <c r="AH161" i="28"/>
  <c r="AM237" i="28"/>
  <c r="AH267" i="28"/>
  <c r="AM325" i="28"/>
  <c r="AH127" i="28"/>
  <c r="AH133" i="28"/>
  <c r="AM150" i="28"/>
  <c r="AH197" i="28"/>
  <c r="AH200" i="28"/>
  <c r="AM235" i="28"/>
  <c r="AM241" i="28"/>
  <c r="AM247" i="28"/>
  <c r="AH259" i="28"/>
  <c r="AM290" i="28"/>
  <c r="AH42" i="28"/>
  <c r="AM62" i="28"/>
  <c r="AH74" i="28"/>
  <c r="AM82" i="28"/>
  <c r="AH145" i="28"/>
  <c r="AH218" i="28"/>
  <c r="AM259" i="28"/>
  <c r="AM262" i="28"/>
  <c r="AM276" i="28"/>
  <c r="AH285" i="28"/>
  <c r="AH294" i="28"/>
  <c r="AM100" i="28"/>
  <c r="AM115" i="28"/>
  <c r="AM124" i="28"/>
  <c r="AM130" i="28"/>
  <c r="AH171" i="28"/>
  <c r="AM206" i="28"/>
  <c r="AH271" i="28"/>
  <c r="AH306" i="28"/>
  <c r="AH315" i="28"/>
  <c r="AM22" i="28"/>
  <c r="AH63" i="28"/>
  <c r="AH107" i="28"/>
  <c r="AM148" i="28"/>
  <c r="AH189" i="28"/>
  <c r="AH198" i="28"/>
  <c r="AH204" i="28"/>
  <c r="AM215" i="28"/>
  <c r="AM218" i="28"/>
  <c r="AM227" i="28"/>
  <c r="AM291" i="28"/>
  <c r="AM294" i="28"/>
  <c r="AM303" i="28"/>
  <c r="AH16" i="28"/>
  <c r="AH227" i="28"/>
  <c r="AM91" i="28"/>
  <c r="AH168" i="28"/>
  <c r="AH149" i="28"/>
  <c r="AH231" i="28"/>
  <c r="AH212" i="28"/>
  <c r="AM112" i="28"/>
  <c r="AH330" i="28"/>
  <c r="AM31" i="28"/>
  <c r="AH40" i="28"/>
  <c r="AM66" i="28"/>
  <c r="AM104" i="28"/>
  <c r="AM119" i="28"/>
  <c r="AM134" i="28"/>
  <c r="AM207" i="28"/>
  <c r="AH272" i="28"/>
  <c r="AH334" i="28"/>
  <c r="AM57" i="28"/>
  <c r="AM328" i="28"/>
  <c r="AH24" i="28"/>
  <c r="AH35" i="28"/>
  <c r="AM331" i="28"/>
  <c r="AH52" i="28"/>
  <c r="AM7" i="28"/>
  <c r="AH19" i="28"/>
  <c r="AM129" i="28"/>
  <c r="AH146" i="28"/>
  <c r="AM101" i="28"/>
  <c r="AM16" i="28"/>
  <c r="AM121" i="28"/>
  <c r="AM87" i="28"/>
  <c r="AH158" i="28"/>
  <c r="AM238" i="28"/>
  <c r="AH264" i="28"/>
  <c r="AH60" i="28"/>
  <c r="AH162" i="28"/>
  <c r="AM167" i="28"/>
  <c r="AM204" i="28"/>
  <c r="AH219" i="28"/>
  <c r="AH222" i="28"/>
  <c r="AH225" i="28"/>
  <c r="AM37" i="28"/>
  <c r="AM54" i="28"/>
  <c r="AM71" i="28"/>
  <c r="AH202" i="28"/>
  <c r="AH13" i="28"/>
  <c r="AM18" i="28"/>
  <c r="AH46" i="28"/>
  <c r="AH66" i="28"/>
  <c r="AH154" i="28"/>
  <c r="AM334" i="28"/>
  <c r="AM43" i="28"/>
  <c r="AH188" i="28"/>
  <c r="AH191" i="28"/>
  <c r="AM199" i="28"/>
  <c r="AH214" i="28"/>
  <c r="AH277" i="28"/>
  <c r="AH280" i="28"/>
  <c r="AM282" i="28"/>
  <c r="AM13" i="28"/>
  <c r="AM24" i="28"/>
  <c r="AH124" i="28"/>
  <c r="AM154" i="28"/>
  <c r="AH177" i="28"/>
  <c r="AM249" i="28"/>
  <c r="AM257" i="28"/>
  <c r="AM260" i="28"/>
  <c r="AH266" i="28"/>
  <c r="AM268" i="28"/>
  <c r="AM274" i="28"/>
  <c r="AH309" i="28"/>
  <c r="AM320" i="28"/>
  <c r="AM118" i="28"/>
  <c r="AM171" i="28"/>
  <c r="AH241" i="28"/>
  <c r="AH244" i="28"/>
  <c r="AM300" i="28"/>
  <c r="AM326" i="28"/>
  <c r="AM19" i="28"/>
  <c r="AH22" i="28"/>
  <c r="AH36" i="28"/>
  <c r="AM110" i="28"/>
  <c r="AH130" i="28"/>
  <c r="AM163" i="28"/>
  <c r="AM252" i="28"/>
  <c r="AH261" i="28"/>
  <c r="AM266" i="28"/>
  <c r="AH269" i="28"/>
  <c r="AH82" i="28"/>
  <c r="AM116" i="28"/>
  <c r="AH210" i="28"/>
  <c r="AM212" i="28"/>
  <c r="AM68" i="28"/>
  <c r="AM51" i="28"/>
  <c r="AM190" i="28"/>
  <c r="AH7" i="28"/>
  <c r="AM29" i="28"/>
  <c r="AM137" i="28"/>
  <c r="AH157" i="28"/>
  <c r="AH255" i="28"/>
  <c r="AH332" i="28"/>
  <c r="AH44" i="28"/>
  <c r="AM30" i="28"/>
  <c r="AH190" i="28"/>
  <c r="AH233" i="28"/>
  <c r="AH236" i="28"/>
  <c r="AH242" i="28"/>
  <c r="AH295" i="28"/>
  <c r="AM306" i="28"/>
  <c r="AM312" i="28"/>
  <c r="AM329" i="28"/>
  <c r="AM332" i="28"/>
  <c r="AH20" i="28"/>
  <c r="AH117" i="28"/>
  <c r="AM182" i="28"/>
  <c r="AM230" i="28"/>
  <c r="AH248" i="28"/>
  <c r="AH284" i="28"/>
  <c r="AM289" i="28"/>
  <c r="AM292" i="28"/>
  <c r="AH301" i="28"/>
  <c r="AM315" i="28"/>
  <c r="AH324" i="28"/>
  <c r="AH327" i="28"/>
  <c r="AM97" i="28"/>
  <c r="AH103" i="28"/>
  <c r="AH109" i="28"/>
  <c r="AM174" i="28"/>
  <c r="AH180" i="28"/>
  <c r="AM188" i="28"/>
  <c r="AM242" i="28"/>
  <c r="AM245" i="28"/>
  <c r="AH307" i="28"/>
  <c r="AH313" i="28"/>
  <c r="AM318" i="28"/>
  <c r="AH48" i="28"/>
  <c r="AH62" i="28"/>
  <c r="AH76" i="28"/>
  <c r="AM89" i="28"/>
  <c r="AM177" i="28"/>
  <c r="AH206" i="28"/>
  <c r="AM211" i="28"/>
  <c r="AH217" i="28"/>
  <c r="AM270" i="28"/>
  <c r="AM284" i="28"/>
  <c r="AM298" i="28"/>
  <c r="AM301" i="28"/>
  <c r="AM304" i="28"/>
  <c r="AH29" i="28"/>
  <c r="AH37" i="28"/>
  <c r="AM81" i="28"/>
  <c r="AH98" i="28"/>
  <c r="AH101" i="28"/>
  <c r="AM106" i="28"/>
  <c r="AH148" i="28"/>
  <c r="AH156" i="28"/>
  <c r="AM161" i="28"/>
  <c r="AH186" i="28"/>
  <c r="AM200" i="28"/>
  <c r="AM214" i="28"/>
  <c r="AH223" i="28"/>
  <c r="AH234" i="28"/>
  <c r="AH249" i="28"/>
  <c r="AM279" i="28"/>
  <c r="AH299" i="28"/>
  <c r="AM310" i="28"/>
  <c r="AM321" i="28"/>
  <c r="AM335" i="28"/>
  <c r="AM38" i="28"/>
  <c r="AH58" i="28"/>
  <c r="AH69" i="28"/>
  <c r="AM74" i="28"/>
  <c r="AM159" i="28"/>
  <c r="AH178" i="28"/>
  <c r="AM228" i="28"/>
  <c r="AM250" i="28"/>
  <c r="AM261" i="28"/>
  <c r="AM277" i="28"/>
  <c r="AM316" i="28"/>
  <c r="AH319" i="28"/>
  <c r="AM324" i="28"/>
  <c r="AH28" i="28"/>
  <c r="AH31" i="28"/>
  <c r="AM85" i="28"/>
  <c r="AH120" i="28"/>
  <c r="AH144" i="28"/>
  <c r="AH165" i="28"/>
  <c r="AM194" i="28"/>
  <c r="AH205" i="28"/>
  <c r="AM264" i="28"/>
  <c r="AM288" i="28"/>
  <c r="AM296" i="28"/>
  <c r="AH308" i="28"/>
  <c r="AH311" i="28"/>
  <c r="AH322" i="28"/>
  <c r="AH12" i="28"/>
  <c r="AH23" i="28"/>
  <c r="AH50" i="28"/>
  <c r="AM109" i="28"/>
  <c r="AH115" i="28"/>
  <c r="AM144" i="28"/>
  <c r="AM170" i="28"/>
  <c r="AH176" i="28"/>
  <c r="AM202" i="28"/>
  <c r="AH229" i="28"/>
  <c r="AM256" i="28"/>
  <c r="AM272" i="28"/>
  <c r="AH297" i="28"/>
  <c r="AM302" i="28"/>
  <c r="AM311" i="28"/>
  <c r="AM33" i="28"/>
  <c r="AM160" i="28"/>
  <c r="AH273" i="28"/>
  <c r="AH68" i="28"/>
  <c r="AH153" i="28"/>
  <c r="AH166" i="28"/>
  <c r="AM108" i="28"/>
  <c r="AH55" i="28"/>
  <c r="AM52" i="28"/>
  <c r="AH196" i="28"/>
  <c r="AH8" i="28"/>
  <c r="AM42" i="28"/>
  <c r="AM239" i="28"/>
  <c r="AH169" i="28"/>
  <c r="AM113" i="28"/>
  <c r="AM166" i="28"/>
  <c r="AH201" i="28"/>
  <c r="AM60" i="28"/>
  <c r="AM90" i="28"/>
  <c r="AH247" i="28"/>
  <c r="AH116" i="28"/>
  <c r="AM65" i="28"/>
  <c r="AH106" i="28"/>
  <c r="AH119" i="28"/>
  <c r="AM278" i="28"/>
  <c r="AH320" i="28"/>
  <c r="AH15" i="28"/>
  <c r="AM49" i="28"/>
  <c r="AH93" i="28"/>
  <c r="AH138" i="28"/>
  <c r="AH143" i="28"/>
  <c r="AH260" i="28"/>
  <c r="AM309" i="28"/>
  <c r="AH30" i="28"/>
  <c r="AH237" i="28"/>
  <c r="AM203" i="28"/>
  <c r="AH71" i="28"/>
  <c r="AH312" i="28"/>
  <c r="AM12" i="28"/>
  <c r="AM145" i="28"/>
  <c r="AM198" i="28"/>
  <c r="AH263" i="28"/>
  <c r="AH10" i="28"/>
  <c r="AH47" i="28"/>
  <c r="AH88" i="28"/>
  <c r="AH25" i="28"/>
  <c r="AH73" i="28"/>
  <c r="AH121" i="28"/>
  <c r="AM205" i="28"/>
  <c r="AM234" i="28"/>
  <c r="AH17" i="28"/>
  <c r="AM70" i="28"/>
  <c r="AH235" i="28"/>
  <c r="AM283" i="28"/>
  <c r="AH11" i="28"/>
  <c r="AM25" i="28"/>
  <c r="AH45" i="28"/>
  <c r="AM50" i="28"/>
  <c r="AH61" i="28"/>
  <c r="AH86" i="28"/>
  <c r="AM88" i="28"/>
  <c r="AH167" i="28"/>
  <c r="AM191" i="28"/>
  <c r="AH194" i="28"/>
  <c r="AH253" i="28"/>
  <c r="AH258" i="28"/>
  <c r="AH292" i="28"/>
  <c r="AH302" i="28"/>
  <c r="AH43" i="28"/>
  <c r="AH276" i="28"/>
  <c r="AH129" i="28"/>
  <c r="AM8" i="28"/>
  <c r="AM40" i="28"/>
  <c r="AH79" i="28"/>
  <c r="AM83" i="28"/>
  <c r="AM131" i="28"/>
  <c r="AH207" i="28"/>
  <c r="AH305" i="28"/>
  <c r="AM307" i="28"/>
  <c r="AM28" i="28"/>
  <c r="AH72" i="28"/>
  <c r="AH77" i="28"/>
  <c r="AM122" i="28"/>
  <c r="AH125" i="28"/>
  <c r="AM184" i="28"/>
  <c r="AH192" i="28"/>
  <c r="AM217" i="28"/>
  <c r="AH228" i="28"/>
  <c r="AH251" i="28"/>
  <c r="AM253" i="28"/>
  <c r="AH256" i="28"/>
  <c r="AM271" i="28"/>
  <c r="AH290" i="28"/>
  <c r="AM313" i="28"/>
  <c r="AM27" i="28"/>
  <c r="AH136" i="28"/>
  <c r="AM265" i="28"/>
  <c r="AM133" i="28"/>
  <c r="AM23" i="28"/>
  <c r="AH41" i="28"/>
  <c r="AM79" i="28"/>
  <c r="AM99" i="28"/>
  <c r="AM127" i="28"/>
  <c r="AH175" i="28"/>
  <c r="AH187" i="28"/>
  <c r="AM189" i="28"/>
  <c r="AM248" i="28"/>
  <c r="AM251" i="28"/>
  <c r="AM287" i="28"/>
  <c r="AM297" i="28"/>
  <c r="AH300" i="28"/>
  <c r="AM327" i="28"/>
  <c r="AM47" i="28"/>
  <c r="AH81" i="28"/>
  <c r="AM98" i="28"/>
  <c r="AM111" i="28"/>
  <c r="AH199" i="28"/>
  <c r="AH310" i="28"/>
  <c r="AH75" i="28"/>
  <c r="AH123" i="28"/>
  <c r="AH213" i="28"/>
  <c r="AM10" i="28"/>
  <c r="AH151" i="28"/>
  <c r="AH164" i="28"/>
  <c r="AM63" i="28"/>
  <c r="AH141" i="28"/>
  <c r="AH230" i="28"/>
  <c r="AH57" i="28"/>
  <c r="AH70" i="28"/>
  <c r="AM77" i="28"/>
  <c r="AH97" i="28"/>
  <c r="AH105" i="28"/>
  <c r="AH118" i="28"/>
  <c r="AM120" i="28"/>
  <c r="AM125" i="28"/>
  <c r="AM147" i="28"/>
  <c r="AH185" i="28"/>
  <c r="AM187" i="28"/>
  <c r="AM210" i="28"/>
  <c r="AM223" i="28"/>
  <c r="AH239" i="28"/>
  <c r="AM246" i="28"/>
  <c r="AM280" i="28"/>
  <c r="AM285" i="28"/>
  <c r="AM295" i="28"/>
  <c r="AH298" i="28"/>
  <c r="AH325" i="28"/>
  <c r="AM175" i="28"/>
  <c r="AH183" i="28"/>
  <c r="AH283" i="28"/>
  <c r="AH286" i="28"/>
  <c r="AH291" i="28"/>
  <c r="AH335" i="28"/>
  <c r="AM21" i="28"/>
  <c r="AM45" i="28"/>
  <c r="AH84" i="28"/>
  <c r="AM86" i="28"/>
  <c r="AH91" i="28"/>
  <c r="AH132" i="28"/>
  <c r="AH139" i="28"/>
  <c r="AM180" i="28"/>
  <c r="AM232" i="28"/>
  <c r="AH254" i="28"/>
  <c r="AH288" i="28"/>
  <c r="AH303" i="28"/>
  <c r="AM17" i="28"/>
  <c r="AM41" i="28"/>
  <c r="AH64" i="28"/>
  <c r="AM75" i="28"/>
  <c r="AM84" i="28"/>
  <c r="AH96" i="28"/>
  <c r="AH112" i="28"/>
  <c r="AM123" i="28"/>
  <c r="AH160" i="28"/>
  <c r="AH181" i="28"/>
  <c r="AH240" i="28"/>
  <c r="AH323" i="28"/>
  <c r="AH333" i="28"/>
  <c r="AM15" i="28"/>
  <c r="AM39" i="28"/>
  <c r="AH94" i="28"/>
  <c r="AH142" i="28"/>
  <c r="AM169" i="28"/>
  <c r="AH174" i="28"/>
  <c r="AM209" i="28"/>
  <c r="AM281" i="28"/>
  <c r="AM293" i="28"/>
  <c r="AH328" i="28"/>
  <c r="AM59" i="28"/>
  <c r="AM107" i="28"/>
  <c r="AM155" i="28"/>
  <c r="AH274" i="28"/>
  <c r="AH279" i="28"/>
  <c r="AM11" i="28"/>
  <c r="AM35" i="28"/>
  <c r="AH92" i="28"/>
  <c r="AH140" i="28"/>
  <c r="AM221" i="28"/>
  <c r="AH224" i="28"/>
  <c r="AH304" i="28"/>
  <c r="AH316" i="28"/>
  <c r="AH326" i="28"/>
  <c r="AH331" i="28"/>
  <c r="AH56" i="28"/>
  <c r="AH80" i="28"/>
  <c r="AH104" i="28"/>
  <c r="AH128" i="28"/>
  <c r="AH152" i="28"/>
  <c r="AM178" i="28"/>
  <c r="AM185" i="28"/>
  <c r="AM226" i="28"/>
  <c r="AM233" i="28"/>
  <c r="AH54" i="28"/>
  <c r="AH78" i="28"/>
  <c r="AH102" i="28"/>
  <c r="AH126" i="28"/>
  <c r="AH150" i="28"/>
  <c r="AM176" i="28"/>
  <c r="AM208" i="28"/>
  <c r="AM224" i="28"/>
  <c r="AH275" i="28"/>
  <c r="AM305" i="28"/>
  <c r="AH336" i="28"/>
  <c r="AM222" i="28"/>
  <c r="AM236" i="28"/>
  <c r="AM172" i="28"/>
  <c r="AM196" i="28"/>
  <c r="AM220" i="28"/>
  <c r="AM244" i="28"/>
  <c r="AM168" i="28"/>
  <c r="AM192" i="28"/>
  <c r="AM216" i="28"/>
  <c r="AM240" i="28"/>
  <c r="AW140" i="32" l="1"/>
  <c r="AW57" i="32"/>
  <c r="AW7" i="32"/>
  <c r="AW318" i="32"/>
  <c r="AW316" i="32"/>
  <c r="AN316" i="32"/>
  <c r="AW249" i="32"/>
  <c r="AN249" i="32"/>
  <c r="AW241" i="32"/>
  <c r="AN241" i="32"/>
  <c r="AW240" i="32"/>
  <c r="AN240" i="32"/>
  <c r="AW232" i="32"/>
  <c r="AW218" i="32"/>
  <c r="AN218" i="32"/>
  <c r="AW208" i="32"/>
  <c r="AN208" i="32"/>
  <c r="AN199" i="32"/>
  <c r="AW129" i="32"/>
  <c r="AN129" i="32"/>
  <c r="AW75" i="32"/>
  <c r="AS75" i="32"/>
  <c r="I247" i="32" l="1"/>
  <c r="I211" i="32"/>
  <c r="I118" i="32"/>
  <c r="AN277" i="32"/>
  <c r="AN80" i="32"/>
  <c r="AN16" i="32"/>
  <c r="K336" i="32"/>
  <c r="K335" i="32"/>
  <c r="K334" i="32"/>
  <c r="K333" i="32"/>
  <c r="K332" i="32"/>
  <c r="K331" i="32"/>
  <c r="K330" i="32"/>
  <c r="K329" i="32"/>
  <c r="K328" i="32"/>
  <c r="K327" i="32"/>
  <c r="K326" i="32"/>
  <c r="K325" i="32"/>
  <c r="K324" i="32"/>
  <c r="K323" i="32"/>
  <c r="K322" i="32"/>
  <c r="K321" i="32"/>
  <c r="K320" i="32"/>
  <c r="K319" i="32"/>
  <c r="K318" i="32"/>
  <c r="K317" i="32"/>
  <c r="K316" i="32"/>
  <c r="K315" i="32"/>
  <c r="K314" i="32"/>
  <c r="K313" i="32"/>
  <c r="K312" i="32"/>
  <c r="K311" i="32"/>
  <c r="K310" i="32"/>
  <c r="K309" i="32"/>
  <c r="K308" i="32"/>
  <c r="K307" i="32"/>
  <c r="K306" i="32"/>
  <c r="K305" i="32"/>
  <c r="K304" i="32"/>
  <c r="K303" i="32"/>
  <c r="K302" i="32"/>
  <c r="K301" i="32"/>
  <c r="K300" i="32"/>
  <c r="K299" i="32"/>
  <c r="K298" i="32"/>
  <c r="K297" i="32"/>
  <c r="K296" i="32"/>
  <c r="K295" i="32"/>
  <c r="K294" i="32"/>
  <c r="K293" i="32"/>
  <c r="K292" i="32"/>
  <c r="K291" i="32"/>
  <c r="K290" i="32"/>
  <c r="K289" i="32"/>
  <c r="K288" i="32"/>
  <c r="K287" i="32"/>
  <c r="K286" i="32"/>
  <c r="K285" i="32"/>
  <c r="K284" i="32"/>
  <c r="K283" i="32"/>
  <c r="K282" i="32"/>
  <c r="K281" i="32"/>
  <c r="K280" i="32"/>
  <c r="K279" i="32"/>
  <c r="K278" i="32"/>
  <c r="K277" i="32"/>
  <c r="K276" i="32"/>
  <c r="K275" i="32"/>
  <c r="K274" i="32"/>
  <c r="K273" i="32"/>
  <c r="K272" i="32"/>
  <c r="K271" i="32"/>
  <c r="K270" i="32"/>
  <c r="K269" i="32"/>
  <c r="K268" i="32"/>
  <c r="K267" i="32"/>
  <c r="K266" i="32"/>
  <c r="K265" i="32"/>
  <c r="K264" i="32"/>
  <c r="K263" i="32"/>
  <c r="K262" i="32"/>
  <c r="K261" i="32"/>
  <c r="K260" i="32"/>
  <c r="K259" i="32"/>
  <c r="K258" i="32"/>
  <c r="K257" i="32"/>
  <c r="K256" i="32"/>
  <c r="K255" i="32"/>
  <c r="K254" i="32"/>
  <c r="K253" i="32"/>
  <c r="K252" i="32"/>
  <c r="K251" i="32"/>
  <c r="K250" i="32"/>
  <c r="K249" i="32"/>
  <c r="K248" i="32"/>
  <c r="K247" i="32"/>
  <c r="K246" i="32"/>
  <c r="K245" i="32"/>
  <c r="K244" i="32"/>
  <c r="K243" i="32"/>
  <c r="K242" i="32"/>
  <c r="K241" i="32"/>
  <c r="K240" i="32"/>
  <c r="K239" i="32"/>
  <c r="K238" i="32"/>
  <c r="K237" i="32"/>
  <c r="K236" i="32"/>
  <c r="K235" i="32"/>
  <c r="K234" i="32"/>
  <c r="K233" i="32"/>
  <c r="K232" i="32"/>
  <c r="K231" i="32"/>
  <c r="K230" i="32"/>
  <c r="K229" i="32"/>
  <c r="K228" i="32"/>
  <c r="K227" i="32"/>
  <c r="K226" i="32"/>
  <c r="K225" i="32"/>
  <c r="K224" i="32"/>
  <c r="K223" i="32"/>
  <c r="K222" i="32"/>
  <c r="K221" i="32"/>
  <c r="K220" i="32"/>
  <c r="K219" i="32"/>
  <c r="K218" i="32"/>
  <c r="K217" i="32"/>
  <c r="K216" i="32"/>
  <c r="K215" i="32"/>
  <c r="K214" i="32"/>
  <c r="K213" i="32"/>
  <c r="K212" i="32"/>
  <c r="K211" i="32"/>
  <c r="K210" i="32"/>
  <c r="K209" i="32"/>
  <c r="K208" i="32"/>
  <c r="K207" i="32"/>
  <c r="K206" i="32"/>
  <c r="K205" i="32"/>
  <c r="K204" i="32"/>
  <c r="K203" i="32"/>
  <c r="K202" i="32"/>
  <c r="K201" i="32"/>
  <c r="K200" i="32"/>
  <c r="K199" i="32"/>
  <c r="K198" i="32"/>
  <c r="K197" i="32"/>
  <c r="K196" i="32"/>
  <c r="K195" i="32"/>
  <c r="K194" i="32"/>
  <c r="K193" i="32"/>
  <c r="K192" i="32"/>
  <c r="K191" i="32"/>
  <c r="K190" i="32"/>
  <c r="K189" i="32"/>
  <c r="K188" i="32"/>
  <c r="K187" i="32"/>
  <c r="K186" i="32"/>
  <c r="K185" i="32"/>
  <c r="K184" i="32"/>
  <c r="K183" i="32"/>
  <c r="K182" i="32"/>
  <c r="K181" i="32"/>
  <c r="K180" i="32"/>
  <c r="K179" i="32"/>
  <c r="K178" i="32"/>
  <c r="K177" i="32"/>
  <c r="K176" i="32"/>
  <c r="K175" i="32"/>
  <c r="K174" i="32"/>
  <c r="K173" i="32"/>
  <c r="K172" i="32"/>
  <c r="K171" i="32"/>
  <c r="K170" i="32"/>
  <c r="K169" i="32"/>
  <c r="K168" i="32"/>
  <c r="K167" i="32"/>
  <c r="K166" i="32"/>
  <c r="K165" i="32"/>
  <c r="K164" i="32"/>
  <c r="K163" i="32"/>
  <c r="K162" i="32"/>
  <c r="K161" i="32"/>
  <c r="K160" i="32"/>
  <c r="K159" i="32"/>
  <c r="K158" i="32"/>
  <c r="K157" i="32"/>
  <c r="K156" i="32"/>
  <c r="K155" i="32"/>
  <c r="K154" i="32"/>
  <c r="K153" i="32"/>
  <c r="K152" i="32"/>
  <c r="K151" i="32"/>
  <c r="K150" i="32"/>
  <c r="K149" i="32"/>
  <c r="K148" i="32"/>
  <c r="K147" i="32"/>
  <c r="K146" i="32"/>
  <c r="K145" i="32"/>
  <c r="K144" i="32"/>
  <c r="K143" i="32"/>
  <c r="K142" i="32"/>
  <c r="K141" i="32"/>
  <c r="K140" i="32"/>
  <c r="K139" i="32"/>
  <c r="K138" i="32"/>
  <c r="K137" i="32"/>
  <c r="K136" i="32"/>
  <c r="K135" i="32"/>
  <c r="K134" i="32"/>
  <c r="K133" i="32"/>
  <c r="K132" i="32"/>
  <c r="K131" i="32"/>
  <c r="K130" i="32"/>
  <c r="K129" i="32"/>
  <c r="K128" i="32"/>
  <c r="K127" i="32"/>
  <c r="K126" i="32"/>
  <c r="K125" i="32"/>
  <c r="K124" i="32"/>
  <c r="K123" i="32"/>
  <c r="K122" i="32"/>
  <c r="K121" i="32"/>
  <c r="K120" i="32"/>
  <c r="K119" i="32"/>
  <c r="K118" i="32"/>
  <c r="K117" i="32"/>
  <c r="K116" i="32"/>
  <c r="K115" i="32"/>
  <c r="K114" i="32"/>
  <c r="K113" i="32"/>
  <c r="K112" i="32"/>
  <c r="K111" i="32"/>
  <c r="K110" i="32"/>
  <c r="K109" i="32"/>
  <c r="K108" i="32"/>
  <c r="K107" i="32"/>
  <c r="K106" i="32"/>
  <c r="K105" i="32"/>
  <c r="K104" i="32"/>
  <c r="K103" i="32"/>
  <c r="K102" i="32"/>
  <c r="K101" i="32"/>
  <c r="K100" i="32"/>
  <c r="K99" i="32"/>
  <c r="K98" i="32"/>
  <c r="K97" i="32"/>
  <c r="K96" i="32"/>
  <c r="K95" i="32"/>
  <c r="K94" i="32"/>
  <c r="K93" i="32"/>
  <c r="K92" i="32"/>
  <c r="K91" i="32"/>
  <c r="K90" i="32"/>
  <c r="K89" i="32"/>
  <c r="K88" i="32"/>
  <c r="K87" i="32"/>
  <c r="K86" i="32"/>
  <c r="K85" i="32"/>
  <c r="K84" i="32"/>
  <c r="K83" i="32"/>
  <c r="K82" i="32"/>
  <c r="K81" i="32"/>
  <c r="K80" i="32"/>
  <c r="K79" i="32"/>
  <c r="K78" i="32"/>
  <c r="K77" i="32"/>
  <c r="K76" i="32"/>
  <c r="K75" i="32"/>
  <c r="K74" i="32"/>
  <c r="K73" i="32"/>
  <c r="K72" i="32"/>
  <c r="K71" i="32"/>
  <c r="K70" i="32"/>
  <c r="K69" i="32"/>
  <c r="AS329" i="32"/>
  <c r="AS313" i="32"/>
  <c r="AN290" i="32"/>
  <c r="AS280" i="32"/>
  <c r="AN285" i="32"/>
  <c r="AS285" i="32"/>
  <c r="AS269" i="32"/>
  <c r="AS266" i="32"/>
  <c r="AN262" i="32"/>
  <c r="AS245" i="32"/>
  <c r="AS256" i="32"/>
  <c r="AN253" i="32"/>
  <c r="AP220" i="32"/>
  <c r="AN220" i="32"/>
  <c r="AS216" i="32"/>
  <c r="AS205" i="32"/>
  <c r="AP190" i="32"/>
  <c r="AS190" i="32"/>
  <c r="AS186" i="32"/>
  <c r="AP170" i="32"/>
  <c r="AS182" i="32"/>
  <c r="AS177" i="32"/>
  <c r="AS171" i="32"/>
  <c r="AS165" i="32"/>
  <c r="AS162" i="32"/>
  <c r="AS159" i="32"/>
  <c r="AS115" i="32"/>
  <c r="AS117" i="32"/>
  <c r="AN92" i="32"/>
  <c r="AP92" i="32" s="1"/>
  <c r="AS74" i="32"/>
  <c r="AP57" i="32"/>
  <c r="AS27" i="32"/>
  <c r="BC336" i="32" l="1"/>
  <c r="BC335" i="32"/>
  <c r="BC334" i="32"/>
  <c r="BC333" i="32"/>
  <c r="BC332" i="32"/>
  <c r="BC331" i="32"/>
  <c r="BC330" i="32"/>
  <c r="BC329" i="32"/>
  <c r="BC328" i="32"/>
  <c r="BC327" i="32"/>
  <c r="BC326" i="32"/>
  <c r="BC325" i="32"/>
  <c r="BC324" i="32"/>
  <c r="BC323" i="32"/>
  <c r="BC322" i="32"/>
  <c r="BC321" i="32"/>
  <c r="BC320" i="32"/>
  <c r="BC319" i="32"/>
  <c r="BC318" i="32"/>
  <c r="BC317" i="32"/>
  <c r="BC316" i="32"/>
  <c r="BC315" i="32"/>
  <c r="BC314" i="32"/>
  <c r="BC313" i="32"/>
  <c r="BC312" i="32"/>
  <c r="BC311" i="32"/>
  <c r="BC310" i="32"/>
  <c r="BC309" i="32"/>
  <c r="BC308" i="32"/>
  <c r="BC307" i="32"/>
  <c r="BC306" i="32"/>
  <c r="BC305" i="32"/>
  <c r="BC304" i="32"/>
  <c r="BC303" i="32"/>
  <c r="BC302" i="32"/>
  <c r="BC301" i="32"/>
  <c r="BC300" i="32"/>
  <c r="BC299" i="32"/>
  <c r="BC298" i="32"/>
  <c r="BC297" i="32"/>
  <c r="BC296" i="32"/>
  <c r="BC295" i="32"/>
  <c r="BC294" i="32"/>
  <c r="BC293" i="32"/>
  <c r="BC292" i="32"/>
  <c r="BC291" i="32"/>
  <c r="BC290" i="32"/>
  <c r="BC289" i="32"/>
  <c r="BC288" i="32"/>
  <c r="BC287" i="32"/>
  <c r="BC286" i="32"/>
  <c r="BC285" i="32"/>
  <c r="BC284" i="32"/>
  <c r="BC283" i="32"/>
  <c r="BC282" i="32"/>
  <c r="BC281" i="32"/>
  <c r="BC280" i="32"/>
  <c r="BC279" i="32"/>
  <c r="BC278" i="32"/>
  <c r="BC277" i="32"/>
  <c r="BC276" i="32"/>
  <c r="BC275" i="32"/>
  <c r="BC274" i="32"/>
  <c r="BC273" i="32"/>
  <c r="BC272" i="32"/>
  <c r="BC271" i="32"/>
  <c r="BC270" i="32"/>
  <c r="BC269" i="32"/>
  <c r="BC268" i="32"/>
  <c r="BC267" i="32"/>
  <c r="BC266" i="32"/>
  <c r="BC265" i="32"/>
  <c r="BC264" i="32"/>
  <c r="BC263" i="32"/>
  <c r="BC262" i="32"/>
  <c r="BC261" i="32"/>
  <c r="BC260" i="32"/>
  <c r="BC259" i="32"/>
  <c r="BC258" i="32"/>
  <c r="BC257" i="32"/>
  <c r="BC256" i="32"/>
  <c r="BC255" i="32"/>
  <c r="BC254" i="32"/>
  <c r="BC253" i="32"/>
  <c r="BC252" i="32"/>
  <c r="BC251" i="32"/>
  <c r="BC250" i="32"/>
  <c r="BC249" i="32"/>
  <c r="BC248" i="32"/>
  <c r="BC247" i="32"/>
  <c r="BC246" i="32"/>
  <c r="BC245" i="32"/>
  <c r="BC244" i="32"/>
  <c r="BC243" i="32"/>
  <c r="BC242" i="32"/>
  <c r="BC241" i="32"/>
  <c r="BC240" i="32"/>
  <c r="BC239" i="32"/>
  <c r="BC238" i="32"/>
  <c r="BC237" i="32"/>
  <c r="BC236" i="32"/>
  <c r="BC235" i="32"/>
  <c r="BC234" i="32"/>
  <c r="BC233" i="32"/>
  <c r="BC232" i="32"/>
  <c r="BC231" i="32"/>
  <c r="BC230" i="32"/>
  <c r="BC229" i="32"/>
  <c r="BC228" i="32"/>
  <c r="BC227" i="32"/>
  <c r="BC226" i="32"/>
  <c r="BC225" i="32"/>
  <c r="BC224" i="32"/>
  <c r="BC223" i="32"/>
  <c r="BC222" i="32"/>
  <c r="BC221" i="32"/>
  <c r="BC220" i="32"/>
  <c r="BC219" i="32"/>
  <c r="BC218" i="32"/>
  <c r="BC217" i="32"/>
  <c r="BC216" i="32"/>
  <c r="BC215" i="32"/>
  <c r="BC214" i="32"/>
  <c r="BC213" i="32"/>
  <c r="BC212" i="32"/>
  <c r="BC211" i="32"/>
  <c r="BC210" i="32"/>
  <c r="BC209" i="32"/>
  <c r="BC208" i="32"/>
  <c r="BC207" i="32"/>
  <c r="BC206" i="32"/>
  <c r="BC205" i="32"/>
  <c r="BC204" i="32"/>
  <c r="BC203" i="32"/>
  <c r="BC202" i="32"/>
  <c r="BC201" i="32"/>
  <c r="BC200" i="32"/>
  <c r="BC199" i="32"/>
  <c r="BC198" i="32"/>
  <c r="BC197" i="32"/>
  <c r="BC196" i="32"/>
  <c r="BC195" i="32"/>
  <c r="BC194" i="32"/>
  <c r="BC193" i="32"/>
  <c r="BC192" i="32"/>
  <c r="BC191" i="32"/>
  <c r="BC190" i="32"/>
  <c r="BC189" i="32"/>
  <c r="BC188" i="32"/>
  <c r="BC187" i="32"/>
  <c r="BC186" i="32"/>
  <c r="BC185" i="32"/>
  <c r="BC184" i="32"/>
  <c r="BC183" i="32"/>
  <c r="BC182" i="32"/>
  <c r="BC181" i="32"/>
  <c r="BC180" i="32"/>
  <c r="BC179" i="32"/>
  <c r="BC178" i="32"/>
  <c r="BC177" i="32"/>
  <c r="BC176" i="32"/>
  <c r="BC175" i="32"/>
  <c r="BC174" i="32"/>
  <c r="BC173" i="32"/>
  <c r="BC172" i="32"/>
  <c r="BC171" i="32"/>
  <c r="BC170" i="32"/>
  <c r="BC169" i="32"/>
  <c r="BC168" i="32"/>
  <c r="BC167" i="32"/>
  <c r="BC166" i="32"/>
  <c r="BC165" i="32"/>
  <c r="BC164" i="32"/>
  <c r="BC163" i="32"/>
  <c r="BC162" i="32"/>
  <c r="BC161" i="32"/>
  <c r="BC160" i="32"/>
  <c r="BC159" i="32"/>
  <c r="BC158" i="32"/>
  <c r="BC157" i="32"/>
  <c r="BC156" i="32"/>
  <c r="BC155" i="32"/>
  <c r="BC154" i="32"/>
  <c r="BC153" i="32"/>
  <c r="BC152" i="32"/>
  <c r="BC151" i="32"/>
  <c r="BC150" i="32"/>
  <c r="BC149" i="32"/>
  <c r="BC148" i="32"/>
  <c r="BC147" i="32"/>
  <c r="BC146" i="32"/>
  <c r="BC145" i="32"/>
  <c r="BC144" i="32"/>
  <c r="BC143" i="32"/>
  <c r="BC142" i="32"/>
  <c r="BC141" i="32"/>
  <c r="BC140" i="32"/>
  <c r="BC139" i="32"/>
  <c r="BC138" i="32"/>
  <c r="BC137" i="32"/>
  <c r="BC136" i="32"/>
  <c r="BC135" i="32"/>
  <c r="BC134" i="32"/>
  <c r="BC133" i="32"/>
  <c r="BC132" i="32"/>
  <c r="BC131" i="32"/>
  <c r="BC130" i="32"/>
  <c r="BC129" i="32"/>
  <c r="BC128" i="32"/>
  <c r="BC127" i="32"/>
  <c r="BC126" i="32"/>
  <c r="BC125" i="32"/>
  <c r="BC124" i="32"/>
  <c r="BC123" i="32"/>
  <c r="BC122" i="32"/>
  <c r="BC121" i="32"/>
  <c r="BC120" i="32"/>
  <c r="BC119" i="32"/>
  <c r="BC118" i="32"/>
  <c r="BC117" i="32"/>
  <c r="BC116" i="32"/>
  <c r="BC115" i="32"/>
  <c r="BC114" i="32"/>
  <c r="BC113" i="32"/>
  <c r="BC112" i="32"/>
  <c r="BC111" i="32"/>
  <c r="BC110" i="32"/>
  <c r="BC109" i="32"/>
  <c r="BC108" i="32"/>
  <c r="BC107" i="32"/>
  <c r="BC106" i="32"/>
  <c r="BC105" i="32"/>
  <c r="BC104" i="32"/>
  <c r="BC103" i="32"/>
  <c r="BC102" i="32"/>
  <c r="BC101" i="32"/>
  <c r="BC100" i="32"/>
  <c r="BC99" i="32"/>
  <c r="BC98" i="32"/>
  <c r="BC97" i="32"/>
  <c r="BC96" i="32"/>
  <c r="BC95" i="32"/>
  <c r="BC94" i="32"/>
  <c r="BC93" i="32"/>
  <c r="BC92" i="32"/>
  <c r="BC91" i="32"/>
  <c r="BC90" i="32"/>
  <c r="BC89" i="32"/>
  <c r="BC88" i="32"/>
  <c r="BC87" i="32"/>
  <c r="BC86" i="32"/>
  <c r="BC85" i="32"/>
  <c r="BC84" i="32"/>
  <c r="BC83" i="32"/>
  <c r="BC82" i="32"/>
  <c r="BC81" i="32"/>
  <c r="BC80" i="32"/>
  <c r="BC79" i="32"/>
  <c r="BC78" i="32"/>
  <c r="BC77" i="32"/>
  <c r="BC76" i="32"/>
  <c r="BC75" i="32"/>
  <c r="BC74" i="32"/>
  <c r="BC73" i="32"/>
  <c r="BC72" i="32"/>
  <c r="BC71" i="32"/>
  <c r="BC70" i="32"/>
  <c r="BC69" i="32"/>
  <c r="BC68" i="32"/>
  <c r="BC67" i="32"/>
  <c r="BC66" i="32"/>
  <c r="BC65" i="32"/>
  <c r="BC64" i="32"/>
  <c r="BC63" i="32"/>
  <c r="BC62" i="32"/>
  <c r="BC61" i="32"/>
  <c r="BC60" i="32"/>
  <c r="BC59" i="32"/>
  <c r="BC58" i="32"/>
  <c r="BC57" i="32"/>
  <c r="BC56" i="32"/>
  <c r="BC55" i="32"/>
  <c r="BC54" i="32"/>
  <c r="BC53" i="32"/>
  <c r="BC52" i="32"/>
  <c r="BC51" i="32"/>
  <c r="BC50" i="32"/>
  <c r="BC49" i="32"/>
  <c r="BC48" i="32"/>
  <c r="BC47" i="32"/>
  <c r="BC46" i="32"/>
  <c r="BC45" i="32"/>
  <c r="BC44" i="32"/>
  <c r="BC43" i="32"/>
  <c r="BC42" i="32"/>
  <c r="BC41" i="32"/>
  <c r="BC40" i="32"/>
  <c r="BC39" i="32"/>
  <c r="BC38" i="32"/>
  <c r="BC37" i="32"/>
  <c r="BC36" i="32"/>
  <c r="BC35" i="32"/>
  <c r="BC34" i="32"/>
  <c r="BC33" i="32"/>
  <c r="BC32" i="32"/>
  <c r="BC31" i="32"/>
  <c r="BC30" i="32"/>
  <c r="BC29" i="32"/>
  <c r="BC28" i="32"/>
  <c r="BC27" i="32"/>
  <c r="BC26" i="32"/>
  <c r="BC25" i="32"/>
  <c r="BC24" i="32"/>
  <c r="BC23" i="32"/>
  <c r="BC22" i="32"/>
  <c r="BC21" i="32"/>
  <c r="BC20" i="32"/>
  <c r="BC19" i="32"/>
  <c r="BC18" i="32"/>
  <c r="BC17" i="32"/>
  <c r="BC16" i="32"/>
  <c r="BC15" i="32"/>
  <c r="BC14" i="32"/>
  <c r="BC13" i="32"/>
  <c r="BC12" i="32"/>
  <c r="BC11" i="32"/>
  <c r="BC10" i="32"/>
  <c r="BC9" i="32"/>
  <c r="BC8" i="32"/>
  <c r="BC7" i="32"/>
  <c r="AA336" i="32"/>
  <c r="AA335" i="32"/>
  <c r="AA334" i="32"/>
  <c r="AA333" i="32"/>
  <c r="AA332" i="32"/>
  <c r="AA331" i="32"/>
  <c r="AA330" i="32"/>
  <c r="AA329" i="32"/>
  <c r="AA328" i="32"/>
  <c r="AA327" i="32"/>
  <c r="AA326" i="32"/>
  <c r="AA325" i="32"/>
  <c r="AA324" i="32"/>
  <c r="AA323" i="32"/>
  <c r="AA322" i="32"/>
  <c r="AA321" i="32"/>
  <c r="AA320" i="32"/>
  <c r="AA319" i="32"/>
  <c r="AA318" i="32"/>
  <c r="AA317" i="32"/>
  <c r="AA316" i="32"/>
  <c r="AA315" i="32"/>
  <c r="AA314" i="32"/>
  <c r="AA313" i="32"/>
  <c r="AA312" i="32"/>
  <c r="AA311" i="32"/>
  <c r="AA310" i="32"/>
  <c r="AA309" i="32"/>
  <c r="AA308" i="32"/>
  <c r="AA307" i="32"/>
  <c r="AA306" i="32"/>
  <c r="AA305" i="32"/>
  <c r="AA304" i="32"/>
  <c r="AA303" i="32"/>
  <c r="AA302" i="32"/>
  <c r="AA301" i="32"/>
  <c r="AA300" i="32"/>
  <c r="AA299" i="32"/>
  <c r="AA298" i="32"/>
  <c r="AA297" i="32"/>
  <c r="AA296" i="32"/>
  <c r="AA295" i="32"/>
  <c r="AA294" i="32"/>
  <c r="AA293" i="32"/>
  <c r="AA292" i="32"/>
  <c r="AA291" i="32"/>
  <c r="AA290" i="32"/>
  <c r="AA289" i="32"/>
  <c r="AA288" i="32"/>
  <c r="AA287" i="32"/>
  <c r="AA286" i="32"/>
  <c r="AA285" i="32"/>
  <c r="AA281" i="32"/>
  <c r="AA284" i="32"/>
  <c r="AA283" i="32"/>
  <c r="AA282" i="32"/>
  <c r="AA280" i="32"/>
  <c r="AA279" i="32"/>
  <c r="AA278" i="32"/>
  <c r="AA277" i="32"/>
  <c r="AA276" i="32"/>
  <c r="AA275" i="32"/>
  <c r="AA274" i="32"/>
  <c r="AA273" i="32"/>
  <c r="AA272" i="32"/>
  <c r="AA271" i="32"/>
  <c r="AA270" i="32"/>
  <c r="AA269" i="32"/>
  <c r="AA268" i="32"/>
  <c r="AA267" i="32"/>
  <c r="AA266" i="32"/>
  <c r="AA265" i="32"/>
  <c r="AA264" i="32"/>
  <c r="AA263" i="32"/>
  <c r="AA262" i="32"/>
  <c r="AA261" i="32"/>
  <c r="AA260" i="32"/>
  <c r="AA259" i="32"/>
  <c r="AA258" i="32"/>
  <c r="AA257" i="32"/>
  <c r="AA256" i="32"/>
  <c r="AA255" i="32"/>
  <c r="AA254" i="32"/>
  <c r="AA253" i="32"/>
  <c r="AA252" i="32"/>
  <c r="AA251" i="32"/>
  <c r="AA250" i="32"/>
  <c r="AA249" i="32"/>
  <c r="AA248" i="32"/>
  <c r="AA246" i="32"/>
  <c r="AA245" i="32"/>
  <c r="AA244" i="32"/>
  <c r="AA243" i="32"/>
  <c r="AA242" i="32"/>
  <c r="AA241" i="32"/>
  <c r="AA240" i="32"/>
  <c r="AA239" i="32"/>
  <c r="AA238" i="32"/>
  <c r="AA237" i="32"/>
  <c r="AA236" i="32"/>
  <c r="AA235" i="32"/>
  <c r="AA234" i="32"/>
  <c r="AA233" i="32"/>
  <c r="AA232" i="32"/>
  <c r="AA231" i="32"/>
  <c r="AA230" i="32"/>
  <c r="AA229" i="32"/>
  <c r="AA228" i="32"/>
  <c r="AA227" i="32"/>
  <c r="AA226" i="32"/>
  <c r="AA225" i="32"/>
  <c r="AA224" i="32"/>
  <c r="AA223" i="32"/>
  <c r="AA222" i="32"/>
  <c r="AA221" i="32"/>
  <c r="AA220" i="32"/>
  <c r="AA219" i="32"/>
  <c r="AA218" i="32"/>
  <c r="AA217" i="32"/>
  <c r="AA216" i="32"/>
  <c r="AA215" i="32"/>
  <c r="AA214" i="32"/>
  <c r="AA213" i="32"/>
  <c r="AA212" i="32"/>
  <c r="AA210" i="32"/>
  <c r="AA209" i="32"/>
  <c r="AA208" i="32"/>
  <c r="AA207" i="32"/>
  <c r="AA206" i="32"/>
  <c r="AA205" i="32"/>
  <c r="AA204" i="32"/>
  <c r="AA203" i="32"/>
  <c r="AA202" i="32"/>
  <c r="AA201" i="32"/>
  <c r="AA200" i="32"/>
  <c r="AA199" i="32"/>
  <c r="AA198" i="32"/>
  <c r="AA197" i="32"/>
  <c r="AA196" i="32"/>
  <c r="AA195" i="32"/>
  <c r="AA194" i="32"/>
  <c r="AA193" i="32"/>
  <c r="AA192" i="32"/>
  <c r="AA191" i="32"/>
  <c r="AA190" i="32"/>
  <c r="AA189" i="32"/>
  <c r="AA188" i="32"/>
  <c r="AA187" i="32"/>
  <c r="AA186" i="32"/>
  <c r="AA185" i="32"/>
  <c r="AA184" i="32"/>
  <c r="AA183" i="32"/>
  <c r="AA182" i="32"/>
  <c r="AA181" i="32"/>
  <c r="AA180" i="32"/>
  <c r="AA179" i="32"/>
  <c r="AA178" i="32"/>
  <c r="AA177" i="32"/>
  <c r="AA176" i="32"/>
  <c r="AA175" i="32"/>
  <c r="AA174" i="32"/>
  <c r="AA173" i="32"/>
  <c r="AA172" i="32"/>
  <c r="AA171" i="32"/>
  <c r="AA170" i="32"/>
  <c r="AA169" i="32"/>
  <c r="AA168" i="32"/>
  <c r="AA167" i="32"/>
  <c r="AA166" i="32"/>
  <c r="AA165" i="32"/>
  <c r="AA164" i="32"/>
  <c r="AA163" i="32"/>
  <c r="AA162" i="32"/>
  <c r="AA161" i="32"/>
  <c r="AA160" i="32"/>
  <c r="AA159" i="32"/>
  <c r="AA158" i="32"/>
  <c r="AA157" i="32"/>
  <c r="AA156" i="32"/>
  <c r="AA155" i="32"/>
  <c r="AA154" i="32"/>
  <c r="AA153" i="32"/>
  <c r="AA152" i="32"/>
  <c r="AA151" i="32"/>
  <c r="AA150" i="32"/>
  <c r="AA149" i="32"/>
  <c r="AA148" i="32"/>
  <c r="AA147" i="32"/>
  <c r="AA146" i="32"/>
  <c r="AA145" i="32"/>
  <c r="AA144" i="32"/>
  <c r="AA143" i="32"/>
  <c r="AA142" i="32"/>
  <c r="AA141" i="32"/>
  <c r="AA140" i="32"/>
  <c r="AA139" i="32"/>
  <c r="AA138" i="32"/>
  <c r="AA137" i="32"/>
  <c r="AA135" i="32"/>
  <c r="AA136" i="32"/>
  <c r="AA134" i="32"/>
  <c r="AA133" i="32"/>
  <c r="AA132" i="32"/>
  <c r="AA131" i="32"/>
  <c r="AA130" i="32"/>
  <c r="AA129" i="32"/>
  <c r="AA128" i="32"/>
  <c r="AA127" i="32"/>
  <c r="AA126" i="32"/>
  <c r="AA125" i="32"/>
  <c r="AA124" i="32"/>
  <c r="AA123" i="32"/>
  <c r="AA122" i="32"/>
  <c r="AA120" i="32"/>
  <c r="AA119" i="32"/>
  <c r="AA121" i="32"/>
  <c r="AA117" i="32"/>
  <c r="AA116" i="32"/>
  <c r="AA115" i="32"/>
  <c r="AA114" i="32"/>
  <c r="AA113" i="32"/>
  <c r="AA112" i="32"/>
  <c r="AA111" i="32"/>
  <c r="AA110" i="32"/>
  <c r="AA109" i="32"/>
  <c r="AA108" i="32"/>
  <c r="AA107" i="32"/>
  <c r="AA106" i="32"/>
  <c r="AA105" i="32"/>
  <c r="AA104" i="32"/>
  <c r="AA103" i="32"/>
  <c r="AA102" i="32"/>
  <c r="AA101" i="32"/>
  <c r="AA100" i="32"/>
  <c r="AA99" i="32"/>
  <c r="AA98" i="32"/>
  <c r="AA97" i="32"/>
  <c r="AA96" i="32"/>
  <c r="AA95" i="32"/>
  <c r="AA94" i="32"/>
  <c r="AA93" i="32"/>
  <c r="AA92" i="32"/>
  <c r="AA91" i="32"/>
  <c r="AA90" i="32"/>
  <c r="AA89" i="32"/>
  <c r="AA88" i="32"/>
  <c r="AA87" i="32"/>
  <c r="AA86" i="32"/>
  <c r="AA85" i="32"/>
  <c r="AA84" i="32"/>
  <c r="AA83" i="32"/>
  <c r="AA82" i="32"/>
  <c r="AA81" i="32"/>
  <c r="AA80" i="32"/>
  <c r="AA79" i="32"/>
  <c r="AA78" i="32"/>
  <c r="AA77" i="32"/>
  <c r="AA76" i="32"/>
  <c r="AA75" i="32"/>
  <c r="AA74" i="32"/>
  <c r="AA73" i="32"/>
  <c r="AA72" i="32"/>
  <c r="AA71" i="32"/>
  <c r="AA69" i="32"/>
  <c r="AA70" i="32"/>
  <c r="AA68" i="32"/>
  <c r="AA67" i="32"/>
  <c r="AA66" i="32"/>
  <c r="AA65" i="32"/>
  <c r="AA64" i="32"/>
  <c r="AA63" i="32"/>
  <c r="AA62" i="32"/>
  <c r="AA61" i="32"/>
  <c r="AA60" i="32"/>
  <c r="AA59" i="32"/>
  <c r="AA58" i="32"/>
  <c r="AA57" i="32"/>
  <c r="AA56" i="32"/>
  <c r="AA55" i="32"/>
  <c r="AA54" i="32"/>
  <c r="AA53" i="32"/>
  <c r="AA52" i="32"/>
  <c r="AA51" i="32"/>
  <c r="AA50" i="32"/>
  <c r="AA49" i="32"/>
  <c r="AA48" i="32"/>
  <c r="AA47" i="32"/>
  <c r="AA46" i="32"/>
  <c r="AA45" i="32"/>
  <c r="AA44" i="32"/>
  <c r="AA43" i="32"/>
  <c r="AA42" i="32"/>
  <c r="AA41" i="32"/>
  <c r="AA40" i="32"/>
  <c r="AA39" i="32"/>
  <c r="AA38" i="32"/>
  <c r="AA37" i="32"/>
  <c r="AA36" i="32"/>
  <c r="AA35" i="32"/>
  <c r="AA34" i="32"/>
  <c r="AA33" i="32"/>
  <c r="AA32" i="32"/>
  <c r="AA31" i="32"/>
  <c r="AA30" i="32"/>
  <c r="AA29" i="32"/>
  <c r="AA28" i="32"/>
  <c r="AA27" i="32"/>
  <c r="AA26" i="32"/>
  <c r="AA25" i="32"/>
  <c r="AA24" i="32"/>
  <c r="AA23" i="32"/>
  <c r="AA22" i="32"/>
  <c r="AA21" i="32"/>
  <c r="AA20" i="32"/>
  <c r="AA19" i="32"/>
  <c r="AA18" i="32"/>
  <c r="AA17" i="32"/>
  <c r="AA16" i="32"/>
  <c r="AA15" i="32"/>
  <c r="AA14" i="32"/>
  <c r="AA13" i="32"/>
  <c r="AA12" i="32"/>
  <c r="AA11" i="32"/>
  <c r="AA10" i="32"/>
  <c r="AA9" i="32"/>
  <c r="AA8" i="32"/>
  <c r="T8" i="32"/>
  <c r="AA7" i="32"/>
  <c r="E31" i="24" l="1"/>
  <c r="AS320" i="32" l="1"/>
  <c r="AV320" i="32" s="1"/>
  <c r="AW320" i="32" s="1"/>
  <c r="AV313" i="32"/>
  <c r="AZ313" i="32" s="1"/>
  <c r="AS309" i="32"/>
  <c r="AV309" i="32" s="1"/>
  <c r="AV285" i="32"/>
  <c r="AW285" i="32" s="1"/>
  <c r="AS258" i="32"/>
  <c r="AV258" i="32" s="1"/>
  <c r="AS254" i="32"/>
  <c r="AV254" i="32" s="1"/>
  <c r="AZ254" i="32" s="1"/>
  <c r="AS212" i="32"/>
  <c r="AV212" i="32" s="1"/>
  <c r="AZ212" i="32" s="1"/>
  <c r="AS200" i="32"/>
  <c r="AV200" i="32" s="1"/>
  <c r="AW200" i="32" s="1"/>
  <c r="AV92" i="32"/>
  <c r="AW92" i="32" s="1"/>
  <c r="AS71" i="32"/>
  <c r="AV71" i="32" s="1"/>
  <c r="AW71" i="32" s="1"/>
  <c r="AS72" i="32"/>
  <c r="AS13" i="32"/>
  <c r="AV13" i="32" s="1"/>
  <c r="AZ13" i="32" s="1"/>
  <c r="AS23" i="32"/>
  <c r="AV23" i="32" s="1"/>
  <c r="AS70" i="32"/>
  <c r="AS93" i="32"/>
  <c r="AV93" i="32" s="1"/>
  <c r="AW93" i="32" s="1"/>
  <c r="AS99" i="32"/>
  <c r="AV99" i="32" s="1"/>
  <c r="AW99" i="32" s="1"/>
  <c r="AS114" i="32"/>
  <c r="AV114" i="32" s="1"/>
  <c r="AW114" i="32" s="1"/>
  <c r="AS124" i="32"/>
  <c r="AV124" i="32" s="1"/>
  <c r="AW124" i="32" s="1"/>
  <c r="AS130" i="32"/>
  <c r="AV130" i="32" s="1"/>
  <c r="AZ130" i="32" s="1"/>
  <c r="AS151" i="32"/>
  <c r="AV151" i="32" s="1"/>
  <c r="AS152" i="32"/>
  <c r="AV152" i="32" s="1"/>
  <c r="AW152" i="32" s="1"/>
  <c r="AS156" i="32"/>
  <c r="AV156" i="32" s="1"/>
  <c r="AW156" i="32" s="1"/>
  <c r="I336" i="32"/>
  <c r="I335" i="32"/>
  <c r="I334" i="32"/>
  <c r="I333" i="32"/>
  <c r="I332" i="32"/>
  <c r="I331" i="32"/>
  <c r="I330" i="32"/>
  <c r="I329" i="32"/>
  <c r="I328" i="32"/>
  <c r="I327" i="32"/>
  <c r="I326" i="32"/>
  <c r="I325" i="32"/>
  <c r="I324" i="32"/>
  <c r="I323" i="32"/>
  <c r="I322" i="32"/>
  <c r="I321" i="32"/>
  <c r="I320" i="32"/>
  <c r="I319" i="32"/>
  <c r="I318" i="32"/>
  <c r="I317" i="32"/>
  <c r="I316" i="32"/>
  <c r="I315" i="32"/>
  <c r="I314" i="32"/>
  <c r="I313" i="32"/>
  <c r="I312" i="32"/>
  <c r="I311" i="32"/>
  <c r="I310" i="32"/>
  <c r="I309" i="32"/>
  <c r="I308" i="32"/>
  <c r="I307" i="32"/>
  <c r="I306" i="32"/>
  <c r="I305" i="32"/>
  <c r="I304" i="32"/>
  <c r="I303" i="32"/>
  <c r="I302" i="32"/>
  <c r="I301" i="32"/>
  <c r="I300" i="32"/>
  <c r="I299" i="32"/>
  <c r="I298" i="32"/>
  <c r="I297" i="32"/>
  <c r="I296" i="32"/>
  <c r="I295" i="32"/>
  <c r="I294" i="32"/>
  <c r="I293" i="32"/>
  <c r="I292" i="32"/>
  <c r="I291" i="32"/>
  <c r="I290" i="32"/>
  <c r="I289" i="32"/>
  <c r="I288" i="32"/>
  <c r="I287" i="32"/>
  <c r="I286" i="32"/>
  <c r="I285" i="32"/>
  <c r="I281" i="32"/>
  <c r="I284" i="32"/>
  <c r="I283" i="32"/>
  <c r="I282" i="32"/>
  <c r="I280" i="32"/>
  <c r="I279" i="32"/>
  <c r="I278" i="32"/>
  <c r="I277" i="32"/>
  <c r="I276" i="32"/>
  <c r="I275" i="32"/>
  <c r="I274" i="32"/>
  <c r="I273" i="32"/>
  <c r="I272" i="32"/>
  <c r="I271" i="32"/>
  <c r="I270" i="32"/>
  <c r="I269" i="32"/>
  <c r="I268" i="32"/>
  <c r="I267" i="32"/>
  <c r="I266" i="32"/>
  <c r="I265" i="32"/>
  <c r="I264" i="32"/>
  <c r="I263" i="32"/>
  <c r="I262" i="32"/>
  <c r="I261" i="32"/>
  <c r="I260" i="32"/>
  <c r="I259" i="32"/>
  <c r="I258" i="32"/>
  <c r="I257" i="32"/>
  <c r="I256" i="32"/>
  <c r="I255" i="32"/>
  <c r="I254" i="32"/>
  <c r="I253" i="32"/>
  <c r="I252" i="32"/>
  <c r="I251" i="32"/>
  <c r="I250" i="32"/>
  <c r="I249" i="32"/>
  <c r="I248" i="32"/>
  <c r="I246" i="32"/>
  <c r="I245" i="32"/>
  <c r="I244" i="32"/>
  <c r="I243" i="32"/>
  <c r="I242" i="32"/>
  <c r="I241" i="32"/>
  <c r="I240" i="32"/>
  <c r="I239" i="32"/>
  <c r="I238" i="32"/>
  <c r="I237" i="32"/>
  <c r="I236" i="32"/>
  <c r="I235" i="32"/>
  <c r="I234" i="32"/>
  <c r="I233" i="32"/>
  <c r="I232" i="32"/>
  <c r="I231" i="32"/>
  <c r="I230" i="32"/>
  <c r="I229" i="32"/>
  <c r="I228" i="32"/>
  <c r="I227" i="32"/>
  <c r="I226" i="32"/>
  <c r="I225" i="32"/>
  <c r="I224" i="32"/>
  <c r="I223" i="32"/>
  <c r="I222" i="32"/>
  <c r="I221" i="32"/>
  <c r="I220" i="32"/>
  <c r="I219" i="32"/>
  <c r="I218" i="32"/>
  <c r="I217" i="32"/>
  <c r="I216" i="32"/>
  <c r="I215" i="32"/>
  <c r="I214" i="32"/>
  <c r="I213" i="32"/>
  <c r="I212" i="32"/>
  <c r="I210" i="32"/>
  <c r="I209" i="32"/>
  <c r="I208" i="32"/>
  <c r="I207" i="32"/>
  <c r="I206" i="32"/>
  <c r="I205" i="32"/>
  <c r="I204" i="32"/>
  <c r="I203" i="32"/>
  <c r="I202" i="32"/>
  <c r="I201" i="32"/>
  <c r="I200" i="32"/>
  <c r="I199" i="32"/>
  <c r="I198" i="32"/>
  <c r="I197" i="32"/>
  <c r="I196" i="32"/>
  <c r="I195" i="32"/>
  <c r="I194" i="32"/>
  <c r="I193" i="32"/>
  <c r="I192" i="32"/>
  <c r="I191" i="32"/>
  <c r="I190" i="32"/>
  <c r="I189" i="32"/>
  <c r="I188" i="32"/>
  <c r="I187" i="32"/>
  <c r="I186" i="32"/>
  <c r="I185" i="32"/>
  <c r="I184" i="32"/>
  <c r="I183" i="32"/>
  <c r="I182" i="32"/>
  <c r="I181" i="32"/>
  <c r="I180" i="32"/>
  <c r="I179" i="32"/>
  <c r="I178" i="32"/>
  <c r="I177" i="32"/>
  <c r="I176" i="32"/>
  <c r="I175" i="32"/>
  <c r="I174" i="32"/>
  <c r="I173" i="32"/>
  <c r="I172" i="32"/>
  <c r="I171" i="32"/>
  <c r="I170" i="32"/>
  <c r="I169" i="32"/>
  <c r="I168" i="32"/>
  <c r="I167" i="32"/>
  <c r="I166" i="32"/>
  <c r="I165" i="32"/>
  <c r="I164" i="32"/>
  <c r="I163" i="32"/>
  <c r="I162" i="32"/>
  <c r="I161" i="32"/>
  <c r="I160" i="32"/>
  <c r="I159" i="32"/>
  <c r="I158" i="32"/>
  <c r="I157" i="32"/>
  <c r="I156" i="32"/>
  <c r="I155" i="32"/>
  <c r="I154" i="32"/>
  <c r="I153" i="32"/>
  <c r="I152" i="32"/>
  <c r="I151" i="32"/>
  <c r="I150" i="32"/>
  <c r="I149" i="32"/>
  <c r="I148" i="32"/>
  <c r="I147" i="32"/>
  <c r="I146" i="32"/>
  <c r="I145" i="32"/>
  <c r="I144" i="32"/>
  <c r="I143" i="32"/>
  <c r="I142" i="32"/>
  <c r="I141" i="32"/>
  <c r="I140" i="32"/>
  <c r="I139" i="32"/>
  <c r="I138" i="32"/>
  <c r="I137" i="32"/>
  <c r="I135" i="32"/>
  <c r="I136" i="32"/>
  <c r="I134" i="32"/>
  <c r="I133" i="32"/>
  <c r="I132" i="32"/>
  <c r="I131" i="32"/>
  <c r="I130" i="32"/>
  <c r="I129" i="32"/>
  <c r="I128" i="32"/>
  <c r="I127" i="32"/>
  <c r="I126" i="32"/>
  <c r="I125" i="32"/>
  <c r="I124" i="32"/>
  <c r="I123" i="32"/>
  <c r="I122" i="32"/>
  <c r="I120" i="32"/>
  <c r="I119" i="32"/>
  <c r="I121" i="32"/>
  <c r="I117" i="32"/>
  <c r="I116" i="32"/>
  <c r="I115" i="32"/>
  <c r="I114" i="32"/>
  <c r="I113" i="32"/>
  <c r="I112" i="32"/>
  <c r="I111" i="32"/>
  <c r="I110" i="32"/>
  <c r="I109" i="32"/>
  <c r="I108" i="32"/>
  <c r="I107" i="32"/>
  <c r="I106" i="32"/>
  <c r="I105" i="32"/>
  <c r="I104" i="32"/>
  <c r="I103" i="32"/>
  <c r="I102" i="32"/>
  <c r="I101" i="32"/>
  <c r="I100" i="32"/>
  <c r="I99" i="32"/>
  <c r="I98" i="32"/>
  <c r="I97" i="32"/>
  <c r="I96" i="32"/>
  <c r="I95" i="32"/>
  <c r="I94" i="32"/>
  <c r="I93" i="32"/>
  <c r="I92" i="32"/>
  <c r="I91" i="32"/>
  <c r="I90" i="32"/>
  <c r="I89" i="32"/>
  <c r="I88" i="32"/>
  <c r="I87" i="32"/>
  <c r="I86" i="32"/>
  <c r="I85" i="32"/>
  <c r="I84" i="32"/>
  <c r="I83" i="32"/>
  <c r="I82" i="32"/>
  <c r="I81" i="32"/>
  <c r="I80" i="32"/>
  <c r="I79" i="32"/>
  <c r="I78" i="32"/>
  <c r="I77" i="32"/>
  <c r="I76" i="32"/>
  <c r="I75" i="32"/>
  <c r="I74" i="32"/>
  <c r="I73" i="32"/>
  <c r="I72" i="32"/>
  <c r="I71" i="32"/>
  <c r="I69" i="32"/>
  <c r="I70" i="32"/>
  <c r="I68" i="32"/>
  <c r="I67" i="32"/>
  <c r="I66" i="32"/>
  <c r="I65" i="32"/>
  <c r="I64" i="32"/>
  <c r="I63" i="32"/>
  <c r="I62" i="32"/>
  <c r="I61" i="32"/>
  <c r="I60" i="32"/>
  <c r="I59" i="32"/>
  <c r="I58" i="32"/>
  <c r="I57" i="32"/>
  <c r="I56" i="32"/>
  <c r="I55" i="32"/>
  <c r="I54" i="32"/>
  <c r="I53" i="32"/>
  <c r="I52" i="32"/>
  <c r="I51" i="32"/>
  <c r="I50" i="32"/>
  <c r="I49" i="32"/>
  <c r="I48" i="32"/>
  <c r="I47" i="32"/>
  <c r="I46" i="32"/>
  <c r="I45" i="32"/>
  <c r="I44" i="32"/>
  <c r="I43" i="32"/>
  <c r="I42" i="32"/>
  <c r="I41" i="32"/>
  <c r="I40" i="32"/>
  <c r="I39" i="32"/>
  <c r="I38" i="32"/>
  <c r="I37" i="32"/>
  <c r="I36" i="32"/>
  <c r="I35" i="32"/>
  <c r="I34" i="32"/>
  <c r="I33" i="32"/>
  <c r="I32" i="32"/>
  <c r="I31" i="32"/>
  <c r="I30" i="32"/>
  <c r="I29" i="32"/>
  <c r="I28" i="32"/>
  <c r="I27" i="32"/>
  <c r="I26" i="32"/>
  <c r="I25" i="32"/>
  <c r="I24" i="32"/>
  <c r="I23" i="32"/>
  <c r="I22" i="32"/>
  <c r="I21" i="32"/>
  <c r="I20" i="32"/>
  <c r="I19" i="32"/>
  <c r="I18" i="32"/>
  <c r="I17" i="32"/>
  <c r="I16" i="32"/>
  <c r="I15" i="32"/>
  <c r="I14" i="32"/>
  <c r="I13" i="32"/>
  <c r="I12" i="32"/>
  <c r="I11" i="32"/>
  <c r="I10" i="32"/>
  <c r="I9" i="32"/>
  <c r="I8" i="32"/>
  <c r="I7" i="32"/>
  <c r="AV170" i="32"/>
  <c r="AW170" i="32" s="1"/>
  <c r="AV72" i="32"/>
  <c r="AV70" i="32"/>
  <c r="AW70" i="32" s="1"/>
  <c r="AV190" i="32"/>
  <c r="AW190" i="32" s="1"/>
  <c r="AS336" i="32"/>
  <c r="AV336" i="32" s="1"/>
  <c r="AS335" i="32"/>
  <c r="AV335" i="32" s="1"/>
  <c r="AS334" i="32"/>
  <c r="AV334" i="32" s="1"/>
  <c r="AS333" i="32"/>
  <c r="AV333" i="32" s="1"/>
  <c r="AS332" i="32"/>
  <c r="AV332" i="32" s="1"/>
  <c r="AS331" i="32"/>
  <c r="AV331" i="32" s="1"/>
  <c r="AS330" i="32"/>
  <c r="AV330" i="32" s="1"/>
  <c r="AV329" i="32"/>
  <c r="AW329" i="32" s="1"/>
  <c r="AS328" i="32"/>
  <c r="AV328" i="32" s="1"/>
  <c r="AS327" i="32"/>
  <c r="AV327" i="32" s="1"/>
  <c r="AZ327" i="32" s="1"/>
  <c r="AS326" i="32"/>
  <c r="AV326" i="32" s="1"/>
  <c r="AS325" i="32"/>
  <c r="AV325" i="32" s="1"/>
  <c r="AS324" i="32"/>
  <c r="AV324" i="32" s="1"/>
  <c r="AS323" i="32"/>
  <c r="AV323" i="32" s="1"/>
  <c r="AS322" i="32"/>
  <c r="AV322" i="32" s="1"/>
  <c r="AS321" i="32"/>
  <c r="AV321" i="32" s="1"/>
  <c r="AS319" i="32"/>
  <c r="AV319" i="32" s="1"/>
  <c r="AS318" i="32"/>
  <c r="AV318" i="32" s="1"/>
  <c r="AS317" i="32"/>
  <c r="AV317" i="32" s="1"/>
  <c r="AS316" i="32"/>
  <c r="AV316" i="32" s="1"/>
  <c r="AS315" i="32"/>
  <c r="AV315" i="32" s="1"/>
  <c r="AS314" i="32"/>
  <c r="AV314" i="32" s="1"/>
  <c r="AS312" i="32"/>
  <c r="AV312" i="32" s="1"/>
  <c r="AS311" i="32"/>
  <c r="AV311" i="32" s="1"/>
  <c r="AS310" i="32"/>
  <c r="AV310" i="32" s="1"/>
  <c r="AS308" i="32"/>
  <c r="AV308" i="32" s="1"/>
  <c r="AS307" i="32"/>
  <c r="AV307" i="32" s="1"/>
  <c r="AZ307" i="32" s="1"/>
  <c r="AS306" i="32"/>
  <c r="AV306" i="32" s="1"/>
  <c r="AS305" i="32"/>
  <c r="AV305" i="32" s="1"/>
  <c r="AS304" i="32"/>
  <c r="AV304" i="32" s="1"/>
  <c r="AS303" i="32"/>
  <c r="AV303" i="32" s="1"/>
  <c r="AS302" i="32"/>
  <c r="AV302" i="32" s="1"/>
  <c r="AS301" i="32"/>
  <c r="AV301" i="32" s="1"/>
  <c r="AS300" i="32"/>
  <c r="AV300" i="32" s="1"/>
  <c r="AS299" i="32"/>
  <c r="AV299" i="32" s="1"/>
  <c r="AS298" i="32"/>
  <c r="AV298" i="32" s="1"/>
  <c r="AS297" i="32"/>
  <c r="AV297" i="32" s="1"/>
  <c r="AS296" i="32"/>
  <c r="AV296" i="32" s="1"/>
  <c r="AS295" i="32"/>
  <c r="AV295" i="32" s="1"/>
  <c r="AZ295" i="32" s="1"/>
  <c r="AS294" i="32"/>
  <c r="AV294" i="32" s="1"/>
  <c r="AS293" i="32"/>
  <c r="AV293" i="32" s="1"/>
  <c r="AS292" i="32"/>
  <c r="AV292" i="32" s="1"/>
  <c r="AS291" i="32"/>
  <c r="AV291" i="32" s="1"/>
  <c r="AS290" i="32"/>
  <c r="AV290" i="32" s="1"/>
  <c r="AW290" i="32" s="1"/>
  <c r="AS289" i="32"/>
  <c r="AV289" i="32" s="1"/>
  <c r="AS288" i="32"/>
  <c r="AV288" i="32" s="1"/>
  <c r="AS287" i="32"/>
  <c r="AV287" i="32" s="1"/>
  <c r="AS286" i="32"/>
  <c r="AV286" i="32" s="1"/>
  <c r="AS281" i="32"/>
  <c r="AV281" i="32" s="1"/>
  <c r="AS284" i="32"/>
  <c r="AV284" i="32" s="1"/>
  <c r="AW284" i="32" s="1"/>
  <c r="AS283" i="32"/>
  <c r="AV283" i="32" s="1"/>
  <c r="AS282" i="32"/>
  <c r="AV282" i="32" s="1"/>
  <c r="AV280" i="32"/>
  <c r="AW280" i="32" s="1"/>
  <c r="AS279" i="32"/>
  <c r="AV279" i="32" s="1"/>
  <c r="AS278" i="32"/>
  <c r="AV278" i="32" s="1"/>
  <c r="AS277" i="32"/>
  <c r="AV277" i="32" s="1"/>
  <c r="AS276" i="32"/>
  <c r="AV276" i="32" s="1"/>
  <c r="AS275" i="32"/>
  <c r="AV275" i="32" s="1"/>
  <c r="AS274" i="32"/>
  <c r="AV274" i="32" s="1"/>
  <c r="AS273" i="32"/>
  <c r="AV273" i="32" s="1"/>
  <c r="AS272" i="32"/>
  <c r="AV272" i="32" s="1"/>
  <c r="AS271" i="32"/>
  <c r="AV271" i="32" s="1"/>
  <c r="AS270" i="32"/>
  <c r="AV270" i="32" s="1"/>
  <c r="AV269" i="32"/>
  <c r="AW269" i="32" s="1"/>
  <c r="AS268" i="32"/>
  <c r="AV268" i="32" s="1"/>
  <c r="AS267" i="32"/>
  <c r="AV267" i="32" s="1"/>
  <c r="AV266" i="32"/>
  <c r="AW266" i="32" s="1"/>
  <c r="AS265" i="32"/>
  <c r="AV265" i="32" s="1"/>
  <c r="AS264" i="32"/>
  <c r="AV264" i="32" s="1"/>
  <c r="AS263" i="32"/>
  <c r="AV263" i="32" s="1"/>
  <c r="AV262" i="32"/>
  <c r="AW262" i="32" s="1"/>
  <c r="AS261" i="32"/>
  <c r="AV261" i="32" s="1"/>
  <c r="AS260" i="32"/>
  <c r="AV260" i="32" s="1"/>
  <c r="AV259" i="32"/>
  <c r="AW259" i="32" s="1"/>
  <c r="AS257" i="32"/>
  <c r="AV257" i="32" s="1"/>
  <c r="AV256" i="32"/>
  <c r="AW256" i="32" s="1"/>
  <c r="AS255" i="32"/>
  <c r="AV255" i="32" s="1"/>
  <c r="AV253" i="32"/>
  <c r="AW253" i="32" s="1"/>
  <c r="AS252" i="32"/>
  <c r="AV252" i="32" s="1"/>
  <c r="AS251" i="32"/>
  <c r="AV251" i="32" s="1"/>
  <c r="AS250" i="32"/>
  <c r="AV250" i="32" s="1"/>
  <c r="AS249" i="32"/>
  <c r="AV249" i="32" s="1"/>
  <c r="AS248" i="32"/>
  <c r="AV248" i="32" s="1"/>
  <c r="AZ248" i="32" s="1"/>
  <c r="AS246" i="32"/>
  <c r="AV246" i="32" s="1"/>
  <c r="AV245" i="32"/>
  <c r="AW245" i="32" s="1"/>
  <c r="AS244" i="32"/>
  <c r="AV244" i="32" s="1"/>
  <c r="AS243" i="32"/>
  <c r="AV243" i="32" s="1"/>
  <c r="AS242" i="32"/>
  <c r="AV242" i="32" s="1"/>
  <c r="AS241" i="32"/>
  <c r="AV241" i="32" s="1"/>
  <c r="AS240" i="32"/>
  <c r="AV240" i="32" s="1"/>
  <c r="AS239" i="32"/>
  <c r="AV239" i="32" s="1"/>
  <c r="AS238" i="32"/>
  <c r="AV238" i="32" s="1"/>
  <c r="AZ238" i="32" s="1"/>
  <c r="AS237" i="32"/>
  <c r="AV237" i="32" s="1"/>
  <c r="AS236" i="32"/>
  <c r="AV236" i="32" s="1"/>
  <c r="AS235" i="32"/>
  <c r="AV235" i="32" s="1"/>
  <c r="AS234" i="32"/>
  <c r="AV234" i="32" s="1"/>
  <c r="AS233" i="32"/>
  <c r="AV233" i="32" s="1"/>
  <c r="AS232" i="32"/>
  <c r="AV232" i="32" s="1"/>
  <c r="AS231" i="32"/>
  <c r="AV231" i="32" s="1"/>
  <c r="AS230" i="32"/>
  <c r="AV230" i="32" s="1"/>
  <c r="AS229" i="32"/>
  <c r="AV229" i="32" s="1"/>
  <c r="AS228" i="32"/>
  <c r="AV228" i="32" s="1"/>
  <c r="AZ228" i="32" s="1"/>
  <c r="AS227" i="32"/>
  <c r="AV227" i="32" s="1"/>
  <c r="AS226" i="32"/>
  <c r="AV226" i="32" s="1"/>
  <c r="AZ226" i="32" s="1"/>
  <c r="AS225" i="32"/>
  <c r="AV225" i="32" s="1"/>
  <c r="AS224" i="32"/>
  <c r="AV224" i="32" s="1"/>
  <c r="AS223" i="32"/>
  <c r="AV223" i="32" s="1"/>
  <c r="AZ223" i="32" s="1"/>
  <c r="AS222" i="32"/>
  <c r="AV222" i="32" s="1"/>
  <c r="AS221" i="32"/>
  <c r="AV221" i="32" s="1"/>
  <c r="AV220" i="32"/>
  <c r="AS219" i="32"/>
  <c r="AV219" i="32" s="1"/>
  <c r="AS218" i="32"/>
  <c r="AV218" i="32" s="1"/>
  <c r="AS217" i="32"/>
  <c r="AV217" i="32" s="1"/>
  <c r="AV216" i="32"/>
  <c r="AW216" i="32" s="1"/>
  <c r="AS215" i="32"/>
  <c r="AV215" i="32" s="1"/>
  <c r="AS214" i="32"/>
  <c r="AV214" i="32" s="1"/>
  <c r="AS213" i="32"/>
  <c r="AV213" i="32" s="1"/>
  <c r="AS210" i="32"/>
  <c r="AV210" i="32" s="1"/>
  <c r="AS209" i="32"/>
  <c r="AV209" i="32" s="1"/>
  <c r="AS208" i="32"/>
  <c r="AV208" i="32" s="1"/>
  <c r="AS207" i="32"/>
  <c r="AV207" i="32" s="1"/>
  <c r="AS206" i="32"/>
  <c r="AV206" i="32" s="1"/>
  <c r="AV205" i="32"/>
  <c r="AW205" i="32" s="1"/>
  <c r="AS204" i="32"/>
  <c r="AV204" i="32" s="1"/>
  <c r="AS203" i="32"/>
  <c r="AV203" i="32" s="1"/>
  <c r="AS202" i="32"/>
  <c r="AV202" i="32" s="1"/>
  <c r="AS201" i="32"/>
  <c r="AV201" i="32" s="1"/>
  <c r="AS199" i="32"/>
  <c r="AV199" i="32" s="1"/>
  <c r="AS198" i="32"/>
  <c r="AV198" i="32" s="1"/>
  <c r="AS197" i="32"/>
  <c r="AV197" i="32" s="1"/>
  <c r="AS196" i="32"/>
  <c r="AV196" i="32" s="1"/>
  <c r="AS195" i="32"/>
  <c r="AV195" i="32" s="1"/>
  <c r="AS194" i="32"/>
  <c r="AV194" i="32" s="1"/>
  <c r="AS193" i="32"/>
  <c r="AV193" i="32" s="1"/>
  <c r="AS192" i="32"/>
  <c r="AV192" i="32" s="1"/>
  <c r="AS191" i="32"/>
  <c r="AV191" i="32" s="1"/>
  <c r="AS189" i="32"/>
  <c r="AV189" i="32" s="1"/>
  <c r="AS188" i="32"/>
  <c r="AV188" i="32" s="1"/>
  <c r="AS187" i="32"/>
  <c r="AV187" i="32" s="1"/>
  <c r="AV186" i="32"/>
  <c r="AW186" i="32" s="1"/>
  <c r="AS185" i="32"/>
  <c r="AV185" i="32" s="1"/>
  <c r="AS184" i="32"/>
  <c r="AV184" i="32" s="1"/>
  <c r="AS183" i="32"/>
  <c r="AV183" i="32" s="1"/>
  <c r="AV182" i="32"/>
  <c r="AW182" i="32" s="1"/>
  <c r="AS181" i="32"/>
  <c r="AV181" i="32" s="1"/>
  <c r="AS180" i="32"/>
  <c r="AV180" i="32" s="1"/>
  <c r="AZ180" i="32" s="1"/>
  <c r="AS179" i="32"/>
  <c r="AV179" i="32" s="1"/>
  <c r="AS178" i="32"/>
  <c r="AV178" i="32" s="1"/>
  <c r="AV177" i="32"/>
  <c r="AW177" i="32" s="1"/>
  <c r="AS176" i="32"/>
  <c r="AV176" i="32" s="1"/>
  <c r="AS175" i="32"/>
  <c r="AV175" i="32" s="1"/>
  <c r="AS174" i="32"/>
  <c r="AV174" i="32" s="1"/>
  <c r="AS173" i="32"/>
  <c r="AV173" i="32" s="1"/>
  <c r="AS172" i="32"/>
  <c r="AV172" i="32" s="1"/>
  <c r="AV171" i="32"/>
  <c r="AW171" i="32" s="1"/>
  <c r="AS169" i="32"/>
  <c r="AV169" i="32" s="1"/>
  <c r="AS168" i="32"/>
  <c r="AV168" i="32" s="1"/>
  <c r="AS167" i="32"/>
  <c r="AV167" i="32" s="1"/>
  <c r="AS166" i="32"/>
  <c r="AV166" i="32" s="1"/>
  <c r="AV165" i="32"/>
  <c r="AW165" i="32" s="1"/>
  <c r="AS164" i="32"/>
  <c r="AV164" i="32" s="1"/>
  <c r="AS163" i="32"/>
  <c r="AV163" i="32" s="1"/>
  <c r="AV162" i="32"/>
  <c r="AW162" i="32" s="1"/>
  <c r="AS161" i="32"/>
  <c r="AV161" i="32" s="1"/>
  <c r="AS160" i="32"/>
  <c r="AV160" i="32" s="1"/>
  <c r="AV159" i="32"/>
  <c r="AW159" i="32" s="1"/>
  <c r="AS158" i="32"/>
  <c r="AV158" i="32" s="1"/>
  <c r="AS157" i="32"/>
  <c r="AV157" i="32" s="1"/>
  <c r="AS155" i="32"/>
  <c r="AV155" i="32" s="1"/>
  <c r="AS154" i="32"/>
  <c r="AV154" i="32" s="1"/>
  <c r="AS153" i="32"/>
  <c r="AV153" i="32" s="1"/>
  <c r="AS150" i="32"/>
  <c r="AV150" i="32" s="1"/>
  <c r="AS149" i="32"/>
  <c r="AV149" i="32" s="1"/>
  <c r="AS148" i="32"/>
  <c r="AV148" i="32" s="1"/>
  <c r="AS147" i="32"/>
  <c r="AV147" i="32" s="1"/>
  <c r="AS146" i="32"/>
  <c r="AV146" i="32" s="1"/>
  <c r="AS145" i="32"/>
  <c r="AV145" i="32" s="1"/>
  <c r="AS144" i="32"/>
  <c r="AV144" i="32" s="1"/>
  <c r="AS143" i="32"/>
  <c r="AV143" i="32" s="1"/>
  <c r="AS142" i="32"/>
  <c r="AV142" i="32" s="1"/>
  <c r="AS141" i="32"/>
  <c r="AV141" i="32" s="1"/>
  <c r="AZ141" i="32" s="1"/>
  <c r="AS140" i="32"/>
  <c r="AV140" i="32" s="1"/>
  <c r="AS139" i="32"/>
  <c r="AV139" i="32" s="1"/>
  <c r="AS138" i="32"/>
  <c r="AV138" i="32" s="1"/>
  <c r="AZ138" i="32" s="1"/>
  <c r="AS137" i="32"/>
  <c r="AV137" i="32" s="1"/>
  <c r="AS135" i="32"/>
  <c r="AV135" i="32" s="1"/>
  <c r="AS136" i="32"/>
  <c r="AV136" i="32" s="1"/>
  <c r="AS134" i="32"/>
  <c r="AV134" i="32" s="1"/>
  <c r="AZ134" i="32" s="1"/>
  <c r="AS133" i="32"/>
  <c r="AV133" i="32" s="1"/>
  <c r="AS132" i="32"/>
  <c r="AV132" i="32" s="1"/>
  <c r="AS131" i="32"/>
  <c r="AV131" i="32" s="1"/>
  <c r="AS129" i="32"/>
  <c r="AV129" i="32" s="1"/>
  <c r="AS128" i="32"/>
  <c r="AV128" i="32" s="1"/>
  <c r="AS127" i="32"/>
  <c r="AV127" i="32" s="1"/>
  <c r="AS126" i="32"/>
  <c r="AV126" i="32" s="1"/>
  <c r="AS125" i="32"/>
  <c r="AV125" i="32" s="1"/>
  <c r="AS123" i="32"/>
  <c r="AV123" i="32" s="1"/>
  <c r="AS122" i="32"/>
  <c r="AV122" i="32" s="1"/>
  <c r="AS120" i="32"/>
  <c r="AV120" i="32" s="1"/>
  <c r="AS119" i="32"/>
  <c r="AV119" i="32" s="1"/>
  <c r="AS121" i="32"/>
  <c r="AV121" i="32" s="1"/>
  <c r="AV117" i="32"/>
  <c r="AS116" i="32"/>
  <c r="AV116" i="32" s="1"/>
  <c r="AV115" i="32"/>
  <c r="AW115" i="32" s="1"/>
  <c r="AS113" i="32"/>
  <c r="AV113" i="32" s="1"/>
  <c r="AZ113" i="32" s="1"/>
  <c r="AS112" i="32"/>
  <c r="AV112" i="32" s="1"/>
  <c r="AS111" i="32"/>
  <c r="AV111" i="32" s="1"/>
  <c r="AS110" i="32"/>
  <c r="AV110" i="32" s="1"/>
  <c r="AS109" i="32"/>
  <c r="AV109" i="32" s="1"/>
  <c r="AS108" i="32"/>
  <c r="AV108" i="32" s="1"/>
  <c r="AS107" i="32"/>
  <c r="AV107" i="32" s="1"/>
  <c r="AS106" i="32"/>
  <c r="AV106" i="32" s="1"/>
  <c r="AS105" i="32"/>
  <c r="AV105" i="32" s="1"/>
  <c r="AS104" i="32"/>
  <c r="AV104" i="32" s="1"/>
  <c r="AS103" i="32"/>
  <c r="AV103" i="32" s="1"/>
  <c r="AS102" i="32"/>
  <c r="AV102" i="32" s="1"/>
  <c r="AS101" i="32"/>
  <c r="AV101" i="32" s="1"/>
  <c r="AS100" i="32"/>
  <c r="AV100" i="32" s="1"/>
  <c r="AZ100" i="32" s="1"/>
  <c r="AS98" i="32"/>
  <c r="AV98" i="32" s="1"/>
  <c r="AS97" i="32"/>
  <c r="AV97" i="32" s="1"/>
  <c r="AS96" i="32"/>
  <c r="AV96" i="32" s="1"/>
  <c r="AS95" i="32"/>
  <c r="AV95" i="32" s="1"/>
  <c r="AS94" i="32"/>
  <c r="AV94" i="32" s="1"/>
  <c r="AS91" i="32"/>
  <c r="AV91" i="32" s="1"/>
  <c r="AS90" i="32"/>
  <c r="AV90" i="32" s="1"/>
  <c r="AS89" i="32"/>
  <c r="AV89" i="32" s="1"/>
  <c r="AS88" i="32"/>
  <c r="AV88" i="32" s="1"/>
  <c r="AS87" i="32"/>
  <c r="AV87" i="32" s="1"/>
  <c r="AS86" i="32"/>
  <c r="AV86" i="32" s="1"/>
  <c r="AS85" i="32"/>
  <c r="AV85" i="32" s="1"/>
  <c r="AS84" i="32"/>
  <c r="AV84" i="32" s="1"/>
  <c r="AS83" i="32"/>
  <c r="AV83" i="32" s="1"/>
  <c r="AS82" i="32"/>
  <c r="AV82" i="32" s="1"/>
  <c r="AS81" i="32"/>
  <c r="AV81" i="32" s="1"/>
  <c r="AS80" i="32"/>
  <c r="AV80" i="32" s="1"/>
  <c r="AW80" i="32" s="1"/>
  <c r="AS79" i="32"/>
  <c r="AV79" i="32" s="1"/>
  <c r="AS78" i="32"/>
  <c r="AV78" i="32" s="1"/>
  <c r="AS77" i="32"/>
  <c r="AV77" i="32" s="1"/>
  <c r="AS76" i="32"/>
  <c r="AV76" i="32" s="1"/>
  <c r="AV75" i="32"/>
  <c r="AV74" i="32"/>
  <c r="AW74" i="32" s="1"/>
  <c r="AS73" i="32"/>
  <c r="AV73" i="32" s="1"/>
  <c r="AS69" i="32"/>
  <c r="AV69" i="32" s="1"/>
  <c r="AS68" i="32"/>
  <c r="AV68" i="32" s="1"/>
  <c r="AS67" i="32"/>
  <c r="AV67" i="32" s="1"/>
  <c r="AS66" i="32"/>
  <c r="AV66" i="32" s="1"/>
  <c r="AS65" i="32"/>
  <c r="AV65" i="32" s="1"/>
  <c r="AS64" i="32"/>
  <c r="AV64" i="32" s="1"/>
  <c r="AS63" i="32"/>
  <c r="AV63" i="32" s="1"/>
  <c r="AS62" i="32"/>
  <c r="AV62" i="32" s="1"/>
  <c r="AS61" i="32"/>
  <c r="AV61" i="32" s="1"/>
  <c r="AS60" i="32"/>
  <c r="AV60" i="32" s="1"/>
  <c r="AS59" i="32"/>
  <c r="AV59" i="32" s="1"/>
  <c r="AS58" i="32"/>
  <c r="AV58" i="32" s="1"/>
  <c r="AV57" i="32"/>
  <c r="AS56" i="32"/>
  <c r="AV56" i="32" s="1"/>
  <c r="AS55" i="32"/>
  <c r="AV55" i="32" s="1"/>
  <c r="AS54" i="32"/>
  <c r="AV54" i="32" s="1"/>
  <c r="AS53" i="32"/>
  <c r="AV53" i="32" s="1"/>
  <c r="AS52" i="32"/>
  <c r="AV52" i="32" s="1"/>
  <c r="AS51" i="32"/>
  <c r="AV51" i="32" s="1"/>
  <c r="AS50" i="32"/>
  <c r="AV50" i="32" s="1"/>
  <c r="AS49" i="32"/>
  <c r="AV49" i="32" s="1"/>
  <c r="AS48" i="32"/>
  <c r="AV48" i="32" s="1"/>
  <c r="AS47" i="32"/>
  <c r="AV47" i="32" s="1"/>
  <c r="AS46" i="32"/>
  <c r="AV46" i="32" s="1"/>
  <c r="AS45" i="32"/>
  <c r="AV45" i="32" s="1"/>
  <c r="AS44" i="32"/>
  <c r="AV44" i="32" s="1"/>
  <c r="AS43" i="32"/>
  <c r="AV43" i="32" s="1"/>
  <c r="AS42" i="32"/>
  <c r="AV42" i="32" s="1"/>
  <c r="AS41" i="32"/>
  <c r="AV41" i="32" s="1"/>
  <c r="AZ41" i="32" s="1"/>
  <c r="AS40" i="32"/>
  <c r="AV40" i="32" s="1"/>
  <c r="AS39" i="32"/>
  <c r="AV39" i="32" s="1"/>
  <c r="AS38" i="32"/>
  <c r="AV38" i="32" s="1"/>
  <c r="AS37" i="32"/>
  <c r="AV37" i="32" s="1"/>
  <c r="AS36" i="32"/>
  <c r="AV36" i="32" s="1"/>
  <c r="AS35" i="32"/>
  <c r="AV35" i="32" s="1"/>
  <c r="AS34" i="32"/>
  <c r="AV34" i="32" s="1"/>
  <c r="AS33" i="32"/>
  <c r="AV33" i="32" s="1"/>
  <c r="AS32" i="32"/>
  <c r="AV32" i="32" s="1"/>
  <c r="AS31" i="32"/>
  <c r="AV31" i="32" s="1"/>
  <c r="AS30" i="32"/>
  <c r="AV30" i="32" s="1"/>
  <c r="AS29" i="32"/>
  <c r="AV29" i="32" s="1"/>
  <c r="AZ29" i="32" s="1"/>
  <c r="AS28" i="32"/>
  <c r="AV28" i="32" s="1"/>
  <c r="AV27" i="32"/>
  <c r="AW27" i="32" s="1"/>
  <c r="AS26" i="32"/>
  <c r="AV26" i="32" s="1"/>
  <c r="AS25" i="32"/>
  <c r="AV25" i="32" s="1"/>
  <c r="AZ25" i="32" s="1"/>
  <c r="AS24" i="32"/>
  <c r="AV24" i="32" s="1"/>
  <c r="AS22" i="32"/>
  <c r="AV22" i="32" s="1"/>
  <c r="AS21" i="32"/>
  <c r="AV21" i="32" s="1"/>
  <c r="AS20" i="32"/>
  <c r="AV20" i="32" s="1"/>
  <c r="AS19" i="32"/>
  <c r="AV19" i="32" s="1"/>
  <c r="AS18" i="32"/>
  <c r="AV18" i="32" s="1"/>
  <c r="AZ18" i="32" s="1"/>
  <c r="AS17" i="32"/>
  <c r="AV17" i="32" s="1"/>
  <c r="AS16" i="32"/>
  <c r="AV16" i="32" s="1"/>
  <c r="AW16" i="32" s="1"/>
  <c r="AS15" i="32"/>
  <c r="AV15" i="32" s="1"/>
  <c r="AS14" i="32"/>
  <c r="AV14" i="32" s="1"/>
  <c r="AS12" i="32"/>
  <c r="AV12" i="32" s="1"/>
  <c r="AS11" i="32"/>
  <c r="AV11" i="32" s="1"/>
  <c r="AS10" i="32"/>
  <c r="AV10" i="32" s="1"/>
  <c r="AS9" i="32"/>
  <c r="AV9" i="32" s="1"/>
  <c r="AZ9" i="32" s="1"/>
  <c r="AS8" i="32"/>
  <c r="AV8" i="32" s="1"/>
  <c r="AZ8" i="32" s="1"/>
  <c r="AV7" i="32"/>
  <c r="AP336" i="32"/>
  <c r="AP335" i="32"/>
  <c r="AP334" i="32"/>
  <c r="AP333" i="32"/>
  <c r="AP332" i="32"/>
  <c r="AP331" i="32"/>
  <c r="AP330" i="32"/>
  <c r="AP329" i="32"/>
  <c r="AP328" i="32"/>
  <c r="AP327" i="32"/>
  <c r="AP326" i="32"/>
  <c r="AP325" i="32"/>
  <c r="AP324" i="32"/>
  <c r="AP323" i="32"/>
  <c r="AP322" i="32"/>
  <c r="AP321" i="32"/>
  <c r="AP320" i="32"/>
  <c r="AP319" i="32"/>
  <c r="AP318" i="32"/>
  <c r="AP317" i="32"/>
  <c r="AP316" i="32"/>
  <c r="AP315" i="32"/>
  <c r="AP314" i="32"/>
  <c r="AP313" i="32"/>
  <c r="AP312" i="32"/>
  <c r="AP311" i="32"/>
  <c r="AP310" i="32"/>
  <c r="AP309" i="32"/>
  <c r="AP308" i="32"/>
  <c r="AP307" i="32"/>
  <c r="AP306" i="32"/>
  <c r="AP305" i="32"/>
  <c r="AP304" i="32"/>
  <c r="AP303" i="32"/>
  <c r="AP302" i="32"/>
  <c r="AP301" i="32"/>
  <c r="AP300" i="32"/>
  <c r="AP299" i="32"/>
  <c r="AP298" i="32"/>
  <c r="AP297" i="32"/>
  <c r="AP296" i="32"/>
  <c r="AP295" i="32"/>
  <c r="AP294" i="32"/>
  <c r="AP293" i="32"/>
  <c r="AP292" i="32"/>
  <c r="AP291" i="32"/>
  <c r="AP290" i="32"/>
  <c r="AP289" i="32"/>
  <c r="AP288" i="32"/>
  <c r="AP287" i="32"/>
  <c r="AP286" i="32"/>
  <c r="AP285" i="32"/>
  <c r="AP281" i="32"/>
  <c r="AP284" i="32"/>
  <c r="AP283" i="32"/>
  <c r="AP282" i="32"/>
  <c r="AP280" i="32"/>
  <c r="AP279" i="32"/>
  <c r="AP278" i="32"/>
  <c r="AP277" i="32"/>
  <c r="AP276" i="32"/>
  <c r="AP275" i="32"/>
  <c r="AP274" i="32"/>
  <c r="AP273" i="32"/>
  <c r="AP272" i="32"/>
  <c r="AP271" i="32"/>
  <c r="AP270" i="32"/>
  <c r="AP269" i="32"/>
  <c r="AP268" i="32"/>
  <c r="AP267" i="32"/>
  <c r="AP266" i="32"/>
  <c r="AP265" i="32"/>
  <c r="AP264" i="32"/>
  <c r="AP263" i="32"/>
  <c r="AP262" i="32"/>
  <c r="AP261" i="32"/>
  <c r="AP260" i="32"/>
  <c r="AP259" i="32"/>
  <c r="AP258" i="32"/>
  <c r="AP257" i="32"/>
  <c r="AP256" i="32"/>
  <c r="AP255" i="32"/>
  <c r="AP254" i="32"/>
  <c r="AP253" i="32"/>
  <c r="AP252" i="32"/>
  <c r="AP251" i="32"/>
  <c r="AP250" i="32"/>
  <c r="AP249" i="32"/>
  <c r="AP248" i="32"/>
  <c r="AP246" i="32"/>
  <c r="AP245" i="32"/>
  <c r="AP244" i="32"/>
  <c r="AP243" i="32"/>
  <c r="AP242" i="32"/>
  <c r="AP241" i="32"/>
  <c r="AP240" i="32"/>
  <c r="AP239" i="32"/>
  <c r="AP238" i="32"/>
  <c r="AP237" i="32"/>
  <c r="AP236" i="32"/>
  <c r="AP235" i="32"/>
  <c r="AP234" i="32"/>
  <c r="AP233" i="32"/>
  <c r="AP232" i="32"/>
  <c r="AP231" i="32"/>
  <c r="AP230" i="32"/>
  <c r="AP229" i="32"/>
  <c r="AP228" i="32"/>
  <c r="AP227" i="32"/>
  <c r="AP226" i="32"/>
  <c r="AP225" i="32"/>
  <c r="AP224" i="32"/>
  <c r="AP223" i="32"/>
  <c r="AP222" i="32"/>
  <c r="AP221" i="32"/>
  <c r="AP219" i="32"/>
  <c r="AP218" i="32"/>
  <c r="AP217" i="32"/>
  <c r="AP216" i="32"/>
  <c r="AP215" i="32"/>
  <c r="AP214" i="32"/>
  <c r="AP213" i="32"/>
  <c r="AP212" i="32"/>
  <c r="AP210" i="32"/>
  <c r="AP209" i="32"/>
  <c r="AP208" i="32"/>
  <c r="AP207" i="32"/>
  <c r="AP206" i="32"/>
  <c r="AP205" i="32"/>
  <c r="AP204" i="32"/>
  <c r="AP203" i="32"/>
  <c r="AP202" i="32"/>
  <c r="AP201" i="32"/>
  <c r="AP200" i="32"/>
  <c r="AP199" i="32"/>
  <c r="AP198" i="32"/>
  <c r="AP197" i="32"/>
  <c r="AP196" i="32"/>
  <c r="AP195" i="32"/>
  <c r="AP194" i="32"/>
  <c r="AP193" i="32"/>
  <c r="AP192" i="32"/>
  <c r="AP191" i="32"/>
  <c r="AP189" i="32"/>
  <c r="AP188" i="32"/>
  <c r="AP187" i="32"/>
  <c r="AP186" i="32"/>
  <c r="AP185" i="32"/>
  <c r="AP184" i="32"/>
  <c r="AP183" i="32"/>
  <c r="AP182" i="32"/>
  <c r="AP181" i="32"/>
  <c r="AP180" i="32"/>
  <c r="AP179" i="32"/>
  <c r="AP178" i="32"/>
  <c r="AP177" i="32"/>
  <c r="AP176" i="32"/>
  <c r="AP175" i="32"/>
  <c r="AP174" i="32"/>
  <c r="AP173" i="32"/>
  <c r="AP172" i="32"/>
  <c r="AP171" i="32"/>
  <c r="AP169" i="32"/>
  <c r="AP168" i="32"/>
  <c r="AP167" i="32"/>
  <c r="AP166" i="32"/>
  <c r="AP165" i="32"/>
  <c r="AP164" i="32"/>
  <c r="AP163" i="32"/>
  <c r="AP162" i="32"/>
  <c r="AP161" i="32"/>
  <c r="AP160" i="32"/>
  <c r="AP159" i="32"/>
  <c r="AP158" i="32"/>
  <c r="AP157" i="32"/>
  <c r="AP156" i="32"/>
  <c r="AP155" i="32"/>
  <c r="AP154" i="32"/>
  <c r="AP153" i="32"/>
  <c r="AP152" i="32"/>
  <c r="AP151" i="32"/>
  <c r="AP150" i="32"/>
  <c r="AP149" i="32"/>
  <c r="AP148" i="32"/>
  <c r="AP147" i="32"/>
  <c r="AP146" i="32"/>
  <c r="AP145" i="32"/>
  <c r="AP144" i="32"/>
  <c r="AP143" i="32"/>
  <c r="AP142" i="32"/>
  <c r="AP141" i="32"/>
  <c r="AP140" i="32"/>
  <c r="AP139" i="32"/>
  <c r="AP138" i="32"/>
  <c r="AP137" i="32"/>
  <c r="AP135" i="32"/>
  <c r="AP136" i="32"/>
  <c r="AP134" i="32"/>
  <c r="AP133" i="32"/>
  <c r="AP132" i="32"/>
  <c r="AP131" i="32"/>
  <c r="AP130" i="32"/>
  <c r="AP129" i="32"/>
  <c r="AP128" i="32"/>
  <c r="AP127" i="32"/>
  <c r="AP126" i="32"/>
  <c r="AP125" i="32"/>
  <c r="AP124" i="32"/>
  <c r="AP123" i="32"/>
  <c r="AP122" i="32"/>
  <c r="AP120" i="32"/>
  <c r="AP119" i="32"/>
  <c r="AP121" i="32"/>
  <c r="AP117" i="32"/>
  <c r="AP116" i="32"/>
  <c r="AP115" i="32"/>
  <c r="AP114" i="32"/>
  <c r="AP113" i="32"/>
  <c r="AP112" i="32"/>
  <c r="AP111" i="32"/>
  <c r="AP110" i="32"/>
  <c r="AP109" i="32"/>
  <c r="AP108" i="32"/>
  <c r="AP107" i="32"/>
  <c r="AP106" i="32"/>
  <c r="AP105" i="32"/>
  <c r="AP104" i="32"/>
  <c r="AP103" i="32"/>
  <c r="AP102" i="32"/>
  <c r="AP101" i="32"/>
  <c r="AP100" i="32"/>
  <c r="AP99" i="32"/>
  <c r="AP98" i="32"/>
  <c r="AP97" i="32"/>
  <c r="AP96" i="32"/>
  <c r="AP95" i="32"/>
  <c r="AP94" i="32"/>
  <c r="AP93" i="32"/>
  <c r="AP91" i="32"/>
  <c r="AP90" i="32"/>
  <c r="AP89" i="32"/>
  <c r="AP88" i="32"/>
  <c r="AP87" i="32"/>
  <c r="AP86" i="32"/>
  <c r="AP85" i="32"/>
  <c r="AP84" i="32"/>
  <c r="AP83" i="32"/>
  <c r="AP82" i="32"/>
  <c r="AP81" i="32"/>
  <c r="AP80" i="32"/>
  <c r="AP79" i="32"/>
  <c r="AP78" i="32"/>
  <c r="AP77" i="32"/>
  <c r="AP76" i="32"/>
  <c r="AP75" i="32"/>
  <c r="AP74" i="32"/>
  <c r="AP73" i="32"/>
  <c r="AP72" i="32"/>
  <c r="AP71" i="32"/>
  <c r="AP69" i="32"/>
  <c r="AP70" i="32"/>
  <c r="AP68" i="32"/>
  <c r="AP67" i="32"/>
  <c r="AP66" i="32"/>
  <c r="AP65" i="32"/>
  <c r="AP64" i="32"/>
  <c r="AP63" i="32"/>
  <c r="AP62" i="32"/>
  <c r="AP61" i="32"/>
  <c r="AP60" i="32"/>
  <c r="AP59" i="32"/>
  <c r="AP58" i="32"/>
  <c r="AP56" i="32"/>
  <c r="AP55" i="32"/>
  <c r="AP54" i="32"/>
  <c r="AP53" i="32"/>
  <c r="AP52" i="32"/>
  <c r="AP51" i="32"/>
  <c r="AP50" i="32"/>
  <c r="AP49" i="32"/>
  <c r="AP48" i="32"/>
  <c r="AP47" i="32"/>
  <c r="AP46" i="32"/>
  <c r="AP45" i="32"/>
  <c r="AP44" i="32"/>
  <c r="AP43" i="32"/>
  <c r="AP42" i="32"/>
  <c r="AP41" i="32"/>
  <c r="AP40" i="32"/>
  <c r="AP39" i="32"/>
  <c r="AP38" i="32"/>
  <c r="AP37" i="32"/>
  <c r="AP36" i="32"/>
  <c r="AP35" i="32"/>
  <c r="AP34" i="32"/>
  <c r="AP33" i="32"/>
  <c r="AP32" i="32"/>
  <c r="AP31" i="32"/>
  <c r="AP30" i="32"/>
  <c r="AP29" i="32"/>
  <c r="AP28" i="32"/>
  <c r="AP27" i="32"/>
  <c r="AP26" i="32"/>
  <c r="AP25" i="32"/>
  <c r="AP24" i="32"/>
  <c r="AP23" i="32"/>
  <c r="AP22" i="32"/>
  <c r="AP21" i="32"/>
  <c r="AP20" i="32"/>
  <c r="AP19" i="32"/>
  <c r="AP18" i="32"/>
  <c r="AP17" i="32"/>
  <c r="AP16" i="32"/>
  <c r="AP15" i="32"/>
  <c r="AP14" i="32"/>
  <c r="AP13" i="32"/>
  <c r="AP12" i="32"/>
  <c r="AP11" i="32"/>
  <c r="AP10" i="32"/>
  <c r="AP9" i="32"/>
  <c r="AP8" i="32"/>
  <c r="AP7" i="32"/>
  <c r="AE336" i="32"/>
  <c r="AE335" i="32"/>
  <c r="AE334" i="32"/>
  <c r="AE333" i="32"/>
  <c r="AE332" i="32"/>
  <c r="AE331" i="32"/>
  <c r="AE330" i="32"/>
  <c r="AE329" i="32"/>
  <c r="AE328" i="32"/>
  <c r="AE327" i="32"/>
  <c r="AE326" i="32"/>
  <c r="AE325" i="32"/>
  <c r="AE324" i="32"/>
  <c r="AE323" i="32"/>
  <c r="AE322" i="32"/>
  <c r="AE321" i="32"/>
  <c r="AE320" i="32"/>
  <c r="AE319" i="32"/>
  <c r="AE318" i="32"/>
  <c r="AE317" i="32"/>
  <c r="AE316" i="32"/>
  <c r="AE315" i="32"/>
  <c r="AE314" i="32"/>
  <c r="AE313" i="32"/>
  <c r="AE312" i="32"/>
  <c r="AE311" i="32"/>
  <c r="AE310" i="32"/>
  <c r="AE309" i="32"/>
  <c r="AE308" i="32"/>
  <c r="AE307" i="32"/>
  <c r="AE306" i="32"/>
  <c r="AE305" i="32"/>
  <c r="AE304" i="32"/>
  <c r="AE303" i="32"/>
  <c r="AE302" i="32"/>
  <c r="AE301" i="32"/>
  <c r="AE300" i="32"/>
  <c r="AE299" i="32"/>
  <c r="AE298" i="32"/>
  <c r="AE297" i="32"/>
  <c r="AE296" i="32"/>
  <c r="AE295" i="32"/>
  <c r="AE294" i="32"/>
  <c r="AE293" i="32"/>
  <c r="AE292" i="32"/>
  <c r="AE291" i="32"/>
  <c r="AE290" i="32"/>
  <c r="AE289" i="32"/>
  <c r="AE288" i="32"/>
  <c r="AE287" i="32"/>
  <c r="AE286" i="32"/>
  <c r="AE285" i="32"/>
  <c r="AE281" i="32"/>
  <c r="AE284" i="32"/>
  <c r="AE283" i="32"/>
  <c r="AE282" i="32"/>
  <c r="AE280" i="32"/>
  <c r="AE279" i="32"/>
  <c r="AE278" i="32"/>
  <c r="AE277" i="32"/>
  <c r="AE276" i="32"/>
  <c r="AE275" i="32"/>
  <c r="AE274" i="32"/>
  <c r="AE273" i="32"/>
  <c r="AE272" i="32"/>
  <c r="AE271" i="32"/>
  <c r="AE270" i="32"/>
  <c r="AE269" i="32"/>
  <c r="AE268" i="32"/>
  <c r="AE267" i="32"/>
  <c r="AE266" i="32"/>
  <c r="AE265" i="32"/>
  <c r="AE264" i="32"/>
  <c r="AE263" i="32"/>
  <c r="AE262" i="32"/>
  <c r="AE261" i="32"/>
  <c r="AE260" i="32"/>
  <c r="AE259" i="32"/>
  <c r="AE258" i="32"/>
  <c r="AE257" i="32"/>
  <c r="AE256" i="32"/>
  <c r="AE255" i="32"/>
  <c r="AE254" i="32"/>
  <c r="AE253" i="32"/>
  <c r="AE252" i="32"/>
  <c r="AE251" i="32"/>
  <c r="AE250" i="32"/>
  <c r="AE249" i="32"/>
  <c r="AE248" i="32"/>
  <c r="AE246" i="32"/>
  <c r="AE245" i="32"/>
  <c r="AE244" i="32"/>
  <c r="AE243" i="32"/>
  <c r="AE242" i="32"/>
  <c r="AE241" i="32"/>
  <c r="AE240" i="32"/>
  <c r="AE239" i="32"/>
  <c r="AE238" i="32"/>
  <c r="AE237" i="32"/>
  <c r="AE236" i="32"/>
  <c r="AE235" i="32"/>
  <c r="AE234" i="32"/>
  <c r="AE233" i="32"/>
  <c r="AE232" i="32"/>
  <c r="AE231" i="32"/>
  <c r="AE230" i="32"/>
  <c r="AE229" i="32"/>
  <c r="AE228" i="32"/>
  <c r="AE227" i="32"/>
  <c r="AE226" i="32"/>
  <c r="AE225" i="32"/>
  <c r="AE224" i="32"/>
  <c r="AE223" i="32"/>
  <c r="AE222" i="32"/>
  <c r="AE221" i="32"/>
  <c r="AE220" i="32"/>
  <c r="AE219" i="32"/>
  <c r="AE218" i="32"/>
  <c r="AE217" i="32"/>
  <c r="AE216" i="32"/>
  <c r="AE215" i="32"/>
  <c r="AE214" i="32"/>
  <c r="AE213" i="32"/>
  <c r="AE212" i="32"/>
  <c r="AE210" i="32"/>
  <c r="AE209" i="32"/>
  <c r="AE208" i="32"/>
  <c r="AE207" i="32"/>
  <c r="AE206" i="32"/>
  <c r="AE205" i="32"/>
  <c r="AE204" i="32"/>
  <c r="AE203" i="32"/>
  <c r="AE202" i="32"/>
  <c r="AE201" i="32"/>
  <c r="AE200" i="32"/>
  <c r="AE199" i="32"/>
  <c r="AE198" i="32"/>
  <c r="AE197" i="32"/>
  <c r="AE196" i="32"/>
  <c r="AE195" i="32"/>
  <c r="AE194" i="32"/>
  <c r="AE193" i="32"/>
  <c r="AE192" i="32"/>
  <c r="AE191" i="32"/>
  <c r="AE190" i="32"/>
  <c r="AE189" i="32"/>
  <c r="AE188" i="32"/>
  <c r="AE187" i="32"/>
  <c r="AE186" i="32"/>
  <c r="AE185" i="32"/>
  <c r="AE184" i="32"/>
  <c r="AE183" i="32"/>
  <c r="AE182" i="32"/>
  <c r="AE181" i="32"/>
  <c r="AE180" i="32"/>
  <c r="AE179" i="32"/>
  <c r="AE178" i="32"/>
  <c r="AE177" i="32"/>
  <c r="AE176" i="32"/>
  <c r="AE175" i="32"/>
  <c r="AE174" i="32"/>
  <c r="AE173" i="32"/>
  <c r="AE172" i="32"/>
  <c r="AE171" i="32"/>
  <c r="AE170" i="32"/>
  <c r="AE169" i="32"/>
  <c r="AE168" i="32"/>
  <c r="AE167" i="32"/>
  <c r="AE166" i="32"/>
  <c r="AE165" i="32"/>
  <c r="AE164" i="32"/>
  <c r="AE163" i="32"/>
  <c r="AE162" i="32"/>
  <c r="AE161" i="32"/>
  <c r="AE160" i="32"/>
  <c r="AE159" i="32"/>
  <c r="AE158" i="32"/>
  <c r="AE157" i="32"/>
  <c r="AE156" i="32"/>
  <c r="AE155" i="32"/>
  <c r="AE154" i="32"/>
  <c r="AE153" i="32"/>
  <c r="AE152" i="32"/>
  <c r="AE151" i="32"/>
  <c r="AE150" i="32"/>
  <c r="AE149" i="32"/>
  <c r="AE148" i="32"/>
  <c r="AE147" i="32"/>
  <c r="AE146" i="32"/>
  <c r="AE145" i="32"/>
  <c r="AE144" i="32"/>
  <c r="AE143" i="32"/>
  <c r="AE142" i="32"/>
  <c r="AE141" i="32"/>
  <c r="AE140" i="32"/>
  <c r="AE139" i="32"/>
  <c r="AE138" i="32"/>
  <c r="AE137" i="32"/>
  <c r="AE135" i="32"/>
  <c r="AE136" i="32"/>
  <c r="AE134" i="32"/>
  <c r="AE133" i="32"/>
  <c r="AE132" i="32"/>
  <c r="AE131" i="32"/>
  <c r="AE130" i="32"/>
  <c r="AE129" i="32"/>
  <c r="AE128" i="32"/>
  <c r="AE127" i="32"/>
  <c r="AE126" i="32"/>
  <c r="AE125" i="32"/>
  <c r="AE124" i="32"/>
  <c r="AE123" i="32"/>
  <c r="AE122" i="32"/>
  <c r="AE120" i="32"/>
  <c r="AE119" i="32"/>
  <c r="AE121" i="32"/>
  <c r="AE117" i="32"/>
  <c r="AE116" i="32"/>
  <c r="AE115" i="32"/>
  <c r="AE114" i="32"/>
  <c r="AE113" i="32"/>
  <c r="AE112" i="32"/>
  <c r="AE111" i="32"/>
  <c r="AE110" i="32"/>
  <c r="AE109" i="32"/>
  <c r="AE108" i="32"/>
  <c r="AE107" i="32"/>
  <c r="AE106" i="32"/>
  <c r="AE105" i="32"/>
  <c r="AE104" i="32"/>
  <c r="AE103" i="32"/>
  <c r="AE102" i="32"/>
  <c r="AE101" i="32"/>
  <c r="AE100" i="32"/>
  <c r="AE99" i="32"/>
  <c r="AE98" i="32"/>
  <c r="AE97" i="32"/>
  <c r="AE96" i="32"/>
  <c r="AE95" i="32"/>
  <c r="AE94" i="32"/>
  <c r="AE93" i="32"/>
  <c r="AE92" i="32"/>
  <c r="AE91" i="32"/>
  <c r="AE90" i="32"/>
  <c r="AE89" i="32"/>
  <c r="AE88" i="32"/>
  <c r="AE87" i="32"/>
  <c r="AE86" i="32"/>
  <c r="AE85" i="32"/>
  <c r="AE84" i="32"/>
  <c r="AE83" i="32"/>
  <c r="AE82" i="32"/>
  <c r="AE81" i="32"/>
  <c r="AE80" i="32"/>
  <c r="AE79" i="32"/>
  <c r="AE78" i="32"/>
  <c r="AE77" i="32"/>
  <c r="AE76" i="32"/>
  <c r="AE75" i="32"/>
  <c r="AE74" i="32"/>
  <c r="AE73" i="32"/>
  <c r="AE72" i="32"/>
  <c r="AE71" i="32"/>
  <c r="AE69" i="32"/>
  <c r="AE70" i="32"/>
  <c r="AE68" i="32"/>
  <c r="AE67" i="32"/>
  <c r="AE66" i="32"/>
  <c r="AE65" i="32"/>
  <c r="AE64" i="32"/>
  <c r="AE63" i="32"/>
  <c r="AE62" i="32"/>
  <c r="AE61" i="32"/>
  <c r="AE60" i="32"/>
  <c r="AE59" i="32"/>
  <c r="AE58" i="32"/>
  <c r="AE57" i="32"/>
  <c r="AE56" i="32"/>
  <c r="AE55" i="32"/>
  <c r="AE54" i="32"/>
  <c r="AE53" i="32"/>
  <c r="AE52" i="32"/>
  <c r="AE51" i="32"/>
  <c r="AE50" i="32"/>
  <c r="AE49" i="32"/>
  <c r="AE48" i="32"/>
  <c r="AE47" i="32"/>
  <c r="AE46" i="32"/>
  <c r="AE45" i="32"/>
  <c r="AE44" i="32"/>
  <c r="AE43" i="32"/>
  <c r="AE42" i="32"/>
  <c r="AE41" i="32"/>
  <c r="AE40" i="32"/>
  <c r="AE39" i="32"/>
  <c r="AE38" i="32"/>
  <c r="AE37" i="32"/>
  <c r="AE36" i="32"/>
  <c r="AE35" i="32"/>
  <c r="AE34" i="32"/>
  <c r="AE33" i="32"/>
  <c r="AE32" i="32"/>
  <c r="AE31" i="32"/>
  <c r="AE30" i="32"/>
  <c r="AE29" i="32"/>
  <c r="AE28" i="32"/>
  <c r="AE27" i="32"/>
  <c r="AE26" i="32"/>
  <c r="AE25" i="32"/>
  <c r="AE24" i="32"/>
  <c r="AE23" i="32"/>
  <c r="AE22" i="32"/>
  <c r="AE21" i="32"/>
  <c r="AE20" i="32"/>
  <c r="AE19" i="32"/>
  <c r="AE18" i="32"/>
  <c r="AE17" i="32"/>
  <c r="AE16" i="32"/>
  <c r="AE15" i="32"/>
  <c r="AE14" i="32"/>
  <c r="AE13" i="32"/>
  <c r="AE12" i="32"/>
  <c r="AE11" i="32"/>
  <c r="AE10" i="32"/>
  <c r="AE9" i="32"/>
  <c r="AE8" i="32"/>
  <c r="AE7" i="32"/>
  <c r="BA212" i="32" l="1"/>
  <c r="AZ117" i="32"/>
  <c r="AW117" i="32"/>
  <c r="BA180" i="32"/>
  <c r="AZ259" i="32"/>
  <c r="BA130" i="32"/>
  <c r="BA228" i="32"/>
  <c r="BA100" i="32"/>
  <c r="AW220" i="32"/>
  <c r="AW134" i="32"/>
  <c r="AW101" i="32"/>
  <c r="AW297" i="32"/>
  <c r="AW77" i="32"/>
  <c r="AW166" i="32"/>
  <c r="AW301" i="32"/>
  <c r="AZ140" i="32"/>
  <c r="BA140" i="32" s="1"/>
  <c r="AW60" i="32"/>
  <c r="AW169" i="32"/>
  <c r="AW326" i="32"/>
  <c r="AW12" i="32"/>
  <c r="AW50" i="32"/>
  <c r="AW31" i="32"/>
  <c r="AW295" i="32"/>
  <c r="AW279" i="32"/>
  <c r="AZ279" i="32"/>
  <c r="BA279" i="32" s="1"/>
  <c r="AW86" i="32"/>
  <c r="AZ86" i="32"/>
  <c r="BA86" i="32" s="1"/>
  <c r="AW47" i="32"/>
  <c r="AZ47" i="32"/>
  <c r="BA47" i="32" s="1"/>
  <c r="AW210" i="32"/>
  <c r="AZ210" i="32"/>
  <c r="BA210" i="32" s="1"/>
  <c r="AW120" i="32"/>
  <c r="AZ120" i="32"/>
  <c r="BA120" i="32" s="1"/>
  <c r="AZ316" i="32"/>
  <c r="BA316" i="32" s="1"/>
  <c r="AW97" i="32"/>
  <c r="AW9" i="32"/>
  <c r="AW137" i="32"/>
  <c r="AW100" i="32"/>
  <c r="AZ166" i="32"/>
  <c r="AW113" i="32"/>
  <c r="AW29" i="32"/>
  <c r="AZ158" i="32"/>
  <c r="BA158" i="32" s="1"/>
  <c r="AW158" i="32"/>
  <c r="AW183" i="32"/>
  <c r="AZ183" i="32"/>
  <c r="BA183" i="32" s="1"/>
  <c r="AZ246" i="32"/>
  <c r="BA246" i="32" s="1"/>
  <c r="AW246" i="32"/>
  <c r="AW286" i="32"/>
  <c r="AZ286" i="32"/>
  <c r="BA286" i="32" s="1"/>
  <c r="AZ49" i="32"/>
  <c r="BA49" i="32" s="1"/>
  <c r="AW49" i="32"/>
  <c r="AW54" i="32"/>
  <c r="AZ54" i="32"/>
  <c r="BA54" i="32" s="1"/>
  <c r="AW108" i="32"/>
  <c r="AZ108" i="32"/>
  <c r="BA108" i="32" s="1"/>
  <c r="AW163" i="32"/>
  <c r="AZ163" i="32"/>
  <c r="BA163" i="32" s="1"/>
  <c r="AW233" i="32"/>
  <c r="AZ233" i="32"/>
  <c r="BA233" i="32" s="1"/>
  <c r="AW260" i="32"/>
  <c r="AZ260" i="32"/>
  <c r="BA260" i="32" s="1"/>
  <c r="AW298" i="32"/>
  <c r="AZ298" i="32"/>
  <c r="BA298" i="32" s="1"/>
  <c r="AW10" i="32"/>
  <c r="AZ10" i="32"/>
  <c r="BA10" i="32" s="1"/>
  <c r="AZ182" i="32"/>
  <c r="BA182" i="32" s="1"/>
  <c r="AW273" i="32"/>
  <c r="AZ273" i="32"/>
  <c r="BA273" i="32" s="1"/>
  <c r="AW26" i="32"/>
  <c r="AZ26" i="32"/>
  <c r="BA26" i="32" s="1"/>
  <c r="AW132" i="32"/>
  <c r="AZ132" i="32"/>
  <c r="BA132" i="32" s="1"/>
  <c r="AW224" i="32"/>
  <c r="AZ224" i="32"/>
  <c r="BA224" i="32" s="1"/>
  <c r="AZ287" i="32"/>
  <c r="BA287" i="32" s="1"/>
  <c r="AW287" i="32"/>
  <c r="AW39" i="32"/>
  <c r="AZ39" i="32"/>
  <c r="BA39" i="32" s="1"/>
  <c r="AZ218" i="32"/>
  <c r="BA218" i="32" s="1"/>
  <c r="AW14" i="32"/>
  <c r="AZ14" i="32"/>
  <c r="BA14" i="32" s="1"/>
  <c r="AW105" i="32"/>
  <c r="AZ105" i="32"/>
  <c r="BA105" i="32" s="1"/>
  <c r="AW133" i="32"/>
  <c r="AZ133" i="32"/>
  <c r="BA133" i="32" s="1"/>
  <c r="AW173" i="32"/>
  <c r="AZ173" i="32"/>
  <c r="BA173" i="32" s="1"/>
  <c r="AW225" i="32"/>
  <c r="AZ225" i="32"/>
  <c r="BA225" i="32" s="1"/>
  <c r="AW275" i="32"/>
  <c r="AZ275" i="32"/>
  <c r="BA275" i="32" s="1"/>
  <c r="AW300" i="32"/>
  <c r="AZ300" i="32"/>
  <c r="BA300" i="32" s="1"/>
  <c r="AW154" i="32"/>
  <c r="AZ154" i="32"/>
  <c r="BA154" i="32" s="1"/>
  <c r="AW334" i="32"/>
  <c r="AZ334" i="32"/>
  <c r="BA334" i="32" s="1"/>
  <c r="AW15" i="32"/>
  <c r="AZ15" i="32"/>
  <c r="BA15" i="32" s="1"/>
  <c r="AW40" i="32"/>
  <c r="AZ40" i="32"/>
  <c r="BA40" i="32" s="1"/>
  <c r="AW52" i="32"/>
  <c r="AZ52" i="32"/>
  <c r="BA52" i="32" s="1"/>
  <c r="AW79" i="32"/>
  <c r="AZ79" i="32"/>
  <c r="BA79" i="32" s="1"/>
  <c r="AW91" i="32"/>
  <c r="AZ91" i="32"/>
  <c r="BA91" i="32" s="1"/>
  <c r="AW106" i="32"/>
  <c r="AZ106" i="32"/>
  <c r="BA106" i="32" s="1"/>
  <c r="AW119" i="32"/>
  <c r="AZ119" i="32"/>
  <c r="BA119" i="32" s="1"/>
  <c r="AW146" i="32"/>
  <c r="AZ146" i="32"/>
  <c r="BA146" i="32" s="1"/>
  <c r="AW161" i="32"/>
  <c r="AZ161" i="32"/>
  <c r="BA161" i="32" s="1"/>
  <c r="AZ186" i="32"/>
  <c r="BA186" i="32" s="1"/>
  <c r="AW199" i="32"/>
  <c r="AZ199" i="32"/>
  <c r="BA199" i="32" s="1"/>
  <c r="AW237" i="32"/>
  <c r="AZ237" i="32"/>
  <c r="BA237" i="32" s="1"/>
  <c r="AW264" i="32"/>
  <c r="AZ264" i="32"/>
  <c r="BA264" i="32" s="1"/>
  <c r="AW289" i="32"/>
  <c r="AZ289" i="32"/>
  <c r="BA289" i="32" s="1"/>
  <c r="AW328" i="32"/>
  <c r="AZ328" i="32"/>
  <c r="BA328" i="32" s="1"/>
  <c r="AZ45" i="32"/>
  <c r="BA45" i="32" s="1"/>
  <c r="AW45" i="32"/>
  <c r="AW94" i="32"/>
  <c r="AZ94" i="32"/>
  <c r="BA94" i="32" s="1"/>
  <c r="AW223" i="32"/>
  <c r="AZ256" i="32"/>
  <c r="BA256" i="32" s="1"/>
  <c r="AW116" i="32"/>
  <c r="AZ116" i="32"/>
  <c r="BA116" i="32" s="1"/>
  <c r="AW325" i="32"/>
  <c r="AZ325" i="32"/>
  <c r="BA325" i="32" s="1"/>
  <c r="AW184" i="32"/>
  <c r="AZ184" i="32"/>
  <c r="BA184" i="32" s="1"/>
  <c r="AZ299" i="32"/>
  <c r="BA299" i="32" s="1"/>
  <c r="AW299" i="32"/>
  <c r="AW68" i="32"/>
  <c r="AZ68" i="32"/>
  <c r="BA68" i="32" s="1"/>
  <c r="AW252" i="32"/>
  <c r="AZ252" i="32"/>
  <c r="BA252" i="32" s="1"/>
  <c r="AZ27" i="32"/>
  <c r="BA27" i="32" s="1"/>
  <c r="AW63" i="32"/>
  <c r="AZ63" i="32"/>
  <c r="BA63" i="32" s="1"/>
  <c r="AW121" i="32"/>
  <c r="AZ121" i="32"/>
  <c r="BA121" i="32" s="1"/>
  <c r="AW145" i="32"/>
  <c r="AZ145" i="32"/>
  <c r="BA145" i="32" s="1"/>
  <c r="AW185" i="32"/>
  <c r="AZ185" i="32"/>
  <c r="BA185" i="32" s="1"/>
  <c r="AW213" i="32"/>
  <c r="AZ213" i="32"/>
  <c r="BA213" i="32" s="1"/>
  <c r="AW314" i="32"/>
  <c r="AZ314" i="32"/>
  <c r="BA314" i="32" s="1"/>
  <c r="AW28" i="32"/>
  <c r="AZ28" i="32"/>
  <c r="BA28" i="32" s="1"/>
  <c r="AW250" i="32"/>
  <c r="AZ250" i="32"/>
  <c r="BA250" i="32" s="1"/>
  <c r="AZ53" i="32"/>
  <c r="BA53" i="32" s="1"/>
  <c r="AW53" i="32"/>
  <c r="AW65" i="32"/>
  <c r="AZ65" i="32"/>
  <c r="BA65" i="32" s="1"/>
  <c r="AW107" i="32"/>
  <c r="AZ107" i="32"/>
  <c r="BA107" i="32" s="1"/>
  <c r="AW136" i="32"/>
  <c r="AZ136" i="32"/>
  <c r="BA136" i="32" s="1"/>
  <c r="AW147" i="32"/>
  <c r="AZ147" i="32"/>
  <c r="BA147" i="32" s="1"/>
  <c r="AZ162" i="32"/>
  <c r="BA162" i="32" s="1"/>
  <c r="AW175" i="32"/>
  <c r="AZ175" i="32"/>
  <c r="BA175" i="32" s="1"/>
  <c r="AW201" i="32"/>
  <c r="AZ201" i="32"/>
  <c r="BA201" i="32" s="1"/>
  <c r="AZ215" i="32"/>
  <c r="BA215" i="32" s="1"/>
  <c r="AW215" i="32"/>
  <c r="AZ251" i="32"/>
  <c r="BA251" i="32" s="1"/>
  <c r="AW251" i="32"/>
  <c r="AW265" i="32"/>
  <c r="AZ265" i="32"/>
  <c r="BA265" i="32" s="1"/>
  <c r="AW277" i="32"/>
  <c r="AZ277" i="32"/>
  <c r="BA277" i="32" s="1"/>
  <c r="AZ290" i="32"/>
  <c r="BA290" i="32" s="1"/>
  <c r="AW302" i="32"/>
  <c r="AZ302" i="32"/>
  <c r="BA302" i="32" s="1"/>
  <c r="AZ329" i="32"/>
  <c r="BA329" i="32" s="1"/>
  <c r="AW128" i="32"/>
  <c r="AZ128" i="32"/>
  <c r="BA128" i="32" s="1"/>
  <c r="AW187" i="32"/>
  <c r="AZ187" i="32"/>
  <c r="BA187" i="32" s="1"/>
  <c r="AW226" i="32"/>
  <c r="AW143" i="32"/>
  <c r="AZ143" i="32"/>
  <c r="BA143" i="32" s="1"/>
  <c r="AZ89" i="32"/>
  <c r="BA89" i="32" s="1"/>
  <c r="AW89" i="32"/>
  <c r="AW17" i="32"/>
  <c r="AZ17" i="32"/>
  <c r="BA17" i="32" s="1"/>
  <c r="AW30" i="32"/>
  <c r="AZ30" i="32"/>
  <c r="BA30" i="32" s="1"/>
  <c r="AW42" i="32"/>
  <c r="AZ42" i="32"/>
  <c r="BA42" i="32" s="1"/>
  <c r="AW66" i="32"/>
  <c r="AZ66" i="32"/>
  <c r="BA66" i="32" s="1"/>
  <c r="AZ81" i="32"/>
  <c r="BA81" i="32" s="1"/>
  <c r="AW81" i="32"/>
  <c r="AW95" i="32"/>
  <c r="AZ95" i="32"/>
  <c r="BA95" i="32" s="1"/>
  <c r="AZ122" i="32"/>
  <c r="BA122" i="32" s="1"/>
  <c r="AW122" i="32"/>
  <c r="AW135" i="32"/>
  <c r="AZ135" i="32"/>
  <c r="BA135" i="32" s="1"/>
  <c r="AW176" i="32"/>
  <c r="AZ176" i="32"/>
  <c r="BA176" i="32" s="1"/>
  <c r="AW188" i="32"/>
  <c r="AZ188" i="32"/>
  <c r="BA188" i="32" s="1"/>
  <c r="AZ202" i="32"/>
  <c r="BA202" i="32" s="1"/>
  <c r="AW202" i="32"/>
  <c r="AZ216" i="32"/>
  <c r="BA216" i="32" s="1"/>
  <c r="AW227" i="32"/>
  <c r="AZ227" i="32"/>
  <c r="BA227" i="32" s="1"/>
  <c r="AW239" i="32"/>
  <c r="AZ239" i="32"/>
  <c r="BA239" i="32" s="1"/>
  <c r="AZ266" i="32"/>
  <c r="BA266" i="32" s="1"/>
  <c r="AW278" i="32"/>
  <c r="AZ278" i="32"/>
  <c r="BA278" i="32" s="1"/>
  <c r="AW291" i="32"/>
  <c r="AZ291" i="32"/>
  <c r="BA291" i="32" s="1"/>
  <c r="AW303" i="32"/>
  <c r="AZ303" i="32"/>
  <c r="BA303" i="32" s="1"/>
  <c r="AW317" i="32"/>
  <c r="AZ317" i="32"/>
  <c r="BA317" i="32" s="1"/>
  <c r="AW330" i="32"/>
  <c r="AZ330" i="32"/>
  <c r="BA330" i="32" s="1"/>
  <c r="AZ16" i="32"/>
  <c r="BA16" i="32" s="1"/>
  <c r="AZ74" i="32"/>
  <c r="BA74" i="32" s="1"/>
  <c r="AW98" i="32"/>
  <c r="AZ98" i="32"/>
  <c r="BA98" i="32" s="1"/>
  <c r="AZ263" i="32"/>
  <c r="BA263" i="32" s="1"/>
  <c r="AW263" i="32"/>
  <c r="AW305" i="32"/>
  <c r="AZ305" i="32"/>
  <c r="BA305" i="32" s="1"/>
  <c r="AW48" i="32"/>
  <c r="AZ48" i="32"/>
  <c r="BA48" i="32" s="1"/>
  <c r="AW102" i="32"/>
  <c r="AZ102" i="32"/>
  <c r="BA102" i="32" s="1"/>
  <c r="AZ129" i="32"/>
  <c r="BA129" i="32" s="1"/>
  <c r="AW157" i="32"/>
  <c r="AZ157" i="32"/>
  <c r="BA157" i="32" s="1"/>
  <c r="AZ208" i="32"/>
  <c r="BA208" i="32" s="1"/>
  <c r="AZ245" i="32"/>
  <c r="BA245" i="32" s="1"/>
  <c r="AW88" i="32"/>
  <c r="AZ88" i="32"/>
  <c r="BA88" i="32" s="1"/>
  <c r="AW144" i="32"/>
  <c r="AZ144" i="32"/>
  <c r="BA144" i="32" s="1"/>
  <c r="AW324" i="32"/>
  <c r="AZ324" i="32"/>
  <c r="BA324" i="32" s="1"/>
  <c r="AZ151" i="32"/>
  <c r="BA151" i="32" s="1"/>
  <c r="AW151" i="32"/>
  <c r="AW103" i="32"/>
  <c r="AZ103" i="32"/>
  <c r="BA103" i="32" s="1"/>
  <c r="AW196" i="32"/>
  <c r="AZ196" i="32"/>
  <c r="BA196" i="32" s="1"/>
  <c r="AW234" i="32"/>
  <c r="AZ234" i="32"/>
  <c r="BA234" i="32" s="1"/>
  <c r="AZ311" i="32"/>
  <c r="BA311" i="32" s="1"/>
  <c r="AW311" i="32"/>
  <c r="AW35" i="32"/>
  <c r="AZ35" i="32"/>
  <c r="BA35" i="32" s="1"/>
  <c r="AW38" i="32"/>
  <c r="AZ38" i="32"/>
  <c r="BA38" i="32" s="1"/>
  <c r="AW274" i="32"/>
  <c r="AZ274" i="32"/>
  <c r="BA274" i="32" s="1"/>
  <c r="AW87" i="32"/>
  <c r="AZ87" i="32"/>
  <c r="BA87" i="32" s="1"/>
  <c r="AW310" i="32"/>
  <c r="AZ310" i="32"/>
  <c r="BA310" i="32" s="1"/>
  <c r="AW61" i="32"/>
  <c r="AZ61" i="32"/>
  <c r="BA61" i="32" s="1"/>
  <c r="AW261" i="32"/>
  <c r="AZ261" i="32"/>
  <c r="BA261" i="32" s="1"/>
  <c r="AW55" i="32"/>
  <c r="AZ55" i="32"/>
  <c r="BA55" i="32" s="1"/>
  <c r="AW67" i="32"/>
  <c r="AZ67" i="32"/>
  <c r="BA67" i="32" s="1"/>
  <c r="AW96" i="32"/>
  <c r="AZ96" i="32"/>
  <c r="BA96" i="32" s="1"/>
  <c r="AZ109" i="32"/>
  <c r="BA109" i="32" s="1"/>
  <c r="AW109" i="32"/>
  <c r="AW123" i="32"/>
  <c r="AZ123" i="32"/>
  <c r="BA123" i="32" s="1"/>
  <c r="AW149" i="32"/>
  <c r="AZ149" i="32"/>
  <c r="BA149" i="32" s="1"/>
  <c r="AW164" i="32"/>
  <c r="AZ164" i="32"/>
  <c r="BA164" i="32" s="1"/>
  <c r="AZ177" i="32"/>
  <c r="BA177" i="32" s="1"/>
  <c r="AZ240" i="32"/>
  <c r="BA240" i="32" s="1"/>
  <c r="AZ253" i="32"/>
  <c r="BA253" i="32" s="1"/>
  <c r="AW292" i="32"/>
  <c r="AZ292" i="32"/>
  <c r="BA292" i="32" s="1"/>
  <c r="AW304" i="32"/>
  <c r="AZ304" i="32"/>
  <c r="BA304" i="32" s="1"/>
  <c r="AZ318" i="32"/>
  <c r="BA318" i="32" s="1"/>
  <c r="AW331" i="32"/>
  <c r="AZ331" i="32"/>
  <c r="BA331" i="32" s="1"/>
  <c r="AW194" i="32"/>
  <c r="AZ194" i="32"/>
  <c r="BA194" i="32" s="1"/>
  <c r="AZ232" i="32"/>
  <c r="BA232" i="32" s="1"/>
  <c r="AW267" i="32"/>
  <c r="AZ267" i="32"/>
  <c r="BA267" i="32" s="1"/>
  <c r="AW23" i="32"/>
  <c r="AZ23" i="32"/>
  <c r="BA23" i="32" s="1"/>
  <c r="AW309" i="32"/>
  <c r="AZ309" i="32"/>
  <c r="BA309" i="32" s="1"/>
  <c r="AW19" i="32"/>
  <c r="AZ19" i="32"/>
  <c r="BA19" i="32" s="1"/>
  <c r="AW32" i="32"/>
  <c r="AZ32" i="32"/>
  <c r="BA32" i="32" s="1"/>
  <c r="AW44" i="32"/>
  <c r="AZ44" i="32"/>
  <c r="BA44" i="32" s="1"/>
  <c r="AW56" i="32"/>
  <c r="AZ56" i="32"/>
  <c r="BA56" i="32" s="1"/>
  <c r="AW83" i="32"/>
  <c r="AZ83" i="32"/>
  <c r="BA83" i="32" s="1"/>
  <c r="AW110" i="32"/>
  <c r="AZ110" i="32"/>
  <c r="BA110" i="32" s="1"/>
  <c r="AW125" i="32"/>
  <c r="AZ125" i="32"/>
  <c r="BA125" i="32" s="1"/>
  <c r="AZ150" i="32"/>
  <c r="BA150" i="32" s="1"/>
  <c r="AW150" i="32"/>
  <c r="AZ165" i="32"/>
  <c r="BA165" i="32" s="1"/>
  <c r="AW191" i="32"/>
  <c r="AZ191" i="32"/>
  <c r="BA191" i="32" s="1"/>
  <c r="AW204" i="32"/>
  <c r="AZ204" i="32"/>
  <c r="BA204" i="32" s="1"/>
  <c r="AW229" i="32"/>
  <c r="AZ229" i="32"/>
  <c r="AZ241" i="32"/>
  <c r="BA241" i="32" s="1"/>
  <c r="AW255" i="32"/>
  <c r="AZ255" i="32"/>
  <c r="BA255" i="32" s="1"/>
  <c r="AW268" i="32"/>
  <c r="AZ268" i="32"/>
  <c r="BA268" i="32" s="1"/>
  <c r="AZ280" i="32"/>
  <c r="BA280" i="32" s="1"/>
  <c r="AW293" i="32"/>
  <c r="AZ293" i="32"/>
  <c r="BA293" i="32" s="1"/>
  <c r="AW319" i="32"/>
  <c r="AZ319" i="32"/>
  <c r="BA319" i="32" s="1"/>
  <c r="AW332" i="32"/>
  <c r="AZ332" i="32"/>
  <c r="BA332" i="32" s="1"/>
  <c r="AW20" i="32"/>
  <c r="AZ20" i="32"/>
  <c r="BA20" i="32" s="1"/>
  <c r="AW78" i="32"/>
  <c r="AZ78" i="32"/>
  <c r="BA78" i="32" s="1"/>
  <c r="AZ198" i="32"/>
  <c r="BA198" i="32" s="1"/>
  <c r="AW198" i="32"/>
  <c r="AW236" i="32"/>
  <c r="AZ236" i="32"/>
  <c r="BA236" i="32" s="1"/>
  <c r="AW272" i="32"/>
  <c r="AZ272" i="32"/>
  <c r="BA272" i="32" s="1"/>
  <c r="AZ7" i="32"/>
  <c r="BA7" i="32" s="1"/>
  <c r="AZ33" i="32"/>
  <c r="BA33" i="32" s="1"/>
  <c r="AW33" i="32"/>
  <c r="AW69" i="32"/>
  <c r="AZ69" i="32"/>
  <c r="BA69" i="32" s="1"/>
  <c r="AW111" i="32"/>
  <c r="AZ111" i="32"/>
  <c r="BA111" i="32" s="1"/>
  <c r="AZ126" i="32"/>
  <c r="BA126" i="32" s="1"/>
  <c r="AW126" i="32"/>
  <c r="AW139" i="32"/>
  <c r="AZ139" i="32"/>
  <c r="BA139" i="32" s="1"/>
  <c r="AW153" i="32"/>
  <c r="AZ153" i="32"/>
  <c r="BA153" i="32" s="1"/>
  <c r="AW179" i="32"/>
  <c r="AZ179" i="32"/>
  <c r="BA179" i="32" s="1"/>
  <c r="AW192" i="32"/>
  <c r="AZ192" i="32"/>
  <c r="BA192" i="32" s="1"/>
  <c r="AZ205" i="32"/>
  <c r="BA205" i="32" s="1"/>
  <c r="AZ219" i="32"/>
  <c r="BA219" i="32" s="1"/>
  <c r="AW219" i="32"/>
  <c r="AW230" i="32"/>
  <c r="AZ230" i="32"/>
  <c r="BA230" i="32" s="1"/>
  <c r="AZ269" i="32"/>
  <c r="BA269" i="32" s="1"/>
  <c r="AW282" i="32"/>
  <c r="AZ282" i="32"/>
  <c r="BA282" i="32" s="1"/>
  <c r="AW294" i="32"/>
  <c r="AZ294" i="32"/>
  <c r="BA294" i="32" s="1"/>
  <c r="AW306" i="32"/>
  <c r="AZ306" i="32"/>
  <c r="BA306" i="32" s="1"/>
  <c r="AW321" i="32"/>
  <c r="AZ321" i="32"/>
  <c r="BA321" i="32" s="1"/>
  <c r="AW333" i="32"/>
  <c r="AZ333" i="32"/>
  <c r="BA333" i="32" s="1"/>
  <c r="AW138" i="32"/>
  <c r="AW276" i="32"/>
  <c r="AZ276" i="32"/>
  <c r="BA276" i="32" s="1"/>
  <c r="AZ315" i="32"/>
  <c r="BA315" i="32" s="1"/>
  <c r="AW315" i="32"/>
  <c r="AW36" i="32"/>
  <c r="AZ36" i="32"/>
  <c r="BA36" i="32" s="1"/>
  <c r="AZ75" i="32"/>
  <c r="BA75" i="32" s="1"/>
  <c r="AZ115" i="32"/>
  <c r="BA115" i="32" s="1"/>
  <c r="AW142" i="32"/>
  <c r="AZ142" i="32"/>
  <c r="BA142" i="32" s="1"/>
  <c r="AW222" i="32"/>
  <c r="AZ222" i="32"/>
  <c r="BA222" i="32" s="1"/>
  <c r="AW281" i="32"/>
  <c r="AZ281" i="32"/>
  <c r="BA281" i="32" s="1"/>
  <c r="AW37" i="32"/>
  <c r="AZ37" i="32"/>
  <c r="BA37" i="32" s="1"/>
  <c r="AW76" i="32"/>
  <c r="AZ76" i="32"/>
  <c r="BA76" i="32" s="1"/>
  <c r="AW131" i="32"/>
  <c r="AZ131" i="32"/>
  <c r="BA131" i="32" s="1"/>
  <c r="AZ171" i="32"/>
  <c r="BA171" i="32" s="1"/>
  <c r="AZ190" i="32"/>
  <c r="BA190" i="32" s="1"/>
  <c r="AW64" i="32"/>
  <c r="AZ64" i="32"/>
  <c r="BA64" i="32" s="1"/>
  <c r="AW148" i="32"/>
  <c r="AZ148" i="32"/>
  <c r="BA148" i="32" s="1"/>
  <c r="AW174" i="32"/>
  <c r="AZ174" i="32"/>
  <c r="BA174" i="32" s="1"/>
  <c r="AW214" i="32"/>
  <c r="AZ214" i="32"/>
  <c r="BA214" i="32" s="1"/>
  <c r="AW62" i="32"/>
  <c r="AZ62" i="32"/>
  <c r="BA62" i="32" s="1"/>
  <c r="AW172" i="32"/>
  <c r="AZ172" i="32"/>
  <c r="BA172" i="32" s="1"/>
  <c r="AW235" i="32"/>
  <c r="AZ235" i="32"/>
  <c r="BA235" i="32" s="1"/>
  <c r="AZ262" i="32"/>
  <c r="BA262" i="32" s="1"/>
  <c r="AW312" i="32"/>
  <c r="AZ312" i="32"/>
  <c r="BA312" i="32" s="1"/>
  <c r="AZ178" i="32"/>
  <c r="BA178" i="32" s="1"/>
  <c r="AW178" i="32"/>
  <c r="AW43" i="32"/>
  <c r="AZ43" i="32"/>
  <c r="BA43" i="32" s="1"/>
  <c r="AW82" i="32"/>
  <c r="AZ82" i="32"/>
  <c r="BA82" i="32" s="1"/>
  <c r="AW217" i="32"/>
  <c r="AZ217" i="32"/>
  <c r="BA217" i="32" s="1"/>
  <c r="AW34" i="32"/>
  <c r="AZ34" i="32"/>
  <c r="BA34" i="32" s="1"/>
  <c r="AW46" i="32"/>
  <c r="AZ46" i="32"/>
  <c r="BA46" i="32" s="1"/>
  <c r="AZ85" i="32"/>
  <c r="BA85" i="32" s="1"/>
  <c r="AW85" i="32"/>
  <c r="AW112" i="32"/>
  <c r="AZ112" i="32"/>
  <c r="BA112" i="32" s="1"/>
  <c r="AW127" i="32"/>
  <c r="AZ127" i="32"/>
  <c r="BA127" i="32" s="1"/>
  <c r="AW193" i="32"/>
  <c r="AZ193" i="32"/>
  <c r="BA193" i="32" s="1"/>
  <c r="AW206" i="32"/>
  <c r="AZ206" i="32"/>
  <c r="BA206" i="32" s="1"/>
  <c r="AW231" i="32"/>
  <c r="AZ231" i="32"/>
  <c r="BA231" i="32" s="1"/>
  <c r="AW243" i="32"/>
  <c r="AZ243" i="32"/>
  <c r="BA243" i="32" s="1"/>
  <c r="AW257" i="32"/>
  <c r="AZ257" i="32"/>
  <c r="BA257" i="32" s="1"/>
  <c r="AW270" i="32"/>
  <c r="AZ270" i="32"/>
  <c r="BA270" i="32" s="1"/>
  <c r="AW322" i="32"/>
  <c r="AZ322" i="32"/>
  <c r="BA322" i="32" s="1"/>
  <c r="AW25" i="32"/>
  <c r="AW84" i="32"/>
  <c r="AZ84" i="32"/>
  <c r="BA84" i="32" s="1"/>
  <c r="AW104" i="32"/>
  <c r="AZ104" i="32"/>
  <c r="BA104" i="32" s="1"/>
  <c r="AW167" i="32"/>
  <c r="AZ167" i="32"/>
  <c r="BA167" i="32" s="1"/>
  <c r="AW203" i="32"/>
  <c r="AZ203" i="32"/>
  <c r="BA203" i="32" s="1"/>
  <c r="AW242" i="32"/>
  <c r="AZ242" i="32"/>
  <c r="BA242" i="32" s="1"/>
  <c r="AW24" i="32"/>
  <c r="AZ24" i="32"/>
  <c r="BA24" i="32" s="1"/>
  <c r="AW195" i="32"/>
  <c r="AZ195" i="32"/>
  <c r="BA195" i="32" s="1"/>
  <c r="AW11" i="32"/>
  <c r="AZ11" i="32"/>
  <c r="BA11" i="32" s="1"/>
  <c r="AW209" i="32"/>
  <c r="AZ209" i="32"/>
  <c r="BA209" i="32" s="1"/>
  <c r="AW197" i="32"/>
  <c r="AZ197" i="32"/>
  <c r="BA197" i="32" s="1"/>
  <c r="AZ21" i="32"/>
  <c r="BA21" i="32" s="1"/>
  <c r="AW21" i="32"/>
  <c r="AZ73" i="32"/>
  <c r="BA73" i="32" s="1"/>
  <c r="AW73" i="32"/>
  <c r="AW59" i="32"/>
  <c r="AZ59" i="32"/>
  <c r="BA59" i="32" s="1"/>
  <c r="AW155" i="32"/>
  <c r="AZ155" i="32"/>
  <c r="BA155" i="32" s="1"/>
  <c r="AW168" i="32"/>
  <c r="AZ168" i="32"/>
  <c r="BA168" i="32" s="1"/>
  <c r="AW181" i="32"/>
  <c r="AZ181" i="32"/>
  <c r="BA181" i="32" s="1"/>
  <c r="AW221" i="32"/>
  <c r="AZ221" i="32"/>
  <c r="BA221" i="32" s="1"/>
  <c r="AW244" i="32"/>
  <c r="AZ244" i="32"/>
  <c r="BA244" i="32" s="1"/>
  <c r="AW271" i="32"/>
  <c r="AZ271" i="32"/>
  <c r="BA271" i="32" s="1"/>
  <c r="AZ284" i="32"/>
  <c r="BA284" i="32" s="1"/>
  <c r="AW296" i="32"/>
  <c r="AZ296" i="32"/>
  <c r="BA296" i="32" s="1"/>
  <c r="AW308" i="32"/>
  <c r="AZ308" i="32"/>
  <c r="BA308" i="32" s="1"/>
  <c r="AW323" i="32"/>
  <c r="AZ323" i="32"/>
  <c r="BA323" i="32" s="1"/>
  <c r="AZ335" i="32"/>
  <c r="BA335" i="32" s="1"/>
  <c r="AW335" i="32"/>
  <c r="AW58" i="32"/>
  <c r="AZ58" i="32"/>
  <c r="BA58" i="32" s="1"/>
  <c r="AW207" i="32"/>
  <c r="AZ207" i="32"/>
  <c r="BA207" i="32" s="1"/>
  <c r="AW283" i="32"/>
  <c r="AZ283" i="32"/>
  <c r="BA283" i="32" s="1"/>
  <c r="AZ60" i="32"/>
  <c r="BA60" i="32" s="1"/>
  <c r="AZ101" i="32"/>
  <c r="BA101" i="32" s="1"/>
  <c r="AW13" i="32"/>
  <c r="AW189" i="32"/>
  <c r="AW228" i="32"/>
  <c r="AW248" i="32"/>
  <c r="AZ12" i="32"/>
  <c r="BA12" i="32" s="1"/>
  <c r="AW22" i="32"/>
  <c r="AW41" i="32"/>
  <c r="AW51" i="32"/>
  <c r="AW90" i="32"/>
  <c r="AW141" i="32"/>
  <c r="AW160" i="32"/>
  <c r="AW180" i="32"/>
  <c r="AW238" i="32"/>
  <c r="AW288" i="32"/>
  <c r="AW307" i="32"/>
  <c r="AW336" i="32"/>
  <c r="AZ50" i="32"/>
  <c r="BA50" i="32" s="1"/>
  <c r="AZ77" i="32"/>
  <c r="BA77" i="32" s="1"/>
  <c r="AZ169" i="32"/>
  <c r="BA169" i="32" s="1"/>
  <c r="AZ220" i="32"/>
  <c r="BA220" i="32" s="1"/>
  <c r="AW72" i="32"/>
  <c r="AW327" i="32"/>
  <c r="AZ51" i="32"/>
  <c r="BA51" i="32" s="1"/>
  <c r="AZ90" i="32"/>
  <c r="BA90" i="32" s="1"/>
  <c r="AZ320" i="32"/>
  <c r="BA320" i="32" s="1"/>
  <c r="AW130" i="32"/>
  <c r="AZ159" i="32"/>
  <c r="BA159" i="32" s="1"/>
  <c r="AZ80" i="32"/>
  <c r="BA80" i="32" s="1"/>
  <c r="AZ93" i="32"/>
  <c r="BA93" i="32" s="1"/>
  <c r="AZ160" i="32"/>
  <c r="BA160" i="32" s="1"/>
  <c r="AZ285" i="32"/>
  <c r="BA285" i="32" s="1"/>
  <c r="AZ297" i="32"/>
  <c r="BA297" i="32" s="1"/>
  <c r="AZ31" i="32"/>
  <c r="BA31" i="32" s="1"/>
  <c r="AZ249" i="32"/>
  <c r="BA249" i="32" s="1"/>
  <c r="AZ336" i="32"/>
  <c r="BA336" i="32" s="1"/>
  <c r="AZ137" i="32"/>
  <c r="BA137" i="32" s="1"/>
  <c r="AZ200" i="32"/>
  <c r="BA200" i="32" s="1"/>
  <c r="AZ288" i="32"/>
  <c r="BA288" i="32" s="1"/>
  <c r="AZ57" i="32"/>
  <c r="BA57" i="32" s="1"/>
  <c r="AZ97" i="32"/>
  <c r="BA97" i="32" s="1"/>
  <c r="AZ189" i="32"/>
  <c r="BA189" i="32" s="1"/>
  <c r="AZ301" i="32"/>
  <c r="BA301" i="32" s="1"/>
  <c r="AZ326" i="32"/>
  <c r="BA326" i="32" s="1"/>
  <c r="AW8" i="32"/>
  <c r="AW18" i="32"/>
  <c r="AZ22" i="32"/>
  <c r="BA22" i="32" s="1"/>
  <c r="AW313" i="32"/>
  <c r="AW258" i="32"/>
  <c r="AZ258" i="32"/>
  <c r="BA258" i="32" s="1"/>
  <c r="AW254" i="32"/>
  <c r="AW212" i="32"/>
  <c r="BA8" i="32"/>
  <c r="BA25" i="32"/>
  <c r="BA41" i="32"/>
  <c r="BA138" i="32"/>
  <c r="BA229" i="32"/>
  <c r="BA254" i="32"/>
  <c r="BA13" i="32"/>
  <c r="BA9" i="32"/>
  <c r="BA18" i="32"/>
  <c r="BA223" i="32"/>
  <c r="BA238" i="32"/>
  <c r="BA295" i="32"/>
  <c r="BA327" i="32"/>
  <c r="BA113" i="32"/>
  <c r="BA141" i="32"/>
  <c r="BA313" i="32"/>
  <c r="BA166" i="32"/>
  <c r="BA29" i="32"/>
  <c r="BA134" i="32"/>
  <c r="BA117" i="32"/>
  <c r="BA248" i="32"/>
  <c r="BA226" i="32"/>
  <c r="BA259" i="32"/>
  <c r="BA307" i="32"/>
  <c r="AZ92" i="32"/>
  <c r="BA92" i="32" s="1"/>
  <c r="AZ71" i="32"/>
  <c r="BA71" i="32" s="1"/>
  <c r="AZ72" i="32"/>
  <c r="BA72" i="32" s="1"/>
  <c r="AZ70" i="32"/>
  <c r="BA70" i="32" s="1"/>
  <c r="AZ99" i="32"/>
  <c r="BA99" i="32" s="1"/>
  <c r="AZ114" i="32"/>
  <c r="BA114" i="32" s="1"/>
  <c r="AZ124" i="32"/>
  <c r="BA124" i="32" s="1"/>
  <c r="AZ152" i="32"/>
  <c r="BA152" i="32" s="1"/>
  <c r="AZ156" i="32"/>
  <c r="BA156" i="32" s="1"/>
  <c r="AZ170" i="32"/>
  <c r="BA170" i="32" s="1"/>
  <c r="N18" i="24" l="1"/>
  <c r="K68" i="32"/>
  <c r="K67" i="32"/>
  <c r="K66" i="32"/>
  <c r="K65" i="32"/>
  <c r="K64" i="32"/>
  <c r="K63" i="32"/>
  <c r="K62" i="32"/>
  <c r="K61" i="32"/>
  <c r="K60" i="32"/>
  <c r="K59" i="32"/>
  <c r="K58" i="32"/>
  <c r="K57" i="32"/>
  <c r="K56" i="32"/>
  <c r="K55" i="32"/>
  <c r="K54" i="32"/>
  <c r="K53" i="32"/>
  <c r="K52" i="32"/>
  <c r="K51" i="32"/>
  <c r="K50" i="32"/>
  <c r="K49" i="32"/>
  <c r="K48" i="32"/>
  <c r="K47" i="32"/>
  <c r="K46" i="32"/>
  <c r="K45" i="32"/>
  <c r="K44" i="32"/>
  <c r="K43" i="32"/>
  <c r="K42" i="32"/>
  <c r="K41" i="32"/>
  <c r="K40" i="32"/>
  <c r="K39" i="32"/>
  <c r="K38" i="32"/>
  <c r="K37" i="32"/>
  <c r="K36" i="32"/>
  <c r="K35" i="32"/>
  <c r="K34" i="32"/>
  <c r="K33" i="32"/>
  <c r="K32" i="32"/>
  <c r="K31" i="32"/>
  <c r="K30" i="32"/>
  <c r="K29" i="32"/>
  <c r="K28" i="32"/>
  <c r="K27" i="32"/>
  <c r="K26" i="32"/>
  <c r="K25" i="32"/>
  <c r="K24" i="32"/>
  <c r="K23" i="32"/>
  <c r="K22" i="32"/>
  <c r="K21" i="32"/>
  <c r="K20" i="32"/>
  <c r="K19" i="32"/>
  <c r="K18" i="32"/>
  <c r="K17" i="32"/>
  <c r="K16" i="32"/>
  <c r="K15" i="32"/>
  <c r="K14" i="32"/>
  <c r="K13" i="32"/>
  <c r="K12" i="32"/>
  <c r="K11" i="32"/>
  <c r="K10" i="32"/>
  <c r="K9" i="32"/>
  <c r="K8" i="32"/>
  <c r="K7" i="32"/>
  <c r="C1" i="55" l="1"/>
  <c r="B5" i="55" s="1"/>
  <c r="C25" i="55" l="1"/>
  <c r="C17" i="55"/>
  <c r="C9" i="55"/>
  <c r="C6" i="55"/>
  <c r="C10" i="55"/>
  <c r="C24" i="55"/>
  <c r="C16" i="55"/>
  <c r="C8" i="55"/>
  <c r="C14" i="55"/>
  <c r="C23" i="55"/>
  <c r="C15" i="55"/>
  <c r="C7" i="55"/>
  <c r="C22" i="55"/>
  <c r="C11" i="55"/>
  <c r="C18" i="55"/>
  <c r="C21" i="55"/>
  <c r="C13" i="55"/>
  <c r="C20" i="55"/>
  <c r="C12" i="55"/>
  <c r="C19" i="55"/>
  <c r="G17" i="56"/>
  <c r="AR6" i="28"/>
  <c r="AQ6" i="28"/>
  <c r="V332" i="50"/>
  <c r="X332" i="50" s="1"/>
  <c r="Z332" i="50" s="1"/>
  <c r="AB332" i="50" s="1"/>
  <c r="V324" i="50"/>
  <c r="X324" i="50" s="1"/>
  <c r="Z324" i="50" s="1"/>
  <c r="AB324" i="50" s="1"/>
  <c r="V316" i="50"/>
  <c r="X316" i="50" s="1"/>
  <c r="Z316" i="50" s="1"/>
  <c r="AB316" i="50" s="1"/>
  <c r="V308" i="50"/>
  <c r="X308" i="50" s="1"/>
  <c r="Z308" i="50" s="1"/>
  <c r="AB308" i="50" s="1"/>
  <c r="V300" i="50"/>
  <c r="X300" i="50" s="1"/>
  <c r="Z300" i="50" s="1"/>
  <c r="AB300" i="50" s="1"/>
  <c r="V292" i="50"/>
  <c r="X292" i="50" s="1"/>
  <c r="Z292" i="50" s="1"/>
  <c r="AB292" i="50" s="1"/>
  <c r="V284" i="50"/>
  <c r="X284" i="50" s="1"/>
  <c r="Z284" i="50" s="1"/>
  <c r="AB284" i="50" s="1"/>
  <c r="V276" i="50"/>
  <c r="X276" i="50" s="1"/>
  <c r="Z276" i="50" s="1"/>
  <c r="AB276" i="50" s="1"/>
  <c r="V268" i="50"/>
  <c r="X268" i="50" s="1"/>
  <c r="Z268" i="50" s="1"/>
  <c r="AB268" i="50" s="1"/>
  <c r="V260" i="50"/>
  <c r="X260" i="50" s="1"/>
  <c r="Z260" i="50" s="1"/>
  <c r="AB260" i="50" s="1"/>
  <c r="V252" i="50"/>
  <c r="X252" i="50" s="1"/>
  <c r="Z252" i="50" s="1"/>
  <c r="AB252" i="50" s="1"/>
  <c r="V244" i="50"/>
  <c r="X244" i="50" s="1"/>
  <c r="Z244" i="50" s="1"/>
  <c r="AB244" i="50" s="1"/>
  <c r="V236" i="50"/>
  <c r="X236" i="50" s="1"/>
  <c r="Z236" i="50" s="1"/>
  <c r="AB236" i="50" s="1"/>
  <c r="V228" i="50"/>
  <c r="X228" i="50" s="1"/>
  <c r="Z228" i="50" s="1"/>
  <c r="AB228" i="50" s="1"/>
  <c r="V221" i="50"/>
  <c r="X221" i="50" s="1"/>
  <c r="Z221" i="50" s="1"/>
  <c r="AB221" i="50" s="1"/>
  <c r="V213" i="50"/>
  <c r="X213" i="50" s="1"/>
  <c r="Z213" i="50" s="1"/>
  <c r="AB213" i="50" s="1"/>
  <c r="V205" i="50"/>
  <c r="X205" i="50" s="1"/>
  <c r="Z205" i="50" s="1"/>
  <c r="AB205" i="50" s="1"/>
  <c r="V197" i="50"/>
  <c r="X197" i="50" s="1"/>
  <c r="Z197" i="50" s="1"/>
  <c r="AB197" i="50" s="1"/>
  <c r="V189" i="50"/>
  <c r="X189" i="50" s="1"/>
  <c r="Z189" i="50" s="1"/>
  <c r="AB189" i="50" s="1"/>
  <c r="V181" i="50"/>
  <c r="X181" i="50" s="1"/>
  <c r="Z181" i="50" s="1"/>
  <c r="AB181" i="50" s="1"/>
  <c r="V173" i="50"/>
  <c r="X173" i="50" s="1"/>
  <c r="Z173" i="50" s="1"/>
  <c r="AB173" i="50" s="1"/>
  <c r="V165" i="50"/>
  <c r="X165" i="50" s="1"/>
  <c r="Z165" i="50" s="1"/>
  <c r="AB165" i="50" s="1"/>
  <c r="V157" i="50"/>
  <c r="X157" i="50" s="1"/>
  <c r="Z157" i="50" s="1"/>
  <c r="AB157" i="50" s="1"/>
  <c r="V149" i="50"/>
  <c r="X149" i="50" s="1"/>
  <c r="Z149" i="50" s="1"/>
  <c r="AB149" i="50" s="1"/>
  <c r="V141" i="50"/>
  <c r="X141" i="50" s="1"/>
  <c r="Z141" i="50" s="1"/>
  <c r="AB141" i="50" s="1"/>
  <c r="V133" i="50"/>
  <c r="X133" i="50" s="1"/>
  <c r="Z133" i="50" s="1"/>
  <c r="AB133" i="50" s="1"/>
  <c r="V125" i="50"/>
  <c r="X125" i="50" s="1"/>
  <c r="Z125" i="50" s="1"/>
  <c r="AB125" i="50" s="1"/>
  <c r="V117" i="50"/>
  <c r="X117" i="50" s="1"/>
  <c r="Z117" i="50" s="1"/>
  <c r="AB117" i="50" s="1"/>
  <c r="V113" i="50"/>
  <c r="X113" i="50" s="1"/>
  <c r="Z113" i="50" s="1"/>
  <c r="AB113" i="50" s="1"/>
  <c r="V109" i="50"/>
  <c r="X109" i="50" s="1"/>
  <c r="Z109" i="50" s="1"/>
  <c r="AB109" i="50" s="1"/>
  <c r="V105" i="50"/>
  <c r="X105" i="50" s="1"/>
  <c r="Z105" i="50" s="1"/>
  <c r="AB105" i="50" s="1"/>
  <c r="V101" i="50"/>
  <c r="X101" i="50" s="1"/>
  <c r="Z101" i="50" s="1"/>
  <c r="AB101" i="50" s="1"/>
  <c r="V97" i="50"/>
  <c r="X97" i="50" s="1"/>
  <c r="Z97" i="50" s="1"/>
  <c r="AB97" i="50" s="1"/>
  <c r="V93" i="50"/>
  <c r="X93" i="50" s="1"/>
  <c r="Z93" i="50" s="1"/>
  <c r="AB93" i="50" s="1"/>
  <c r="V89" i="50"/>
  <c r="X89" i="50" s="1"/>
  <c r="Z89" i="50" s="1"/>
  <c r="AB89" i="50" s="1"/>
  <c r="V85" i="50"/>
  <c r="X85" i="50" s="1"/>
  <c r="Z85" i="50" s="1"/>
  <c r="AB85" i="50" s="1"/>
  <c r="V81" i="50"/>
  <c r="X81" i="50" s="1"/>
  <c r="Z81" i="50" s="1"/>
  <c r="AB81" i="50" s="1"/>
  <c r="V77" i="50"/>
  <c r="X77" i="50" s="1"/>
  <c r="Z77" i="50" s="1"/>
  <c r="AB77" i="50" s="1"/>
  <c r="V73" i="50"/>
  <c r="X73" i="50" s="1"/>
  <c r="Z73" i="50" s="1"/>
  <c r="AB73" i="50" s="1"/>
  <c r="V69" i="50"/>
  <c r="X69" i="50" s="1"/>
  <c r="Z69" i="50" s="1"/>
  <c r="AB69" i="50" s="1"/>
  <c r="V65" i="50"/>
  <c r="X65" i="50" s="1"/>
  <c r="Z65" i="50" s="1"/>
  <c r="AB65" i="50" s="1"/>
  <c r="V61" i="50"/>
  <c r="X61" i="50" s="1"/>
  <c r="Z61" i="50" s="1"/>
  <c r="AB61" i="50" s="1"/>
  <c r="V57" i="50"/>
  <c r="X57" i="50" s="1"/>
  <c r="Z57" i="50" s="1"/>
  <c r="AB57" i="50" s="1"/>
  <c r="V53" i="50"/>
  <c r="X53" i="50" s="1"/>
  <c r="Z53" i="50" s="1"/>
  <c r="AB53" i="50" s="1"/>
  <c r="V49" i="50"/>
  <c r="X49" i="50" s="1"/>
  <c r="Z49" i="50" s="1"/>
  <c r="AB49" i="50" s="1"/>
  <c r="V45" i="50"/>
  <c r="X45" i="50" s="1"/>
  <c r="Z45" i="50" s="1"/>
  <c r="AB45" i="50" s="1"/>
  <c r="V41" i="50"/>
  <c r="X41" i="50" s="1"/>
  <c r="Z41" i="50" s="1"/>
  <c r="AB41" i="50" s="1"/>
  <c r="V37" i="50"/>
  <c r="X37" i="50" s="1"/>
  <c r="Z37" i="50" s="1"/>
  <c r="AB37" i="50" s="1"/>
  <c r="V33" i="50"/>
  <c r="X33" i="50" s="1"/>
  <c r="Z33" i="50" s="1"/>
  <c r="AB33" i="50" s="1"/>
  <c r="V29" i="50"/>
  <c r="X29" i="50" s="1"/>
  <c r="Z29" i="50" s="1"/>
  <c r="AB29" i="50" s="1"/>
  <c r="V25" i="50"/>
  <c r="X25" i="50" s="1"/>
  <c r="Z25" i="50" s="1"/>
  <c r="AB25" i="50" s="1"/>
  <c r="V21" i="50"/>
  <c r="X21" i="50" s="1"/>
  <c r="Z21" i="50" s="1"/>
  <c r="AB21" i="50" s="1"/>
  <c r="V17" i="50"/>
  <c r="X17" i="50" s="1"/>
  <c r="Z17" i="50" s="1"/>
  <c r="AB17" i="50" s="1"/>
  <c r="V13" i="50"/>
  <c r="X13" i="50" s="1"/>
  <c r="Z13" i="50" s="1"/>
  <c r="AB13" i="50" s="1"/>
  <c r="V9" i="50"/>
  <c r="X9" i="50" s="1"/>
  <c r="Z9" i="50" s="1"/>
  <c r="AB9" i="50" s="1"/>
  <c r="V8" i="50"/>
  <c r="X8" i="50" s="1"/>
  <c r="Z8" i="50" s="1"/>
  <c r="V337" i="50"/>
  <c r="X337" i="50" s="1"/>
  <c r="Z337" i="50" s="1"/>
  <c r="AB337" i="50" s="1"/>
  <c r="V336" i="50"/>
  <c r="X336" i="50" s="1"/>
  <c r="Z336" i="50" s="1"/>
  <c r="AB336" i="50" s="1"/>
  <c r="V335" i="50"/>
  <c r="X335" i="50" s="1"/>
  <c r="Z335" i="50" s="1"/>
  <c r="AB335" i="50" s="1"/>
  <c r="V334" i="50"/>
  <c r="X334" i="50" s="1"/>
  <c r="Z334" i="50" s="1"/>
  <c r="AB334" i="50" s="1"/>
  <c r="V333" i="50"/>
  <c r="X333" i="50" s="1"/>
  <c r="Z333" i="50" s="1"/>
  <c r="AB333" i="50" s="1"/>
  <c r="V331" i="50"/>
  <c r="X331" i="50" s="1"/>
  <c r="Z331" i="50" s="1"/>
  <c r="AB331" i="50" s="1"/>
  <c r="V330" i="50"/>
  <c r="X330" i="50" s="1"/>
  <c r="Z330" i="50" s="1"/>
  <c r="AB330" i="50" s="1"/>
  <c r="V329" i="50"/>
  <c r="X329" i="50" s="1"/>
  <c r="Z329" i="50" s="1"/>
  <c r="AB329" i="50" s="1"/>
  <c r="V328" i="50"/>
  <c r="X328" i="50" s="1"/>
  <c r="Z328" i="50" s="1"/>
  <c r="AB328" i="50" s="1"/>
  <c r="V327" i="50"/>
  <c r="X327" i="50" s="1"/>
  <c r="Z327" i="50" s="1"/>
  <c r="AB327" i="50" s="1"/>
  <c r="V326" i="50"/>
  <c r="X326" i="50" s="1"/>
  <c r="Z326" i="50" s="1"/>
  <c r="AB326" i="50" s="1"/>
  <c r="V325" i="50"/>
  <c r="X325" i="50" s="1"/>
  <c r="Z325" i="50" s="1"/>
  <c r="AB325" i="50" s="1"/>
  <c r="V323" i="50"/>
  <c r="X323" i="50" s="1"/>
  <c r="Z323" i="50" s="1"/>
  <c r="AB323" i="50" s="1"/>
  <c r="V322" i="50"/>
  <c r="X322" i="50" s="1"/>
  <c r="Z322" i="50" s="1"/>
  <c r="AB322" i="50" s="1"/>
  <c r="V321" i="50"/>
  <c r="X321" i="50" s="1"/>
  <c r="Z321" i="50" s="1"/>
  <c r="AB321" i="50" s="1"/>
  <c r="V320" i="50"/>
  <c r="X320" i="50" s="1"/>
  <c r="Z320" i="50" s="1"/>
  <c r="AB320" i="50" s="1"/>
  <c r="V319" i="50"/>
  <c r="X319" i="50" s="1"/>
  <c r="Z319" i="50" s="1"/>
  <c r="AB319" i="50" s="1"/>
  <c r="V318" i="50"/>
  <c r="X318" i="50" s="1"/>
  <c r="Z318" i="50" s="1"/>
  <c r="AB318" i="50" s="1"/>
  <c r="V317" i="50"/>
  <c r="X317" i="50" s="1"/>
  <c r="Z317" i="50" s="1"/>
  <c r="AB317" i="50" s="1"/>
  <c r="V315" i="50"/>
  <c r="X315" i="50" s="1"/>
  <c r="Z315" i="50" s="1"/>
  <c r="AB315" i="50" s="1"/>
  <c r="V314" i="50"/>
  <c r="X314" i="50" s="1"/>
  <c r="Z314" i="50" s="1"/>
  <c r="AB314" i="50" s="1"/>
  <c r="V313" i="50"/>
  <c r="X313" i="50" s="1"/>
  <c r="Z313" i="50" s="1"/>
  <c r="AB313" i="50" s="1"/>
  <c r="V312" i="50"/>
  <c r="X312" i="50" s="1"/>
  <c r="Z312" i="50" s="1"/>
  <c r="AB312" i="50" s="1"/>
  <c r="V311" i="50"/>
  <c r="X311" i="50" s="1"/>
  <c r="Z311" i="50" s="1"/>
  <c r="AB311" i="50" s="1"/>
  <c r="V310" i="50"/>
  <c r="X310" i="50" s="1"/>
  <c r="Z310" i="50" s="1"/>
  <c r="AB310" i="50" s="1"/>
  <c r="V309" i="50"/>
  <c r="X309" i="50" s="1"/>
  <c r="Z309" i="50" s="1"/>
  <c r="AB309" i="50" s="1"/>
  <c r="V307" i="50"/>
  <c r="X307" i="50" s="1"/>
  <c r="Z307" i="50" s="1"/>
  <c r="AB307" i="50" s="1"/>
  <c r="V306" i="50"/>
  <c r="X306" i="50" s="1"/>
  <c r="Z306" i="50" s="1"/>
  <c r="AB306" i="50" s="1"/>
  <c r="V305" i="50"/>
  <c r="X305" i="50" s="1"/>
  <c r="Z305" i="50" s="1"/>
  <c r="AB305" i="50" s="1"/>
  <c r="V304" i="50"/>
  <c r="X304" i="50" s="1"/>
  <c r="Z304" i="50" s="1"/>
  <c r="AB304" i="50" s="1"/>
  <c r="V303" i="50"/>
  <c r="X303" i="50" s="1"/>
  <c r="Z303" i="50" s="1"/>
  <c r="AB303" i="50" s="1"/>
  <c r="V302" i="50"/>
  <c r="X302" i="50" s="1"/>
  <c r="Z302" i="50" s="1"/>
  <c r="AB302" i="50" s="1"/>
  <c r="V301" i="50"/>
  <c r="X301" i="50" s="1"/>
  <c r="Z301" i="50" s="1"/>
  <c r="AB301" i="50" s="1"/>
  <c r="V299" i="50"/>
  <c r="X299" i="50" s="1"/>
  <c r="Z299" i="50" s="1"/>
  <c r="AB299" i="50" s="1"/>
  <c r="V298" i="50"/>
  <c r="X298" i="50" s="1"/>
  <c r="Z298" i="50" s="1"/>
  <c r="AB298" i="50" s="1"/>
  <c r="V297" i="50"/>
  <c r="X297" i="50" s="1"/>
  <c r="Z297" i="50" s="1"/>
  <c r="AB297" i="50" s="1"/>
  <c r="V296" i="50"/>
  <c r="X296" i="50" s="1"/>
  <c r="Z296" i="50" s="1"/>
  <c r="AB296" i="50" s="1"/>
  <c r="V295" i="50"/>
  <c r="X295" i="50" s="1"/>
  <c r="Z295" i="50" s="1"/>
  <c r="AB295" i="50" s="1"/>
  <c r="V294" i="50"/>
  <c r="X294" i="50" s="1"/>
  <c r="Z294" i="50" s="1"/>
  <c r="AB294" i="50" s="1"/>
  <c r="V293" i="50"/>
  <c r="X293" i="50" s="1"/>
  <c r="Z293" i="50" s="1"/>
  <c r="AB293" i="50" s="1"/>
  <c r="V291" i="50"/>
  <c r="X291" i="50" s="1"/>
  <c r="Z291" i="50" s="1"/>
  <c r="AB291" i="50" s="1"/>
  <c r="V290" i="50"/>
  <c r="X290" i="50" s="1"/>
  <c r="Z290" i="50" s="1"/>
  <c r="AB290" i="50" s="1"/>
  <c r="V289" i="50"/>
  <c r="X289" i="50" s="1"/>
  <c r="Z289" i="50" s="1"/>
  <c r="AB289" i="50" s="1"/>
  <c r="V288" i="50"/>
  <c r="X288" i="50" s="1"/>
  <c r="Z288" i="50" s="1"/>
  <c r="AB288" i="50" s="1"/>
  <c r="V287" i="50"/>
  <c r="X287" i="50" s="1"/>
  <c r="Z287" i="50" s="1"/>
  <c r="AB287" i="50" s="1"/>
  <c r="V286" i="50"/>
  <c r="X286" i="50" s="1"/>
  <c r="Z286" i="50" s="1"/>
  <c r="AB286" i="50" s="1"/>
  <c r="V285" i="50"/>
  <c r="X285" i="50" s="1"/>
  <c r="Z285" i="50" s="1"/>
  <c r="AB285" i="50" s="1"/>
  <c r="V283" i="50"/>
  <c r="X283" i="50" s="1"/>
  <c r="Z283" i="50" s="1"/>
  <c r="AB283" i="50" s="1"/>
  <c r="V282" i="50"/>
  <c r="X282" i="50" s="1"/>
  <c r="Z282" i="50" s="1"/>
  <c r="AB282" i="50" s="1"/>
  <c r="V281" i="50"/>
  <c r="X281" i="50" s="1"/>
  <c r="Z281" i="50" s="1"/>
  <c r="AB281" i="50" s="1"/>
  <c r="V280" i="50"/>
  <c r="X280" i="50" s="1"/>
  <c r="Z280" i="50" s="1"/>
  <c r="AB280" i="50" s="1"/>
  <c r="V279" i="50"/>
  <c r="X279" i="50" s="1"/>
  <c r="Z279" i="50" s="1"/>
  <c r="AB279" i="50" s="1"/>
  <c r="V278" i="50"/>
  <c r="X278" i="50" s="1"/>
  <c r="Z278" i="50" s="1"/>
  <c r="AB278" i="50" s="1"/>
  <c r="V277" i="50"/>
  <c r="X277" i="50" s="1"/>
  <c r="Z277" i="50" s="1"/>
  <c r="AB277" i="50" s="1"/>
  <c r="V275" i="50"/>
  <c r="X275" i="50" s="1"/>
  <c r="Z275" i="50" s="1"/>
  <c r="AB275" i="50" s="1"/>
  <c r="V274" i="50"/>
  <c r="X274" i="50" s="1"/>
  <c r="Z274" i="50" s="1"/>
  <c r="AB274" i="50" s="1"/>
  <c r="V273" i="50"/>
  <c r="X273" i="50" s="1"/>
  <c r="Z273" i="50" s="1"/>
  <c r="AB273" i="50" s="1"/>
  <c r="V272" i="50"/>
  <c r="X272" i="50" s="1"/>
  <c r="Z272" i="50" s="1"/>
  <c r="AB272" i="50" s="1"/>
  <c r="V271" i="50"/>
  <c r="X271" i="50" s="1"/>
  <c r="Z271" i="50" s="1"/>
  <c r="AB271" i="50" s="1"/>
  <c r="V270" i="50"/>
  <c r="X270" i="50" s="1"/>
  <c r="Z270" i="50" s="1"/>
  <c r="AB270" i="50" s="1"/>
  <c r="V269" i="50"/>
  <c r="X269" i="50" s="1"/>
  <c r="Z269" i="50" s="1"/>
  <c r="AB269" i="50" s="1"/>
  <c r="V267" i="50"/>
  <c r="X267" i="50" s="1"/>
  <c r="Z267" i="50" s="1"/>
  <c r="AB267" i="50" s="1"/>
  <c r="V266" i="50"/>
  <c r="X266" i="50" s="1"/>
  <c r="Z266" i="50" s="1"/>
  <c r="AB266" i="50" s="1"/>
  <c r="V265" i="50"/>
  <c r="X265" i="50" s="1"/>
  <c r="Z265" i="50" s="1"/>
  <c r="AB265" i="50" s="1"/>
  <c r="V264" i="50"/>
  <c r="X264" i="50" s="1"/>
  <c r="Z264" i="50" s="1"/>
  <c r="AB264" i="50" s="1"/>
  <c r="V263" i="50"/>
  <c r="X263" i="50" s="1"/>
  <c r="Z263" i="50" s="1"/>
  <c r="AB263" i="50" s="1"/>
  <c r="V262" i="50"/>
  <c r="X262" i="50" s="1"/>
  <c r="Z262" i="50" s="1"/>
  <c r="AB262" i="50" s="1"/>
  <c r="V261" i="50"/>
  <c r="X261" i="50" s="1"/>
  <c r="Z261" i="50" s="1"/>
  <c r="AB261" i="50" s="1"/>
  <c r="V259" i="50"/>
  <c r="X259" i="50" s="1"/>
  <c r="Z259" i="50" s="1"/>
  <c r="AB259" i="50" s="1"/>
  <c r="V258" i="50"/>
  <c r="X258" i="50" s="1"/>
  <c r="Z258" i="50" s="1"/>
  <c r="AB258" i="50" s="1"/>
  <c r="V257" i="50"/>
  <c r="X257" i="50" s="1"/>
  <c r="Z257" i="50" s="1"/>
  <c r="AB257" i="50" s="1"/>
  <c r="V256" i="50"/>
  <c r="X256" i="50" s="1"/>
  <c r="Z256" i="50" s="1"/>
  <c r="AB256" i="50" s="1"/>
  <c r="V255" i="50"/>
  <c r="X255" i="50" s="1"/>
  <c r="Z255" i="50" s="1"/>
  <c r="AB255" i="50" s="1"/>
  <c r="V254" i="50"/>
  <c r="X254" i="50" s="1"/>
  <c r="Z254" i="50" s="1"/>
  <c r="AB254" i="50" s="1"/>
  <c r="V253" i="50"/>
  <c r="X253" i="50" s="1"/>
  <c r="Z253" i="50" s="1"/>
  <c r="AB253" i="50" s="1"/>
  <c r="V251" i="50"/>
  <c r="X251" i="50" s="1"/>
  <c r="Z251" i="50" s="1"/>
  <c r="AB251" i="50" s="1"/>
  <c r="V250" i="50"/>
  <c r="X250" i="50" s="1"/>
  <c r="Z250" i="50" s="1"/>
  <c r="AB250" i="50" s="1"/>
  <c r="V249" i="50"/>
  <c r="X249" i="50" s="1"/>
  <c r="Z249" i="50" s="1"/>
  <c r="AB249" i="50" s="1"/>
  <c r="V247" i="50"/>
  <c r="X247" i="50" s="1"/>
  <c r="Z247" i="50" s="1"/>
  <c r="AB247" i="50" s="1"/>
  <c r="V246" i="50"/>
  <c r="X246" i="50" s="1"/>
  <c r="Z246" i="50" s="1"/>
  <c r="AB246" i="50" s="1"/>
  <c r="V245" i="50"/>
  <c r="X245" i="50" s="1"/>
  <c r="Z245" i="50" s="1"/>
  <c r="AB245" i="50" s="1"/>
  <c r="V243" i="50"/>
  <c r="X243" i="50" s="1"/>
  <c r="Z243" i="50" s="1"/>
  <c r="AB243" i="50" s="1"/>
  <c r="V242" i="50"/>
  <c r="X242" i="50" s="1"/>
  <c r="Z242" i="50" s="1"/>
  <c r="AB242" i="50" s="1"/>
  <c r="V241" i="50"/>
  <c r="X241" i="50" s="1"/>
  <c r="Z241" i="50" s="1"/>
  <c r="AB241" i="50" s="1"/>
  <c r="V240" i="50"/>
  <c r="X240" i="50" s="1"/>
  <c r="Z240" i="50" s="1"/>
  <c r="AB240" i="50" s="1"/>
  <c r="V239" i="50"/>
  <c r="X239" i="50" s="1"/>
  <c r="Z239" i="50" s="1"/>
  <c r="AB239" i="50" s="1"/>
  <c r="V238" i="50"/>
  <c r="X238" i="50" s="1"/>
  <c r="Z238" i="50" s="1"/>
  <c r="AB238" i="50" s="1"/>
  <c r="V237" i="50"/>
  <c r="X237" i="50" s="1"/>
  <c r="Z237" i="50" s="1"/>
  <c r="AB237" i="50" s="1"/>
  <c r="V235" i="50"/>
  <c r="X235" i="50" s="1"/>
  <c r="Z235" i="50" s="1"/>
  <c r="AB235" i="50" s="1"/>
  <c r="V234" i="50"/>
  <c r="X234" i="50" s="1"/>
  <c r="Z234" i="50" s="1"/>
  <c r="AB234" i="50" s="1"/>
  <c r="V233" i="50"/>
  <c r="X233" i="50" s="1"/>
  <c r="Z233" i="50" s="1"/>
  <c r="AB233" i="50" s="1"/>
  <c r="V232" i="50"/>
  <c r="X232" i="50" s="1"/>
  <c r="Z232" i="50" s="1"/>
  <c r="AB232" i="50" s="1"/>
  <c r="V231" i="50"/>
  <c r="X231" i="50" s="1"/>
  <c r="Z231" i="50" s="1"/>
  <c r="AB231" i="50" s="1"/>
  <c r="V230" i="50"/>
  <c r="X230" i="50" s="1"/>
  <c r="Z230" i="50" s="1"/>
  <c r="AB230" i="50" s="1"/>
  <c r="V229" i="50"/>
  <c r="X229" i="50" s="1"/>
  <c r="Z229" i="50" s="1"/>
  <c r="AB229" i="50" s="1"/>
  <c r="V227" i="50"/>
  <c r="X227" i="50" s="1"/>
  <c r="Z227" i="50" s="1"/>
  <c r="AB227" i="50" s="1"/>
  <c r="V226" i="50"/>
  <c r="X226" i="50" s="1"/>
  <c r="Z226" i="50" s="1"/>
  <c r="AB226" i="50" s="1"/>
  <c r="V225" i="50"/>
  <c r="X225" i="50" s="1"/>
  <c r="Z225" i="50" s="1"/>
  <c r="AB225" i="50" s="1"/>
  <c r="V224" i="50"/>
  <c r="X224" i="50" s="1"/>
  <c r="Z224" i="50" s="1"/>
  <c r="AB224" i="50" s="1"/>
  <c r="V223" i="50"/>
  <c r="X223" i="50" s="1"/>
  <c r="Z223" i="50" s="1"/>
  <c r="AB223" i="50" s="1"/>
  <c r="V222" i="50"/>
  <c r="X222" i="50" s="1"/>
  <c r="Z222" i="50" s="1"/>
  <c r="AB222" i="50" s="1"/>
  <c r="V220" i="50"/>
  <c r="X220" i="50" s="1"/>
  <c r="Z220" i="50" s="1"/>
  <c r="AB220" i="50" s="1"/>
  <c r="V219" i="50"/>
  <c r="X219" i="50" s="1"/>
  <c r="Z219" i="50" s="1"/>
  <c r="AB219" i="50" s="1"/>
  <c r="V218" i="50"/>
  <c r="X218" i="50" s="1"/>
  <c r="Z218" i="50" s="1"/>
  <c r="AB218" i="50" s="1"/>
  <c r="V217" i="50"/>
  <c r="X217" i="50" s="1"/>
  <c r="Z217" i="50" s="1"/>
  <c r="AB217" i="50" s="1"/>
  <c r="V216" i="50"/>
  <c r="X216" i="50" s="1"/>
  <c r="Z216" i="50" s="1"/>
  <c r="AB216" i="50" s="1"/>
  <c r="V215" i="50"/>
  <c r="X215" i="50" s="1"/>
  <c r="Z215" i="50" s="1"/>
  <c r="AB215" i="50" s="1"/>
  <c r="V214" i="50"/>
  <c r="X214" i="50" s="1"/>
  <c r="Z214" i="50" s="1"/>
  <c r="AB214" i="50" s="1"/>
  <c r="V211" i="50"/>
  <c r="X211" i="50" s="1"/>
  <c r="Z211" i="50" s="1"/>
  <c r="AB211" i="50" s="1"/>
  <c r="V210" i="50"/>
  <c r="X210" i="50" s="1"/>
  <c r="Z210" i="50" s="1"/>
  <c r="AB210" i="50" s="1"/>
  <c r="V209" i="50"/>
  <c r="X209" i="50" s="1"/>
  <c r="Z209" i="50" s="1"/>
  <c r="AB209" i="50" s="1"/>
  <c r="V208" i="50"/>
  <c r="X208" i="50" s="1"/>
  <c r="Z208" i="50" s="1"/>
  <c r="AB208" i="50" s="1"/>
  <c r="V207" i="50"/>
  <c r="X207" i="50" s="1"/>
  <c r="Z207" i="50" s="1"/>
  <c r="AB207" i="50" s="1"/>
  <c r="V206" i="50"/>
  <c r="X206" i="50" s="1"/>
  <c r="Z206" i="50" s="1"/>
  <c r="AB206" i="50" s="1"/>
  <c r="V204" i="50"/>
  <c r="X204" i="50" s="1"/>
  <c r="Z204" i="50" s="1"/>
  <c r="AB204" i="50" s="1"/>
  <c r="V203" i="50"/>
  <c r="X203" i="50" s="1"/>
  <c r="Z203" i="50" s="1"/>
  <c r="AB203" i="50" s="1"/>
  <c r="V202" i="50"/>
  <c r="X202" i="50" s="1"/>
  <c r="Z202" i="50" s="1"/>
  <c r="AB202" i="50" s="1"/>
  <c r="V201" i="50"/>
  <c r="X201" i="50" s="1"/>
  <c r="Z201" i="50" s="1"/>
  <c r="AB201" i="50" s="1"/>
  <c r="V200" i="50"/>
  <c r="X200" i="50" s="1"/>
  <c r="Z200" i="50" s="1"/>
  <c r="AB200" i="50" s="1"/>
  <c r="V199" i="50"/>
  <c r="X199" i="50" s="1"/>
  <c r="Z199" i="50" s="1"/>
  <c r="AB199" i="50" s="1"/>
  <c r="V198" i="50"/>
  <c r="X198" i="50" s="1"/>
  <c r="Z198" i="50" s="1"/>
  <c r="AB198" i="50" s="1"/>
  <c r="V196" i="50"/>
  <c r="X196" i="50" s="1"/>
  <c r="Z196" i="50" s="1"/>
  <c r="AB196" i="50" s="1"/>
  <c r="V195" i="50"/>
  <c r="X195" i="50" s="1"/>
  <c r="Z195" i="50" s="1"/>
  <c r="AB195" i="50" s="1"/>
  <c r="V194" i="50"/>
  <c r="X194" i="50" s="1"/>
  <c r="Z194" i="50" s="1"/>
  <c r="AB194" i="50" s="1"/>
  <c r="V193" i="50"/>
  <c r="X193" i="50" s="1"/>
  <c r="Z193" i="50" s="1"/>
  <c r="AB193" i="50" s="1"/>
  <c r="V192" i="50"/>
  <c r="X192" i="50" s="1"/>
  <c r="Z192" i="50" s="1"/>
  <c r="AB192" i="50" s="1"/>
  <c r="V191" i="50"/>
  <c r="X191" i="50" s="1"/>
  <c r="Z191" i="50" s="1"/>
  <c r="AB191" i="50" s="1"/>
  <c r="V190" i="50"/>
  <c r="X190" i="50" s="1"/>
  <c r="Z190" i="50" s="1"/>
  <c r="AB190" i="50" s="1"/>
  <c r="V188" i="50"/>
  <c r="X188" i="50" s="1"/>
  <c r="Z188" i="50" s="1"/>
  <c r="AB188" i="50" s="1"/>
  <c r="V187" i="50"/>
  <c r="X187" i="50" s="1"/>
  <c r="Z187" i="50" s="1"/>
  <c r="AB187" i="50" s="1"/>
  <c r="V186" i="50"/>
  <c r="X186" i="50" s="1"/>
  <c r="Z186" i="50" s="1"/>
  <c r="AB186" i="50" s="1"/>
  <c r="V185" i="50"/>
  <c r="X185" i="50" s="1"/>
  <c r="Z185" i="50" s="1"/>
  <c r="AB185" i="50" s="1"/>
  <c r="V184" i="50"/>
  <c r="X184" i="50" s="1"/>
  <c r="Z184" i="50" s="1"/>
  <c r="AB184" i="50" s="1"/>
  <c r="V183" i="50"/>
  <c r="X183" i="50" s="1"/>
  <c r="Z183" i="50" s="1"/>
  <c r="AB183" i="50" s="1"/>
  <c r="V182" i="50"/>
  <c r="X182" i="50" s="1"/>
  <c r="Z182" i="50" s="1"/>
  <c r="AB182" i="50" s="1"/>
  <c r="V180" i="50"/>
  <c r="X180" i="50" s="1"/>
  <c r="Z180" i="50" s="1"/>
  <c r="AB180" i="50" s="1"/>
  <c r="V179" i="50"/>
  <c r="X179" i="50" s="1"/>
  <c r="Z179" i="50" s="1"/>
  <c r="AB179" i="50" s="1"/>
  <c r="V178" i="50"/>
  <c r="X178" i="50" s="1"/>
  <c r="Z178" i="50" s="1"/>
  <c r="AB178" i="50" s="1"/>
  <c r="V177" i="50"/>
  <c r="X177" i="50" s="1"/>
  <c r="Z177" i="50" s="1"/>
  <c r="AB177" i="50" s="1"/>
  <c r="V176" i="50"/>
  <c r="X176" i="50" s="1"/>
  <c r="Z176" i="50" s="1"/>
  <c r="AB176" i="50" s="1"/>
  <c r="V175" i="50"/>
  <c r="X175" i="50" s="1"/>
  <c r="Z175" i="50" s="1"/>
  <c r="AB175" i="50" s="1"/>
  <c r="V174" i="50"/>
  <c r="X174" i="50" s="1"/>
  <c r="Z174" i="50" s="1"/>
  <c r="AB174" i="50" s="1"/>
  <c r="V172" i="50"/>
  <c r="X172" i="50" s="1"/>
  <c r="Z172" i="50" s="1"/>
  <c r="AB172" i="50" s="1"/>
  <c r="V171" i="50"/>
  <c r="X171" i="50" s="1"/>
  <c r="Z171" i="50" s="1"/>
  <c r="AB171" i="50" s="1"/>
  <c r="V170" i="50"/>
  <c r="X170" i="50" s="1"/>
  <c r="Z170" i="50" s="1"/>
  <c r="AB170" i="50" s="1"/>
  <c r="V169" i="50"/>
  <c r="X169" i="50" s="1"/>
  <c r="Z169" i="50" s="1"/>
  <c r="AB169" i="50" s="1"/>
  <c r="V168" i="50"/>
  <c r="X168" i="50" s="1"/>
  <c r="Z168" i="50" s="1"/>
  <c r="AB168" i="50" s="1"/>
  <c r="V167" i="50"/>
  <c r="X167" i="50" s="1"/>
  <c r="Z167" i="50" s="1"/>
  <c r="AB167" i="50" s="1"/>
  <c r="V166" i="50"/>
  <c r="X166" i="50" s="1"/>
  <c r="Z166" i="50" s="1"/>
  <c r="AB166" i="50" s="1"/>
  <c r="V164" i="50"/>
  <c r="X164" i="50" s="1"/>
  <c r="Z164" i="50" s="1"/>
  <c r="AB164" i="50" s="1"/>
  <c r="V163" i="50"/>
  <c r="X163" i="50" s="1"/>
  <c r="Z163" i="50" s="1"/>
  <c r="AB163" i="50" s="1"/>
  <c r="V162" i="50"/>
  <c r="X162" i="50" s="1"/>
  <c r="Z162" i="50" s="1"/>
  <c r="AB162" i="50" s="1"/>
  <c r="V161" i="50"/>
  <c r="X161" i="50" s="1"/>
  <c r="Z161" i="50" s="1"/>
  <c r="AB161" i="50" s="1"/>
  <c r="V160" i="50"/>
  <c r="X160" i="50" s="1"/>
  <c r="Z160" i="50" s="1"/>
  <c r="AB160" i="50" s="1"/>
  <c r="V159" i="50"/>
  <c r="X159" i="50" s="1"/>
  <c r="Z159" i="50" s="1"/>
  <c r="AB159" i="50" s="1"/>
  <c r="V158" i="50"/>
  <c r="X158" i="50" s="1"/>
  <c r="Z158" i="50" s="1"/>
  <c r="AB158" i="50" s="1"/>
  <c r="V156" i="50"/>
  <c r="X156" i="50" s="1"/>
  <c r="Z156" i="50" s="1"/>
  <c r="AB156" i="50" s="1"/>
  <c r="V155" i="50"/>
  <c r="X155" i="50" s="1"/>
  <c r="Z155" i="50" s="1"/>
  <c r="AB155" i="50" s="1"/>
  <c r="V154" i="50"/>
  <c r="X154" i="50" s="1"/>
  <c r="Z154" i="50" s="1"/>
  <c r="AB154" i="50" s="1"/>
  <c r="V153" i="50"/>
  <c r="X153" i="50" s="1"/>
  <c r="Z153" i="50" s="1"/>
  <c r="AB153" i="50" s="1"/>
  <c r="V152" i="50"/>
  <c r="X152" i="50" s="1"/>
  <c r="Z152" i="50" s="1"/>
  <c r="AB152" i="50" s="1"/>
  <c r="V151" i="50"/>
  <c r="X151" i="50" s="1"/>
  <c r="Z151" i="50" s="1"/>
  <c r="AB151" i="50" s="1"/>
  <c r="V150" i="50"/>
  <c r="X150" i="50" s="1"/>
  <c r="Z150" i="50" s="1"/>
  <c r="AB150" i="50" s="1"/>
  <c r="V148" i="50"/>
  <c r="X148" i="50" s="1"/>
  <c r="Z148" i="50" s="1"/>
  <c r="AB148" i="50" s="1"/>
  <c r="V147" i="50"/>
  <c r="X147" i="50" s="1"/>
  <c r="Z147" i="50" s="1"/>
  <c r="AB147" i="50" s="1"/>
  <c r="V146" i="50"/>
  <c r="X146" i="50" s="1"/>
  <c r="Z146" i="50" s="1"/>
  <c r="AB146" i="50" s="1"/>
  <c r="V145" i="50"/>
  <c r="X145" i="50" s="1"/>
  <c r="Z145" i="50" s="1"/>
  <c r="AB145" i="50" s="1"/>
  <c r="V144" i="50"/>
  <c r="X144" i="50" s="1"/>
  <c r="Z144" i="50" s="1"/>
  <c r="AB144" i="50" s="1"/>
  <c r="V143" i="50"/>
  <c r="X143" i="50" s="1"/>
  <c r="Z143" i="50" s="1"/>
  <c r="AB143" i="50" s="1"/>
  <c r="V142" i="50"/>
  <c r="X142" i="50" s="1"/>
  <c r="Z142" i="50" s="1"/>
  <c r="AB142" i="50" s="1"/>
  <c r="V140" i="50"/>
  <c r="X140" i="50" s="1"/>
  <c r="Z140" i="50" s="1"/>
  <c r="AB140" i="50" s="1"/>
  <c r="V139" i="50"/>
  <c r="X139" i="50" s="1"/>
  <c r="Z139" i="50" s="1"/>
  <c r="AB139" i="50" s="1"/>
  <c r="V138" i="50"/>
  <c r="X138" i="50" s="1"/>
  <c r="Z138" i="50" s="1"/>
  <c r="AB138" i="50" s="1"/>
  <c r="V137" i="50"/>
  <c r="X137" i="50" s="1"/>
  <c r="Z137" i="50" s="1"/>
  <c r="AB137" i="50" s="1"/>
  <c r="V136" i="50"/>
  <c r="X136" i="50" s="1"/>
  <c r="Z136" i="50" s="1"/>
  <c r="AB136" i="50" s="1"/>
  <c r="V135" i="50"/>
  <c r="X135" i="50" s="1"/>
  <c r="Z135" i="50" s="1"/>
  <c r="AB135" i="50" s="1"/>
  <c r="V134" i="50"/>
  <c r="X134" i="50" s="1"/>
  <c r="Z134" i="50" s="1"/>
  <c r="AB134" i="50" s="1"/>
  <c r="V132" i="50"/>
  <c r="X132" i="50" s="1"/>
  <c r="Z132" i="50" s="1"/>
  <c r="AB132" i="50" s="1"/>
  <c r="V131" i="50"/>
  <c r="X131" i="50" s="1"/>
  <c r="Z131" i="50" s="1"/>
  <c r="AB131" i="50" s="1"/>
  <c r="V130" i="50"/>
  <c r="X130" i="50" s="1"/>
  <c r="Z130" i="50" s="1"/>
  <c r="AB130" i="50" s="1"/>
  <c r="V129" i="50"/>
  <c r="X129" i="50" s="1"/>
  <c r="Z129" i="50" s="1"/>
  <c r="AB129" i="50" s="1"/>
  <c r="V128" i="50"/>
  <c r="X128" i="50" s="1"/>
  <c r="Z128" i="50" s="1"/>
  <c r="AB128" i="50" s="1"/>
  <c r="V127" i="50"/>
  <c r="X127" i="50" s="1"/>
  <c r="Z127" i="50" s="1"/>
  <c r="AB127" i="50" s="1"/>
  <c r="V126" i="50"/>
  <c r="X126" i="50" s="1"/>
  <c r="Z126" i="50" s="1"/>
  <c r="AB126" i="50" s="1"/>
  <c r="V124" i="50"/>
  <c r="X124" i="50" s="1"/>
  <c r="Z124" i="50" s="1"/>
  <c r="AB124" i="50" s="1"/>
  <c r="V123" i="50"/>
  <c r="X123" i="50" s="1"/>
  <c r="Z123" i="50" s="1"/>
  <c r="AB123" i="50" s="1"/>
  <c r="V121" i="50"/>
  <c r="X121" i="50" s="1"/>
  <c r="Z121" i="50" s="1"/>
  <c r="AB121" i="50" s="1"/>
  <c r="V120" i="50"/>
  <c r="X120" i="50" s="1"/>
  <c r="Z120" i="50" s="1"/>
  <c r="AB120" i="50" s="1"/>
  <c r="V122" i="50"/>
  <c r="X122" i="50" s="1"/>
  <c r="Z122" i="50" s="1"/>
  <c r="AB122" i="50" s="1"/>
  <c r="V118" i="50"/>
  <c r="X118" i="50" s="1"/>
  <c r="Z118" i="50" s="1"/>
  <c r="AB118" i="50" s="1"/>
  <c r="V116" i="50"/>
  <c r="X116" i="50" s="1"/>
  <c r="Z116" i="50" s="1"/>
  <c r="AB116" i="50" s="1"/>
  <c r="V115" i="50"/>
  <c r="X115" i="50" s="1"/>
  <c r="Z115" i="50" s="1"/>
  <c r="AB115" i="50" s="1"/>
  <c r="V114" i="50"/>
  <c r="X114" i="50" s="1"/>
  <c r="Z114" i="50" s="1"/>
  <c r="AB114" i="50" s="1"/>
  <c r="V112" i="50"/>
  <c r="X112" i="50" s="1"/>
  <c r="Z112" i="50" s="1"/>
  <c r="AB112" i="50" s="1"/>
  <c r="V111" i="50"/>
  <c r="X111" i="50" s="1"/>
  <c r="Z111" i="50" s="1"/>
  <c r="AB111" i="50" s="1"/>
  <c r="V110" i="50"/>
  <c r="X110" i="50" s="1"/>
  <c r="Z110" i="50" s="1"/>
  <c r="AB110" i="50" s="1"/>
  <c r="V108" i="50"/>
  <c r="X108" i="50" s="1"/>
  <c r="Z108" i="50" s="1"/>
  <c r="AB108" i="50" s="1"/>
  <c r="V107" i="50"/>
  <c r="X107" i="50" s="1"/>
  <c r="Z107" i="50" s="1"/>
  <c r="AB107" i="50" s="1"/>
  <c r="V106" i="50"/>
  <c r="X106" i="50" s="1"/>
  <c r="Z106" i="50" s="1"/>
  <c r="AB106" i="50" s="1"/>
  <c r="V104" i="50"/>
  <c r="X104" i="50" s="1"/>
  <c r="Z104" i="50" s="1"/>
  <c r="AB104" i="50" s="1"/>
  <c r="V103" i="50"/>
  <c r="X103" i="50" s="1"/>
  <c r="Z103" i="50" s="1"/>
  <c r="AB103" i="50" s="1"/>
  <c r="V102" i="50"/>
  <c r="X102" i="50" s="1"/>
  <c r="Z102" i="50" s="1"/>
  <c r="AB102" i="50" s="1"/>
  <c r="V100" i="50"/>
  <c r="X100" i="50" s="1"/>
  <c r="Z100" i="50" s="1"/>
  <c r="AB100" i="50" s="1"/>
  <c r="V99" i="50"/>
  <c r="X99" i="50" s="1"/>
  <c r="Z99" i="50" s="1"/>
  <c r="AB99" i="50" s="1"/>
  <c r="V98" i="50"/>
  <c r="X98" i="50" s="1"/>
  <c r="Z98" i="50" s="1"/>
  <c r="AB98" i="50" s="1"/>
  <c r="V96" i="50"/>
  <c r="X96" i="50" s="1"/>
  <c r="Z96" i="50" s="1"/>
  <c r="AB96" i="50" s="1"/>
  <c r="V95" i="50"/>
  <c r="X95" i="50" s="1"/>
  <c r="Z95" i="50" s="1"/>
  <c r="AB95" i="50" s="1"/>
  <c r="V94" i="50"/>
  <c r="X94" i="50" s="1"/>
  <c r="Z94" i="50" s="1"/>
  <c r="AB94" i="50" s="1"/>
  <c r="V92" i="50"/>
  <c r="X92" i="50" s="1"/>
  <c r="Z92" i="50" s="1"/>
  <c r="AB92" i="50" s="1"/>
  <c r="V91" i="50"/>
  <c r="X91" i="50" s="1"/>
  <c r="Z91" i="50" s="1"/>
  <c r="AB91" i="50" s="1"/>
  <c r="V90" i="50"/>
  <c r="X90" i="50" s="1"/>
  <c r="Z90" i="50" s="1"/>
  <c r="AB90" i="50" s="1"/>
  <c r="V88" i="50"/>
  <c r="X88" i="50" s="1"/>
  <c r="Z88" i="50" s="1"/>
  <c r="AB88" i="50" s="1"/>
  <c r="V87" i="50"/>
  <c r="X87" i="50" s="1"/>
  <c r="Z87" i="50" s="1"/>
  <c r="AB87" i="50" s="1"/>
  <c r="V86" i="50"/>
  <c r="X86" i="50" s="1"/>
  <c r="Z86" i="50" s="1"/>
  <c r="AB86" i="50" s="1"/>
  <c r="V84" i="50"/>
  <c r="X84" i="50" s="1"/>
  <c r="Z84" i="50" s="1"/>
  <c r="AB84" i="50" s="1"/>
  <c r="V83" i="50"/>
  <c r="X83" i="50" s="1"/>
  <c r="Z83" i="50" s="1"/>
  <c r="AB83" i="50" s="1"/>
  <c r="V82" i="50"/>
  <c r="X82" i="50" s="1"/>
  <c r="Z82" i="50" s="1"/>
  <c r="AB82" i="50" s="1"/>
  <c r="V80" i="50"/>
  <c r="X80" i="50" s="1"/>
  <c r="Z80" i="50" s="1"/>
  <c r="AB80" i="50" s="1"/>
  <c r="V79" i="50"/>
  <c r="X79" i="50" s="1"/>
  <c r="Z79" i="50" s="1"/>
  <c r="AB79" i="50" s="1"/>
  <c r="V78" i="50"/>
  <c r="X78" i="50" s="1"/>
  <c r="Z78" i="50" s="1"/>
  <c r="AB78" i="50" s="1"/>
  <c r="V76" i="50"/>
  <c r="X76" i="50" s="1"/>
  <c r="Z76" i="50" s="1"/>
  <c r="AB76" i="50" s="1"/>
  <c r="V75" i="50"/>
  <c r="X75" i="50" s="1"/>
  <c r="Z75" i="50" s="1"/>
  <c r="AB75" i="50" s="1"/>
  <c r="V74" i="50"/>
  <c r="X74" i="50" s="1"/>
  <c r="Z74" i="50" s="1"/>
  <c r="AB74" i="50" s="1"/>
  <c r="V72" i="50"/>
  <c r="X72" i="50" s="1"/>
  <c r="Z72" i="50" s="1"/>
  <c r="AB72" i="50" s="1"/>
  <c r="V71" i="50"/>
  <c r="X71" i="50" s="1"/>
  <c r="Z71" i="50" s="1"/>
  <c r="AB71" i="50" s="1"/>
  <c r="V70" i="50"/>
  <c r="X70" i="50" s="1"/>
  <c r="Z70" i="50" s="1"/>
  <c r="AB70" i="50" s="1"/>
  <c r="V68" i="50"/>
  <c r="X68" i="50" s="1"/>
  <c r="Z68" i="50" s="1"/>
  <c r="AB68" i="50" s="1"/>
  <c r="V67" i="50"/>
  <c r="X67" i="50" s="1"/>
  <c r="Z67" i="50" s="1"/>
  <c r="AB67" i="50" s="1"/>
  <c r="V66" i="50"/>
  <c r="X66" i="50" s="1"/>
  <c r="Z66" i="50" s="1"/>
  <c r="AB66" i="50" s="1"/>
  <c r="V64" i="50"/>
  <c r="X64" i="50" s="1"/>
  <c r="Z64" i="50" s="1"/>
  <c r="AB64" i="50" s="1"/>
  <c r="V63" i="50"/>
  <c r="X63" i="50" s="1"/>
  <c r="Z63" i="50" s="1"/>
  <c r="AB63" i="50" s="1"/>
  <c r="V62" i="50"/>
  <c r="X62" i="50" s="1"/>
  <c r="Z62" i="50" s="1"/>
  <c r="AB62" i="50" s="1"/>
  <c r="V60" i="50"/>
  <c r="X60" i="50" s="1"/>
  <c r="Z60" i="50" s="1"/>
  <c r="AB60" i="50" s="1"/>
  <c r="V59" i="50"/>
  <c r="X59" i="50" s="1"/>
  <c r="Z59" i="50" s="1"/>
  <c r="AB59" i="50" s="1"/>
  <c r="V58" i="50"/>
  <c r="X58" i="50" s="1"/>
  <c r="Z58" i="50" s="1"/>
  <c r="AB58" i="50" s="1"/>
  <c r="V56" i="50"/>
  <c r="X56" i="50" s="1"/>
  <c r="Z56" i="50" s="1"/>
  <c r="AB56" i="50" s="1"/>
  <c r="V55" i="50"/>
  <c r="X55" i="50" s="1"/>
  <c r="Z55" i="50" s="1"/>
  <c r="AB55" i="50" s="1"/>
  <c r="V54" i="50"/>
  <c r="X54" i="50" s="1"/>
  <c r="Z54" i="50" s="1"/>
  <c r="AB54" i="50" s="1"/>
  <c r="V52" i="50"/>
  <c r="X52" i="50" s="1"/>
  <c r="Z52" i="50" s="1"/>
  <c r="AB52" i="50" s="1"/>
  <c r="V51" i="50"/>
  <c r="X51" i="50" s="1"/>
  <c r="Z51" i="50" s="1"/>
  <c r="AB51" i="50" s="1"/>
  <c r="V50" i="50"/>
  <c r="X50" i="50" s="1"/>
  <c r="Z50" i="50" s="1"/>
  <c r="AB50" i="50" s="1"/>
  <c r="V48" i="50"/>
  <c r="X48" i="50" s="1"/>
  <c r="Z48" i="50" s="1"/>
  <c r="AB48" i="50" s="1"/>
  <c r="V47" i="50"/>
  <c r="X47" i="50" s="1"/>
  <c r="Z47" i="50" s="1"/>
  <c r="AB47" i="50" s="1"/>
  <c r="V46" i="50"/>
  <c r="X46" i="50" s="1"/>
  <c r="Z46" i="50" s="1"/>
  <c r="AB46" i="50" s="1"/>
  <c r="V44" i="50"/>
  <c r="X44" i="50" s="1"/>
  <c r="Z44" i="50" s="1"/>
  <c r="AB44" i="50" s="1"/>
  <c r="V43" i="50"/>
  <c r="X43" i="50" s="1"/>
  <c r="Z43" i="50" s="1"/>
  <c r="AB43" i="50" s="1"/>
  <c r="V42" i="50"/>
  <c r="X42" i="50" s="1"/>
  <c r="Z42" i="50" s="1"/>
  <c r="AB42" i="50" s="1"/>
  <c r="V40" i="50"/>
  <c r="X40" i="50" s="1"/>
  <c r="Z40" i="50" s="1"/>
  <c r="AB40" i="50" s="1"/>
  <c r="V39" i="50"/>
  <c r="X39" i="50" s="1"/>
  <c r="Z39" i="50" s="1"/>
  <c r="AB39" i="50" s="1"/>
  <c r="V38" i="50"/>
  <c r="X38" i="50" s="1"/>
  <c r="Z38" i="50" s="1"/>
  <c r="AB38" i="50" s="1"/>
  <c r="V36" i="50"/>
  <c r="X36" i="50" s="1"/>
  <c r="Z36" i="50" s="1"/>
  <c r="AB36" i="50" s="1"/>
  <c r="V35" i="50"/>
  <c r="X35" i="50" s="1"/>
  <c r="Z35" i="50" s="1"/>
  <c r="AB35" i="50" s="1"/>
  <c r="V34" i="50"/>
  <c r="X34" i="50" s="1"/>
  <c r="Z34" i="50" s="1"/>
  <c r="AB34" i="50" s="1"/>
  <c r="V32" i="50"/>
  <c r="X32" i="50" s="1"/>
  <c r="Z32" i="50" s="1"/>
  <c r="AB32" i="50" s="1"/>
  <c r="V31" i="50"/>
  <c r="X31" i="50" s="1"/>
  <c r="Z31" i="50" s="1"/>
  <c r="AB31" i="50" s="1"/>
  <c r="V30" i="50"/>
  <c r="X30" i="50" s="1"/>
  <c r="Z30" i="50" s="1"/>
  <c r="AB30" i="50" s="1"/>
  <c r="V28" i="50"/>
  <c r="X28" i="50" s="1"/>
  <c r="Z28" i="50" s="1"/>
  <c r="AB28" i="50" s="1"/>
  <c r="V27" i="50"/>
  <c r="X27" i="50" s="1"/>
  <c r="Z27" i="50" s="1"/>
  <c r="AB27" i="50" s="1"/>
  <c r="V26" i="50"/>
  <c r="X26" i="50" s="1"/>
  <c r="Z26" i="50" s="1"/>
  <c r="AB26" i="50" s="1"/>
  <c r="V24" i="50"/>
  <c r="X24" i="50" s="1"/>
  <c r="Z24" i="50" s="1"/>
  <c r="AB24" i="50" s="1"/>
  <c r="V23" i="50"/>
  <c r="X23" i="50" s="1"/>
  <c r="Z23" i="50" s="1"/>
  <c r="AB23" i="50" s="1"/>
  <c r="V22" i="50"/>
  <c r="X22" i="50" s="1"/>
  <c r="Z22" i="50" s="1"/>
  <c r="AB22" i="50" s="1"/>
  <c r="V20" i="50"/>
  <c r="X20" i="50" s="1"/>
  <c r="Z20" i="50" s="1"/>
  <c r="AB20" i="50" s="1"/>
  <c r="V19" i="50"/>
  <c r="X19" i="50" s="1"/>
  <c r="Z19" i="50" s="1"/>
  <c r="AB19" i="50" s="1"/>
  <c r="V18" i="50"/>
  <c r="X18" i="50" s="1"/>
  <c r="Z18" i="50" s="1"/>
  <c r="AB18" i="50" s="1"/>
  <c r="V16" i="50"/>
  <c r="X16" i="50" s="1"/>
  <c r="Z16" i="50" s="1"/>
  <c r="AB16" i="50" s="1"/>
  <c r="V15" i="50"/>
  <c r="X15" i="50" s="1"/>
  <c r="Z15" i="50" s="1"/>
  <c r="AB15" i="50" s="1"/>
  <c r="V14" i="50"/>
  <c r="X14" i="50" s="1"/>
  <c r="Z14" i="50" s="1"/>
  <c r="AB14" i="50" s="1"/>
  <c r="V12" i="50"/>
  <c r="X12" i="50" s="1"/>
  <c r="Z12" i="50" s="1"/>
  <c r="AB12" i="50" s="1"/>
  <c r="V11" i="50"/>
  <c r="X11" i="50" s="1"/>
  <c r="Z11" i="50" s="1"/>
  <c r="AB11" i="50" s="1"/>
  <c r="V10" i="50"/>
  <c r="X10" i="50" s="1"/>
  <c r="Z10" i="50" s="1"/>
  <c r="AB10" i="50" s="1"/>
  <c r="W7" i="50"/>
  <c r="U7" i="50"/>
  <c r="U331" i="26"/>
  <c r="U330" i="26"/>
  <c r="U329" i="26"/>
  <c r="I331" i="26"/>
  <c r="L331" i="26" s="1"/>
  <c r="I330" i="26"/>
  <c r="L330" i="26" s="1"/>
  <c r="I329" i="26"/>
  <c r="L329" i="26" s="1"/>
  <c r="I328" i="26"/>
  <c r="I327" i="26"/>
  <c r="I326" i="26"/>
  <c r="I325" i="26"/>
  <c r="I324" i="26"/>
  <c r="I323" i="26"/>
  <c r="I322" i="26"/>
  <c r="I321" i="26"/>
  <c r="I320" i="26"/>
  <c r="I319" i="26"/>
  <c r="I318" i="26"/>
  <c r="I317" i="26"/>
  <c r="I316" i="26"/>
  <c r="I315" i="26"/>
  <c r="I314" i="26"/>
  <c r="I313" i="26"/>
  <c r="I312" i="26"/>
  <c r="I311" i="26"/>
  <c r="I310" i="26"/>
  <c r="I309" i="26"/>
  <c r="I308" i="26"/>
  <c r="I307" i="26"/>
  <c r="I306" i="26"/>
  <c r="I305" i="26"/>
  <c r="I304" i="26"/>
  <c r="I303" i="26"/>
  <c r="I302" i="26"/>
  <c r="I301" i="26"/>
  <c r="I300" i="26"/>
  <c r="I299" i="26"/>
  <c r="I298" i="26"/>
  <c r="I297" i="26"/>
  <c r="I296" i="26"/>
  <c r="I295" i="26"/>
  <c r="I294" i="26"/>
  <c r="I293" i="26"/>
  <c r="I292" i="26"/>
  <c r="I291" i="26"/>
  <c r="I290" i="26"/>
  <c r="I289" i="26"/>
  <c r="I288" i="26"/>
  <c r="I287" i="26"/>
  <c r="I286" i="26"/>
  <c r="I285" i="26"/>
  <c r="I284" i="26"/>
  <c r="I283" i="26"/>
  <c r="I282" i="26"/>
  <c r="I281" i="26"/>
  <c r="I280" i="26"/>
  <c r="I279" i="26"/>
  <c r="I278" i="26"/>
  <c r="I277" i="26"/>
  <c r="I276" i="26"/>
  <c r="I275" i="26"/>
  <c r="I274" i="26"/>
  <c r="I273" i="26"/>
  <c r="I272" i="26"/>
  <c r="I271" i="26"/>
  <c r="I270" i="26"/>
  <c r="I269" i="26"/>
  <c r="I268" i="26"/>
  <c r="I267" i="26"/>
  <c r="I266" i="26"/>
  <c r="I265" i="26"/>
  <c r="I264" i="26"/>
  <c r="I263" i="26"/>
  <c r="I262" i="26"/>
  <c r="I261" i="26"/>
  <c r="I260" i="26"/>
  <c r="I259" i="26"/>
  <c r="I258" i="26"/>
  <c r="I257" i="26"/>
  <c r="I256" i="26"/>
  <c r="I255" i="26"/>
  <c r="I254" i="26"/>
  <c r="I253" i="26"/>
  <c r="I252" i="26"/>
  <c r="I251" i="26"/>
  <c r="I250" i="26"/>
  <c r="I249" i="26"/>
  <c r="I248" i="26"/>
  <c r="I247" i="26"/>
  <c r="I246" i="26"/>
  <c r="I245" i="26"/>
  <c r="I244" i="26"/>
  <c r="I243" i="26"/>
  <c r="I242" i="26"/>
  <c r="I241" i="26"/>
  <c r="I240" i="26"/>
  <c r="I239" i="26"/>
  <c r="I238" i="26"/>
  <c r="I237" i="26"/>
  <c r="I236" i="26"/>
  <c r="I235" i="26"/>
  <c r="I234" i="26"/>
  <c r="I233" i="26"/>
  <c r="I232" i="26"/>
  <c r="I231" i="26"/>
  <c r="I230" i="26"/>
  <c r="I229" i="26"/>
  <c r="I228" i="26"/>
  <c r="I227" i="26"/>
  <c r="I226" i="26"/>
  <c r="I225" i="26"/>
  <c r="I224" i="26"/>
  <c r="I223" i="26"/>
  <c r="I222" i="26"/>
  <c r="I221" i="26"/>
  <c r="I220" i="26"/>
  <c r="I219" i="26"/>
  <c r="I218" i="26"/>
  <c r="I217" i="26"/>
  <c r="I216" i="26"/>
  <c r="I215" i="26"/>
  <c r="I214" i="26"/>
  <c r="I213" i="26"/>
  <c r="I212" i="26"/>
  <c r="I211" i="26"/>
  <c r="I210" i="26"/>
  <c r="I209" i="26"/>
  <c r="I208" i="26"/>
  <c r="I207" i="26"/>
  <c r="I206" i="26"/>
  <c r="I205" i="26"/>
  <c r="I204" i="26"/>
  <c r="I203" i="26"/>
  <c r="I202" i="26"/>
  <c r="I201" i="26"/>
  <c r="I200" i="26"/>
  <c r="I199" i="26"/>
  <c r="I198" i="26"/>
  <c r="I197" i="26"/>
  <c r="I196" i="26"/>
  <c r="I195" i="26"/>
  <c r="I194" i="26"/>
  <c r="I193" i="26"/>
  <c r="I192" i="26"/>
  <c r="I191" i="26"/>
  <c r="I190" i="26"/>
  <c r="I189" i="26"/>
  <c r="I188" i="26"/>
  <c r="I187" i="26"/>
  <c r="I186" i="26"/>
  <c r="I185" i="26"/>
  <c r="I184" i="26"/>
  <c r="I183" i="26"/>
  <c r="I182" i="26"/>
  <c r="I181" i="26"/>
  <c r="I180" i="26"/>
  <c r="I179" i="26"/>
  <c r="I178" i="26"/>
  <c r="I177" i="26"/>
  <c r="I176" i="26"/>
  <c r="I175" i="26"/>
  <c r="I174" i="26"/>
  <c r="I173" i="26"/>
  <c r="I172" i="26"/>
  <c r="I171" i="26"/>
  <c r="I170" i="26"/>
  <c r="I169" i="26"/>
  <c r="I168" i="26"/>
  <c r="I167" i="26"/>
  <c r="I166" i="26"/>
  <c r="I165" i="26"/>
  <c r="I164" i="26"/>
  <c r="I163" i="26"/>
  <c r="I162" i="26"/>
  <c r="I161" i="26"/>
  <c r="I160" i="26"/>
  <c r="I159" i="26"/>
  <c r="I158" i="26"/>
  <c r="I157" i="26"/>
  <c r="I156" i="26"/>
  <c r="I155" i="26"/>
  <c r="I154" i="26"/>
  <c r="I153" i="26"/>
  <c r="I152" i="26"/>
  <c r="I151" i="26"/>
  <c r="I150" i="26"/>
  <c r="I149" i="26"/>
  <c r="I148" i="26"/>
  <c r="I147" i="26"/>
  <c r="I146" i="26"/>
  <c r="I145" i="26"/>
  <c r="I144" i="26"/>
  <c r="I143" i="26"/>
  <c r="I142" i="26"/>
  <c r="I141" i="26"/>
  <c r="I140" i="26"/>
  <c r="I139" i="26"/>
  <c r="I138" i="26"/>
  <c r="I137" i="26"/>
  <c r="I136" i="26"/>
  <c r="I135" i="26"/>
  <c r="I134" i="26"/>
  <c r="I133" i="26"/>
  <c r="I132" i="26"/>
  <c r="I131" i="26"/>
  <c r="I130" i="26"/>
  <c r="I129" i="26"/>
  <c r="I128" i="26"/>
  <c r="I127" i="26"/>
  <c r="I126" i="26"/>
  <c r="I125" i="26"/>
  <c r="I124" i="26"/>
  <c r="I123" i="26"/>
  <c r="I122" i="26"/>
  <c r="I121" i="26"/>
  <c r="I120" i="26"/>
  <c r="I119" i="26"/>
  <c r="I118" i="26"/>
  <c r="I117" i="26"/>
  <c r="I116" i="26"/>
  <c r="I115" i="26"/>
  <c r="I114" i="26"/>
  <c r="I113" i="26"/>
  <c r="I112" i="26"/>
  <c r="I111" i="26"/>
  <c r="I110" i="26"/>
  <c r="I109" i="26"/>
  <c r="I108" i="26"/>
  <c r="I107" i="26"/>
  <c r="I106" i="26"/>
  <c r="I105" i="26"/>
  <c r="I104" i="26"/>
  <c r="I103" i="26"/>
  <c r="I102" i="26"/>
  <c r="I101" i="26"/>
  <c r="I100" i="26"/>
  <c r="I99" i="26"/>
  <c r="I98" i="26"/>
  <c r="I97" i="26"/>
  <c r="I96" i="26"/>
  <c r="I95" i="26"/>
  <c r="I94" i="26"/>
  <c r="I93" i="26"/>
  <c r="I92" i="26"/>
  <c r="I91" i="26"/>
  <c r="I90" i="26"/>
  <c r="I89" i="26"/>
  <c r="I88" i="26"/>
  <c r="I87" i="26"/>
  <c r="I86" i="26"/>
  <c r="I85" i="26"/>
  <c r="I84" i="26"/>
  <c r="I83" i="26"/>
  <c r="I82" i="26"/>
  <c r="I81" i="26"/>
  <c r="I80" i="26"/>
  <c r="I79" i="26"/>
  <c r="I78" i="26"/>
  <c r="I77" i="26"/>
  <c r="I76" i="26"/>
  <c r="I75" i="26"/>
  <c r="I74" i="26"/>
  <c r="I73" i="26"/>
  <c r="I72" i="26"/>
  <c r="I71" i="26"/>
  <c r="I70" i="26"/>
  <c r="I69" i="26"/>
  <c r="I68" i="26"/>
  <c r="I67" i="26"/>
  <c r="I66" i="26"/>
  <c r="I65" i="26"/>
  <c r="I64" i="26"/>
  <c r="I63" i="26"/>
  <c r="I62" i="26"/>
  <c r="I61" i="26"/>
  <c r="I60" i="26"/>
  <c r="I59" i="26"/>
  <c r="I58" i="26"/>
  <c r="I57" i="26"/>
  <c r="I56" i="26"/>
  <c r="I55" i="26"/>
  <c r="I54" i="26"/>
  <c r="I53" i="26"/>
  <c r="I52" i="26"/>
  <c r="I51" i="26"/>
  <c r="I50" i="26"/>
  <c r="I49" i="26"/>
  <c r="I48" i="26"/>
  <c r="I47" i="26"/>
  <c r="I46" i="26"/>
  <c r="I45" i="26"/>
  <c r="I44" i="26"/>
  <c r="I43" i="26"/>
  <c r="I42" i="26"/>
  <c r="I41" i="26"/>
  <c r="I40" i="26"/>
  <c r="I39" i="26"/>
  <c r="I38" i="26"/>
  <c r="I37" i="26"/>
  <c r="I36" i="26"/>
  <c r="I35" i="26"/>
  <c r="I34" i="26"/>
  <c r="I33" i="26"/>
  <c r="I32" i="26"/>
  <c r="I31" i="26"/>
  <c r="I30" i="26"/>
  <c r="I29" i="26"/>
  <c r="I28" i="26"/>
  <c r="I27" i="26"/>
  <c r="I26" i="26"/>
  <c r="I25" i="26"/>
  <c r="I24" i="26"/>
  <c r="I23" i="26"/>
  <c r="I22" i="26"/>
  <c r="I21" i="26"/>
  <c r="I20" i="26"/>
  <c r="I19" i="26"/>
  <c r="I18" i="26"/>
  <c r="I17" i="26"/>
  <c r="I16" i="26"/>
  <c r="I15" i="26"/>
  <c r="I14" i="26"/>
  <c r="I13" i="26"/>
  <c r="I12" i="26"/>
  <c r="I11" i="26"/>
  <c r="I10" i="26"/>
  <c r="I9" i="26"/>
  <c r="I8" i="26"/>
  <c r="I7" i="26"/>
  <c r="I6" i="26"/>
  <c r="I5" i="26"/>
  <c r="I4" i="26"/>
  <c r="I3" i="26"/>
  <c r="I2" i="26"/>
  <c r="Z7" i="50" l="1"/>
  <c r="AB8" i="50"/>
  <c r="AB7" i="50" s="1"/>
  <c r="I1" i="26"/>
  <c r="X7" i="50"/>
  <c r="V7" i="50"/>
  <c r="C336" i="28" l="1"/>
  <c r="C335" i="28"/>
  <c r="C334" i="28"/>
  <c r="C333" i="28"/>
  <c r="C332" i="28"/>
  <c r="C331" i="28"/>
  <c r="C330" i="28"/>
  <c r="C329" i="28"/>
  <c r="C328" i="28"/>
  <c r="C327" i="28"/>
  <c r="C326" i="28"/>
  <c r="C325" i="28"/>
  <c r="C324" i="28"/>
  <c r="C323" i="28"/>
  <c r="C322" i="28"/>
  <c r="C321" i="28"/>
  <c r="C320" i="28"/>
  <c r="C319" i="28"/>
  <c r="C318" i="28"/>
  <c r="C317" i="28"/>
  <c r="C316" i="28"/>
  <c r="C315" i="28"/>
  <c r="C314" i="28"/>
  <c r="C313" i="28"/>
  <c r="C312" i="28"/>
  <c r="C311" i="28"/>
  <c r="C310" i="28"/>
  <c r="C309" i="28"/>
  <c r="C308" i="28"/>
  <c r="C307" i="28"/>
  <c r="C306" i="28"/>
  <c r="C305" i="28"/>
  <c r="C304" i="28"/>
  <c r="C303" i="28"/>
  <c r="C302" i="28"/>
  <c r="C301" i="28"/>
  <c r="C300" i="28"/>
  <c r="C299" i="28"/>
  <c r="C298" i="28"/>
  <c r="C297" i="28"/>
  <c r="C296" i="28"/>
  <c r="C295" i="28"/>
  <c r="C294" i="28"/>
  <c r="C293" i="28"/>
  <c r="C292" i="28"/>
  <c r="C291" i="28"/>
  <c r="C290" i="28"/>
  <c r="C289" i="28"/>
  <c r="C288" i="28"/>
  <c r="C287" i="28"/>
  <c r="C286" i="28"/>
  <c r="C285" i="28"/>
  <c r="C284" i="28"/>
  <c r="C283" i="28"/>
  <c r="C282" i="28"/>
  <c r="C281" i="28"/>
  <c r="C280" i="28"/>
  <c r="C279" i="28"/>
  <c r="C278" i="28"/>
  <c r="C277" i="28"/>
  <c r="C276" i="28"/>
  <c r="C275" i="28"/>
  <c r="C274" i="28"/>
  <c r="C273" i="28"/>
  <c r="C272" i="28"/>
  <c r="C271" i="28"/>
  <c r="C270" i="28"/>
  <c r="C269" i="28"/>
  <c r="C268" i="28"/>
  <c r="C267" i="28"/>
  <c r="C266" i="28"/>
  <c r="C265" i="28"/>
  <c r="C264" i="28"/>
  <c r="C263" i="28"/>
  <c r="C262" i="28"/>
  <c r="C261" i="28"/>
  <c r="C260" i="28"/>
  <c r="C259" i="28"/>
  <c r="C258" i="28"/>
  <c r="C257" i="28"/>
  <c r="C256" i="28"/>
  <c r="C255" i="28"/>
  <c r="C254" i="28"/>
  <c r="C253" i="28"/>
  <c r="C252" i="28"/>
  <c r="C251" i="28"/>
  <c r="C250" i="28"/>
  <c r="C249" i="28"/>
  <c r="C248" i="28"/>
  <c r="C246" i="28"/>
  <c r="C247" i="28"/>
  <c r="C245" i="28"/>
  <c r="C244" i="28"/>
  <c r="C243" i="28"/>
  <c r="C242" i="28"/>
  <c r="C241" i="28"/>
  <c r="C240" i="28"/>
  <c r="C239" i="28"/>
  <c r="C238" i="28"/>
  <c r="C237" i="28"/>
  <c r="C236" i="28"/>
  <c r="C235" i="28"/>
  <c r="C234" i="28"/>
  <c r="C233" i="28"/>
  <c r="C232" i="28"/>
  <c r="C231" i="28"/>
  <c r="C230" i="28"/>
  <c r="C229" i="28"/>
  <c r="C228" i="28"/>
  <c r="C227" i="28"/>
  <c r="C226" i="28"/>
  <c r="C225" i="28"/>
  <c r="C224" i="28"/>
  <c r="C223" i="28"/>
  <c r="C222" i="28"/>
  <c r="C221" i="28"/>
  <c r="C220" i="28"/>
  <c r="C219" i="28"/>
  <c r="C218" i="28"/>
  <c r="C217" i="28"/>
  <c r="C216" i="28"/>
  <c r="C215" i="28"/>
  <c r="C214" i="28"/>
  <c r="C213" i="28"/>
  <c r="C212" i="28"/>
  <c r="C211" i="28"/>
  <c r="C210" i="28"/>
  <c r="C209" i="28"/>
  <c r="C208" i="28"/>
  <c r="C207" i="28"/>
  <c r="C206" i="28"/>
  <c r="C205" i="28"/>
  <c r="C204" i="28"/>
  <c r="C203" i="28"/>
  <c r="C202" i="28"/>
  <c r="C201" i="28"/>
  <c r="C200" i="28"/>
  <c r="C199" i="28"/>
  <c r="C198" i="28"/>
  <c r="C197" i="28"/>
  <c r="C196" i="28"/>
  <c r="C195" i="28"/>
  <c r="C194" i="28"/>
  <c r="C193" i="28"/>
  <c r="C192" i="28"/>
  <c r="C191" i="28"/>
  <c r="C190" i="28"/>
  <c r="C189" i="28"/>
  <c r="C188" i="28"/>
  <c r="C187" i="28"/>
  <c r="C186" i="28"/>
  <c r="C185" i="28"/>
  <c r="C184" i="28"/>
  <c r="C183" i="28"/>
  <c r="C182" i="28"/>
  <c r="C181" i="28"/>
  <c r="C180" i="28"/>
  <c r="C179" i="28"/>
  <c r="C178" i="28"/>
  <c r="C177" i="28"/>
  <c r="C176" i="28"/>
  <c r="C175" i="28"/>
  <c r="C174" i="28"/>
  <c r="C173" i="28"/>
  <c r="C172" i="28"/>
  <c r="C171" i="28"/>
  <c r="C170" i="28"/>
  <c r="C169" i="28"/>
  <c r="C168" i="28"/>
  <c r="C167" i="28"/>
  <c r="C166" i="28"/>
  <c r="C165" i="28"/>
  <c r="C164" i="28"/>
  <c r="C163" i="28"/>
  <c r="C162" i="28"/>
  <c r="C161" i="28"/>
  <c r="C160" i="28"/>
  <c r="C159" i="28"/>
  <c r="C158" i="28"/>
  <c r="C157" i="28"/>
  <c r="C156" i="28"/>
  <c r="C155" i="28"/>
  <c r="C154" i="28"/>
  <c r="C153" i="28"/>
  <c r="C152" i="28"/>
  <c r="C151" i="28"/>
  <c r="C150" i="28"/>
  <c r="C149" i="28"/>
  <c r="C148" i="28"/>
  <c r="C147" i="28"/>
  <c r="C146" i="28"/>
  <c r="C145" i="28"/>
  <c r="C144" i="28"/>
  <c r="C143" i="28"/>
  <c r="C142" i="28"/>
  <c r="C141" i="28"/>
  <c r="C140" i="28"/>
  <c r="C139" i="28"/>
  <c r="C138" i="28"/>
  <c r="C137" i="28"/>
  <c r="C136" i="28"/>
  <c r="C135" i="28"/>
  <c r="C134" i="28"/>
  <c r="C133" i="28"/>
  <c r="C132" i="28"/>
  <c r="C131" i="28"/>
  <c r="C130" i="28"/>
  <c r="C129" i="28"/>
  <c r="C128" i="28"/>
  <c r="C127" i="28"/>
  <c r="C126" i="28"/>
  <c r="C125" i="28"/>
  <c r="C124" i="28"/>
  <c r="C123" i="28"/>
  <c r="C122" i="28"/>
  <c r="C120" i="28"/>
  <c r="C119" i="28"/>
  <c r="C121" i="28"/>
  <c r="C118" i="28"/>
  <c r="C117" i="28"/>
  <c r="C116" i="28"/>
  <c r="C115" i="28"/>
  <c r="C114" i="28"/>
  <c r="C113" i="28"/>
  <c r="C112" i="28"/>
  <c r="C111" i="28"/>
  <c r="C110" i="28"/>
  <c r="C109" i="28"/>
  <c r="C108" i="28"/>
  <c r="C107" i="28"/>
  <c r="C106" i="28"/>
  <c r="C105" i="28"/>
  <c r="C104" i="28"/>
  <c r="C103" i="28"/>
  <c r="C102" i="28"/>
  <c r="C101" i="28"/>
  <c r="C100" i="28"/>
  <c r="C99" i="28"/>
  <c r="C98" i="28"/>
  <c r="C97" i="28"/>
  <c r="C96" i="28"/>
  <c r="C95" i="28"/>
  <c r="C94" i="28"/>
  <c r="C93" i="28"/>
  <c r="C92" i="28"/>
  <c r="C91" i="28"/>
  <c r="C90" i="28"/>
  <c r="C89" i="28"/>
  <c r="C88" i="28"/>
  <c r="C87" i="28"/>
  <c r="C86" i="28"/>
  <c r="C85" i="28"/>
  <c r="C84" i="28"/>
  <c r="C83" i="28"/>
  <c r="C82" i="28"/>
  <c r="C81" i="28"/>
  <c r="C80" i="28"/>
  <c r="C79" i="28"/>
  <c r="C78" i="28"/>
  <c r="C77" i="28"/>
  <c r="C76" i="28"/>
  <c r="C75" i="28"/>
  <c r="C74" i="28"/>
  <c r="C73" i="28"/>
  <c r="C72" i="28"/>
  <c r="C71" i="28"/>
  <c r="C70" i="28"/>
  <c r="C69" i="28"/>
  <c r="C68" i="28"/>
  <c r="C67" i="28"/>
  <c r="C66" i="28"/>
  <c r="C65" i="28"/>
  <c r="C64" i="28"/>
  <c r="C63" i="28"/>
  <c r="C62" i="28"/>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7" i="28"/>
  <c r="AO6" i="28"/>
  <c r="AN6" i="28"/>
  <c r="AJ6" i="28"/>
  <c r="AI6" i="28"/>
  <c r="AE6" i="28"/>
  <c r="AD6" i="28"/>
  <c r="AC6" i="28"/>
  <c r="AB6" i="28"/>
  <c r="AA6" i="28"/>
  <c r="Z6" i="28"/>
  <c r="Y6" i="28"/>
  <c r="X6" i="28"/>
  <c r="W6" i="28"/>
  <c r="V6" i="28"/>
  <c r="U6" i="28"/>
  <c r="T6" i="28"/>
  <c r="S6" i="28"/>
  <c r="R6" i="28"/>
  <c r="Q6" i="28"/>
  <c r="P6" i="28"/>
  <c r="M6" i="28"/>
  <c r="L6" i="28"/>
  <c r="K6" i="28"/>
  <c r="J6" i="28"/>
  <c r="I6" i="28"/>
  <c r="H6" i="28"/>
  <c r="G6" i="28"/>
  <c r="F6" i="28"/>
  <c r="E6" i="28"/>
  <c r="D6" i="28"/>
  <c r="C1" i="28"/>
  <c r="D1" i="28" s="1"/>
  <c r="E1" i="28" s="1"/>
  <c r="F1" i="28" s="1"/>
  <c r="G1" i="28" s="1"/>
  <c r="H1" i="28" s="1"/>
  <c r="I1" i="28" s="1"/>
  <c r="J1" i="28" s="1"/>
  <c r="K1" i="28" s="1"/>
  <c r="L1" i="28" s="1"/>
  <c r="M1" i="28" s="1"/>
  <c r="N1" i="28" s="1"/>
  <c r="O1" i="28" s="1"/>
  <c r="P1" i="28" s="1"/>
  <c r="Q1" i="28" s="1"/>
  <c r="R1" i="28" s="1"/>
  <c r="S1" i="28" s="1"/>
  <c r="T1" i="28" s="1"/>
  <c r="U1" i="28" s="1"/>
  <c r="V1" i="28" s="1"/>
  <c r="W1" i="28" s="1"/>
  <c r="X1" i="28" s="1"/>
  <c r="Y1" i="28" s="1"/>
  <c r="Z1" i="28" s="1"/>
  <c r="AA1" i="28" s="1"/>
  <c r="AB1" i="28" s="1"/>
  <c r="AC1" i="28" s="1"/>
  <c r="AD1" i="28" s="1"/>
  <c r="AE1" i="28" s="1"/>
  <c r="AF1" i="28" s="1"/>
  <c r="AG1" i="28" s="1"/>
  <c r="AH1" i="28" s="1"/>
  <c r="AI1" i="28" s="1"/>
  <c r="AJ1" i="28" s="1"/>
  <c r="AK1" i="28" s="1"/>
  <c r="AL1" i="28" s="1"/>
  <c r="AM1" i="28" s="1"/>
  <c r="AN1" i="28" s="1"/>
  <c r="AO1" i="28" s="1"/>
  <c r="A4" i="28" l="1"/>
  <c r="AG6" i="28"/>
  <c r="AF6" i="28"/>
  <c r="AL6" i="28"/>
  <c r="AK6" i="28"/>
  <c r="A337" i="28"/>
  <c r="E10" i="56"/>
  <c r="E14" i="56" s="1"/>
  <c r="E19" i="56" s="1"/>
  <c r="D10" i="56"/>
  <c r="D14" i="56" s="1"/>
  <c r="C10" i="56"/>
  <c r="C14" i="56" s="1"/>
  <c r="C19" i="56" s="1"/>
  <c r="C21" i="56" s="1"/>
  <c r="F11" i="56"/>
  <c r="F12" i="56"/>
  <c r="B14" i="56"/>
  <c r="B19" i="56" s="1"/>
  <c r="F6" i="56"/>
  <c r="S7" i="50"/>
  <c r="O7" i="50"/>
  <c r="R337" i="50"/>
  <c r="R336" i="50"/>
  <c r="R335" i="50"/>
  <c r="R334" i="50"/>
  <c r="R333" i="50"/>
  <c r="R332" i="50"/>
  <c r="R331" i="50"/>
  <c r="R330" i="50"/>
  <c r="R329" i="50"/>
  <c r="R328" i="50"/>
  <c r="R327" i="50"/>
  <c r="R326" i="50"/>
  <c r="R325" i="50"/>
  <c r="R324" i="50"/>
  <c r="R323" i="50"/>
  <c r="R322" i="50"/>
  <c r="R321" i="50"/>
  <c r="R320" i="50"/>
  <c r="R319" i="50"/>
  <c r="R318" i="50"/>
  <c r="R317" i="50"/>
  <c r="R316" i="50"/>
  <c r="R315" i="50"/>
  <c r="R314" i="50"/>
  <c r="R313" i="50"/>
  <c r="R312" i="50"/>
  <c r="R311" i="50"/>
  <c r="R310" i="50"/>
  <c r="R309" i="50"/>
  <c r="R308" i="50"/>
  <c r="R307" i="50"/>
  <c r="R306" i="50"/>
  <c r="R305" i="50"/>
  <c r="R304" i="50"/>
  <c r="R303" i="50"/>
  <c r="R302" i="50"/>
  <c r="R301" i="50"/>
  <c r="R300" i="50"/>
  <c r="R299" i="50"/>
  <c r="R298" i="50"/>
  <c r="R297" i="50"/>
  <c r="R296" i="50"/>
  <c r="R295" i="50"/>
  <c r="R294" i="50"/>
  <c r="R293" i="50"/>
  <c r="R292" i="50"/>
  <c r="R291" i="50"/>
  <c r="R290" i="50"/>
  <c r="R289" i="50"/>
  <c r="R288" i="50"/>
  <c r="R287" i="50"/>
  <c r="R286" i="50"/>
  <c r="R285" i="50"/>
  <c r="R284" i="50"/>
  <c r="R283" i="50"/>
  <c r="R282" i="50"/>
  <c r="R281" i="50"/>
  <c r="R280" i="50"/>
  <c r="R279" i="50"/>
  <c r="R278" i="50"/>
  <c r="R277" i="50"/>
  <c r="R276" i="50"/>
  <c r="R275" i="50"/>
  <c r="R274" i="50"/>
  <c r="R273" i="50"/>
  <c r="R272" i="50"/>
  <c r="R271" i="50"/>
  <c r="R270" i="50"/>
  <c r="R269" i="50"/>
  <c r="R268" i="50"/>
  <c r="R267" i="50"/>
  <c r="R266" i="50"/>
  <c r="R265" i="50"/>
  <c r="R264" i="50"/>
  <c r="R263" i="50"/>
  <c r="R262" i="50"/>
  <c r="R261" i="50"/>
  <c r="R260" i="50"/>
  <c r="R259" i="50"/>
  <c r="R258" i="50"/>
  <c r="R257" i="50"/>
  <c r="R256" i="50"/>
  <c r="R255" i="50"/>
  <c r="R254" i="50"/>
  <c r="R253" i="50"/>
  <c r="R252" i="50"/>
  <c r="R251" i="50"/>
  <c r="R250" i="50"/>
  <c r="R249" i="50"/>
  <c r="R247" i="50"/>
  <c r="R246" i="50"/>
  <c r="R245" i="50"/>
  <c r="R244" i="50"/>
  <c r="R243" i="50"/>
  <c r="R242" i="50"/>
  <c r="R241" i="50"/>
  <c r="R240" i="50"/>
  <c r="R239" i="50"/>
  <c r="R238" i="50"/>
  <c r="R237" i="50"/>
  <c r="R236" i="50"/>
  <c r="R235" i="50"/>
  <c r="R234" i="50"/>
  <c r="R233" i="50"/>
  <c r="R232" i="50"/>
  <c r="R231" i="50"/>
  <c r="R230" i="50"/>
  <c r="R229" i="50"/>
  <c r="R228" i="50"/>
  <c r="R227" i="50"/>
  <c r="R226" i="50"/>
  <c r="R225" i="50"/>
  <c r="R224" i="50"/>
  <c r="R223" i="50"/>
  <c r="R222" i="50"/>
  <c r="R221" i="50"/>
  <c r="R220" i="50"/>
  <c r="R219" i="50"/>
  <c r="R218" i="50"/>
  <c r="R217" i="50"/>
  <c r="R216" i="50"/>
  <c r="R215" i="50"/>
  <c r="R214" i="50"/>
  <c r="R213" i="50"/>
  <c r="R211" i="50"/>
  <c r="R210" i="50"/>
  <c r="R209" i="50"/>
  <c r="R208" i="50"/>
  <c r="R207" i="50"/>
  <c r="R206" i="50"/>
  <c r="R205" i="50"/>
  <c r="R204" i="50"/>
  <c r="R203" i="50"/>
  <c r="R202" i="50"/>
  <c r="R201" i="50"/>
  <c r="R200" i="50"/>
  <c r="R199" i="50"/>
  <c r="R198" i="50"/>
  <c r="R197" i="50"/>
  <c r="R196" i="50"/>
  <c r="R195" i="50"/>
  <c r="R194" i="50"/>
  <c r="R193" i="50"/>
  <c r="R192" i="50"/>
  <c r="R191" i="50"/>
  <c r="R190" i="50"/>
  <c r="R189" i="50"/>
  <c r="R188" i="50"/>
  <c r="R187" i="50"/>
  <c r="R186" i="50"/>
  <c r="R185" i="50"/>
  <c r="R184" i="50"/>
  <c r="R183" i="50"/>
  <c r="R182" i="50"/>
  <c r="R181" i="50"/>
  <c r="R180" i="50"/>
  <c r="R179" i="50"/>
  <c r="R178" i="50"/>
  <c r="R177" i="50"/>
  <c r="R176" i="50"/>
  <c r="R175" i="50"/>
  <c r="R174" i="50"/>
  <c r="R173" i="50"/>
  <c r="R172" i="50"/>
  <c r="R171" i="50"/>
  <c r="R170" i="50"/>
  <c r="R169" i="50"/>
  <c r="R168" i="50"/>
  <c r="R167" i="50"/>
  <c r="R166" i="50"/>
  <c r="R165" i="50"/>
  <c r="R164" i="50"/>
  <c r="R163" i="50"/>
  <c r="R162" i="50"/>
  <c r="R161" i="50"/>
  <c r="R160" i="50"/>
  <c r="R159" i="50"/>
  <c r="R158" i="50"/>
  <c r="R157" i="50"/>
  <c r="R156" i="50"/>
  <c r="R155" i="50"/>
  <c r="R154" i="50"/>
  <c r="R153" i="50"/>
  <c r="R152" i="50"/>
  <c r="R151" i="50"/>
  <c r="R150" i="50"/>
  <c r="R149" i="50"/>
  <c r="R148" i="50"/>
  <c r="R147" i="50"/>
  <c r="R146" i="50"/>
  <c r="R145" i="50"/>
  <c r="R144" i="50"/>
  <c r="R143" i="50"/>
  <c r="R142" i="50"/>
  <c r="R141" i="50"/>
  <c r="R140" i="50"/>
  <c r="R139" i="50"/>
  <c r="R138" i="50"/>
  <c r="R137" i="50"/>
  <c r="R136" i="50"/>
  <c r="R135" i="50"/>
  <c r="R134" i="50"/>
  <c r="R133" i="50"/>
  <c r="R132" i="50"/>
  <c r="R131" i="50"/>
  <c r="R130" i="50"/>
  <c r="R129" i="50"/>
  <c r="R128" i="50"/>
  <c r="R127" i="50"/>
  <c r="R126" i="50"/>
  <c r="R125" i="50"/>
  <c r="R124" i="50"/>
  <c r="R123" i="50"/>
  <c r="R121" i="50"/>
  <c r="R120" i="50"/>
  <c r="R122" i="50"/>
  <c r="R118" i="50"/>
  <c r="R117" i="50"/>
  <c r="R116" i="50"/>
  <c r="R115" i="50"/>
  <c r="R114" i="50"/>
  <c r="R113" i="50"/>
  <c r="R112" i="50"/>
  <c r="R111" i="50"/>
  <c r="R110" i="50"/>
  <c r="R109" i="50"/>
  <c r="R108" i="50"/>
  <c r="R107" i="50"/>
  <c r="R106" i="50"/>
  <c r="R105" i="50"/>
  <c r="R104" i="50"/>
  <c r="R103" i="50"/>
  <c r="R102" i="50"/>
  <c r="R101" i="50"/>
  <c r="R100" i="50"/>
  <c r="R99" i="50"/>
  <c r="R98" i="50"/>
  <c r="R97" i="50"/>
  <c r="R96" i="50"/>
  <c r="R95" i="50"/>
  <c r="R94" i="50"/>
  <c r="R93" i="50"/>
  <c r="R92" i="50"/>
  <c r="R91" i="50"/>
  <c r="R90" i="50"/>
  <c r="R89" i="50"/>
  <c r="R88" i="50"/>
  <c r="R87" i="50"/>
  <c r="R86" i="50"/>
  <c r="R85" i="50"/>
  <c r="R84" i="50"/>
  <c r="R83" i="50"/>
  <c r="R82" i="50"/>
  <c r="R81" i="50"/>
  <c r="R80" i="50"/>
  <c r="R79" i="50"/>
  <c r="R78" i="50"/>
  <c r="R77" i="50"/>
  <c r="R76" i="50"/>
  <c r="R75" i="50"/>
  <c r="R74" i="50"/>
  <c r="R73" i="50"/>
  <c r="R72" i="50"/>
  <c r="R71" i="50"/>
  <c r="R70" i="50"/>
  <c r="R69" i="50"/>
  <c r="R68" i="50"/>
  <c r="R67" i="50"/>
  <c r="R66" i="50"/>
  <c r="R65" i="50"/>
  <c r="R64" i="50"/>
  <c r="R63" i="50"/>
  <c r="R62" i="50"/>
  <c r="R61" i="50"/>
  <c r="R60" i="50"/>
  <c r="R59" i="50"/>
  <c r="R58" i="50"/>
  <c r="R57" i="50"/>
  <c r="R56" i="50"/>
  <c r="R55" i="50"/>
  <c r="R54" i="50"/>
  <c r="R53" i="50"/>
  <c r="R52" i="50"/>
  <c r="R51" i="50"/>
  <c r="R50" i="50"/>
  <c r="R49" i="50"/>
  <c r="R48" i="50"/>
  <c r="R47" i="50"/>
  <c r="R46" i="50"/>
  <c r="R45" i="50"/>
  <c r="R44" i="50"/>
  <c r="R43" i="50"/>
  <c r="R42" i="50"/>
  <c r="R41" i="50"/>
  <c r="R40" i="50"/>
  <c r="R39" i="50"/>
  <c r="R38" i="50"/>
  <c r="R37" i="50"/>
  <c r="R36" i="50"/>
  <c r="R35" i="50"/>
  <c r="R34" i="50"/>
  <c r="R33" i="50"/>
  <c r="R32" i="50"/>
  <c r="R31" i="50"/>
  <c r="R30" i="50"/>
  <c r="R29" i="50"/>
  <c r="R28" i="50"/>
  <c r="R27" i="50"/>
  <c r="R26" i="50"/>
  <c r="R25" i="50"/>
  <c r="R24" i="50"/>
  <c r="R23" i="50"/>
  <c r="R22" i="50"/>
  <c r="R21" i="50"/>
  <c r="R20" i="50"/>
  <c r="R19" i="50"/>
  <c r="R18" i="50"/>
  <c r="R17" i="50"/>
  <c r="R16" i="50"/>
  <c r="R15" i="50"/>
  <c r="R14" i="50"/>
  <c r="R13" i="50"/>
  <c r="R12" i="50"/>
  <c r="R11" i="50"/>
  <c r="R10" i="50"/>
  <c r="R9" i="50"/>
  <c r="R8" i="50"/>
  <c r="N337" i="50"/>
  <c r="J337" i="50"/>
  <c r="F337" i="50"/>
  <c r="N336" i="50"/>
  <c r="J336" i="50"/>
  <c r="F336" i="50"/>
  <c r="N335" i="50"/>
  <c r="J335" i="50"/>
  <c r="F335" i="50"/>
  <c r="N334" i="50"/>
  <c r="J334" i="50"/>
  <c r="F334" i="50"/>
  <c r="N333" i="50"/>
  <c r="J333" i="50"/>
  <c r="F333" i="50"/>
  <c r="N332" i="50"/>
  <c r="J332" i="50"/>
  <c r="F332" i="50"/>
  <c r="N331" i="50"/>
  <c r="J331" i="50"/>
  <c r="F331" i="50"/>
  <c r="N330" i="50"/>
  <c r="J330" i="50"/>
  <c r="F330" i="50"/>
  <c r="N329" i="50"/>
  <c r="J329" i="50"/>
  <c r="F329" i="50"/>
  <c r="N328" i="50"/>
  <c r="J328" i="50"/>
  <c r="F328" i="50"/>
  <c r="N327" i="50"/>
  <c r="J327" i="50"/>
  <c r="F327" i="50"/>
  <c r="N326" i="50"/>
  <c r="N325" i="50"/>
  <c r="J325" i="50"/>
  <c r="F325" i="50"/>
  <c r="N324" i="50"/>
  <c r="J324" i="50"/>
  <c r="F324" i="50"/>
  <c r="N323" i="50"/>
  <c r="J323" i="50"/>
  <c r="F323" i="50"/>
  <c r="N322" i="50"/>
  <c r="N321" i="50"/>
  <c r="J321" i="50"/>
  <c r="F321" i="50"/>
  <c r="N320" i="50"/>
  <c r="J320" i="50"/>
  <c r="F320" i="50"/>
  <c r="N319" i="50"/>
  <c r="J319" i="50"/>
  <c r="F319" i="50"/>
  <c r="N318" i="50"/>
  <c r="J318" i="50"/>
  <c r="F318" i="50"/>
  <c r="N317" i="50"/>
  <c r="J317" i="50"/>
  <c r="F317" i="50"/>
  <c r="N316" i="50"/>
  <c r="J316" i="50"/>
  <c r="F316" i="50"/>
  <c r="N315" i="50"/>
  <c r="J315" i="50"/>
  <c r="F315" i="50"/>
  <c r="N314" i="50"/>
  <c r="J314" i="50"/>
  <c r="F314" i="50"/>
  <c r="N313" i="50"/>
  <c r="J313" i="50"/>
  <c r="F313" i="50"/>
  <c r="N312" i="50"/>
  <c r="J312" i="50"/>
  <c r="F312" i="50"/>
  <c r="N311" i="50"/>
  <c r="J311" i="50"/>
  <c r="F311" i="50"/>
  <c r="N310" i="50"/>
  <c r="J310" i="50"/>
  <c r="F310" i="50"/>
  <c r="N309" i="50"/>
  <c r="J309" i="50"/>
  <c r="F309" i="50"/>
  <c r="N308" i="50"/>
  <c r="J308" i="50"/>
  <c r="F308" i="50"/>
  <c r="N307" i="50"/>
  <c r="J307" i="50"/>
  <c r="F307" i="50"/>
  <c r="N306" i="50"/>
  <c r="J306" i="50"/>
  <c r="F306" i="50"/>
  <c r="N305" i="50"/>
  <c r="J305" i="50"/>
  <c r="F305" i="50"/>
  <c r="N304" i="50"/>
  <c r="J304" i="50"/>
  <c r="F304" i="50"/>
  <c r="N303" i="50"/>
  <c r="J303" i="50"/>
  <c r="F303" i="50"/>
  <c r="N302" i="50"/>
  <c r="J302" i="50"/>
  <c r="F302" i="50"/>
  <c r="N301" i="50"/>
  <c r="J301" i="50"/>
  <c r="F301" i="50"/>
  <c r="N300" i="50"/>
  <c r="J300" i="50"/>
  <c r="F300" i="50"/>
  <c r="N299" i="50"/>
  <c r="J299" i="50"/>
  <c r="F299" i="50"/>
  <c r="N298" i="50"/>
  <c r="J298" i="50"/>
  <c r="F298" i="50"/>
  <c r="N297" i="50"/>
  <c r="J297" i="50"/>
  <c r="F297" i="50"/>
  <c r="N296" i="50"/>
  <c r="J296" i="50"/>
  <c r="F296" i="50"/>
  <c r="N295" i="50"/>
  <c r="J295" i="50"/>
  <c r="F295" i="50"/>
  <c r="N294" i="50"/>
  <c r="J294" i="50"/>
  <c r="F294" i="50"/>
  <c r="N293" i="50"/>
  <c r="J293" i="50"/>
  <c r="F293" i="50"/>
  <c r="N292" i="50"/>
  <c r="J292" i="50"/>
  <c r="F292" i="50"/>
  <c r="N291" i="50"/>
  <c r="J291" i="50"/>
  <c r="F291" i="50"/>
  <c r="N290" i="50"/>
  <c r="J290" i="50"/>
  <c r="F290" i="50"/>
  <c r="N289" i="50"/>
  <c r="J289" i="50"/>
  <c r="F289" i="50"/>
  <c r="N288" i="50"/>
  <c r="J288" i="50"/>
  <c r="F288" i="50"/>
  <c r="N287" i="50"/>
  <c r="J287" i="50"/>
  <c r="F287" i="50"/>
  <c r="N286" i="50"/>
  <c r="J286" i="50"/>
  <c r="F286" i="50"/>
  <c r="N285" i="50"/>
  <c r="J285" i="50"/>
  <c r="F285" i="50"/>
  <c r="N284" i="50"/>
  <c r="J284" i="50"/>
  <c r="F284" i="50"/>
  <c r="N283" i="50"/>
  <c r="J283" i="50"/>
  <c r="F283" i="50"/>
  <c r="N282" i="50"/>
  <c r="J282" i="50"/>
  <c r="F282" i="50"/>
  <c r="N281" i="50"/>
  <c r="J281" i="50"/>
  <c r="F281" i="50"/>
  <c r="N280" i="50"/>
  <c r="J280" i="50"/>
  <c r="F280" i="50"/>
  <c r="N279" i="50"/>
  <c r="J279" i="50"/>
  <c r="F279" i="50"/>
  <c r="N278" i="50"/>
  <c r="J278" i="50"/>
  <c r="F278" i="50"/>
  <c r="N277" i="50"/>
  <c r="J277" i="50"/>
  <c r="F277" i="50"/>
  <c r="N276" i="50"/>
  <c r="J276" i="50"/>
  <c r="F276" i="50"/>
  <c r="N275" i="50"/>
  <c r="J275" i="50"/>
  <c r="F275" i="50"/>
  <c r="N274" i="50"/>
  <c r="J274" i="50"/>
  <c r="F274" i="50"/>
  <c r="N273" i="50"/>
  <c r="J273" i="50"/>
  <c r="F273" i="50"/>
  <c r="N272" i="50"/>
  <c r="J272" i="50"/>
  <c r="F272" i="50"/>
  <c r="N271" i="50"/>
  <c r="J271" i="50"/>
  <c r="F271" i="50"/>
  <c r="N270" i="50"/>
  <c r="J270" i="50"/>
  <c r="F270" i="50"/>
  <c r="N269" i="50"/>
  <c r="J269" i="50"/>
  <c r="F269" i="50"/>
  <c r="N268" i="50"/>
  <c r="J268" i="50"/>
  <c r="F268" i="50"/>
  <c r="N267" i="50"/>
  <c r="J267" i="50"/>
  <c r="F267" i="50"/>
  <c r="N266" i="50"/>
  <c r="J266" i="50"/>
  <c r="F266" i="50"/>
  <c r="N265" i="50"/>
  <c r="J265" i="50"/>
  <c r="F265" i="50"/>
  <c r="N264" i="50"/>
  <c r="J264" i="50"/>
  <c r="F264" i="50"/>
  <c r="N263" i="50"/>
  <c r="J263" i="50"/>
  <c r="F263" i="50"/>
  <c r="N262" i="50"/>
  <c r="J262" i="50"/>
  <c r="F262" i="50"/>
  <c r="N261" i="50"/>
  <c r="J261" i="50"/>
  <c r="F261" i="50"/>
  <c r="N260" i="50"/>
  <c r="J260" i="50"/>
  <c r="F260" i="50"/>
  <c r="N259" i="50"/>
  <c r="J259" i="50"/>
  <c r="F259" i="50"/>
  <c r="N258" i="50"/>
  <c r="J258" i="50"/>
  <c r="F258" i="50"/>
  <c r="N257" i="50"/>
  <c r="J257" i="50"/>
  <c r="F257" i="50"/>
  <c r="N256" i="50"/>
  <c r="J256" i="50"/>
  <c r="F256" i="50"/>
  <c r="N255" i="50"/>
  <c r="J255" i="50"/>
  <c r="F255" i="50"/>
  <c r="N254" i="50"/>
  <c r="J254" i="50"/>
  <c r="F254" i="50"/>
  <c r="N253" i="50"/>
  <c r="J253" i="50"/>
  <c r="F253" i="50"/>
  <c r="N252" i="50"/>
  <c r="J252" i="50"/>
  <c r="F252" i="50"/>
  <c r="N251" i="50"/>
  <c r="J251" i="50"/>
  <c r="F251" i="50"/>
  <c r="N250" i="50"/>
  <c r="J250" i="50"/>
  <c r="F250" i="50"/>
  <c r="N249" i="50"/>
  <c r="J249" i="50"/>
  <c r="F249" i="50"/>
  <c r="N247" i="50"/>
  <c r="J247" i="50"/>
  <c r="F247" i="50"/>
  <c r="N246" i="50"/>
  <c r="J246" i="50"/>
  <c r="F246" i="50"/>
  <c r="N245" i="50"/>
  <c r="J245" i="50"/>
  <c r="F245" i="50"/>
  <c r="N244" i="50"/>
  <c r="J244" i="50"/>
  <c r="F244" i="50"/>
  <c r="N243" i="50"/>
  <c r="J243" i="50"/>
  <c r="F243" i="50"/>
  <c r="N242" i="50"/>
  <c r="J242" i="50"/>
  <c r="F242" i="50"/>
  <c r="N241" i="50"/>
  <c r="J241" i="50"/>
  <c r="F241" i="50"/>
  <c r="N240" i="50"/>
  <c r="J240" i="50"/>
  <c r="F240" i="50"/>
  <c r="N239" i="50"/>
  <c r="J239" i="50"/>
  <c r="F239" i="50"/>
  <c r="N238" i="50"/>
  <c r="J238" i="50"/>
  <c r="F238" i="50"/>
  <c r="N237" i="50"/>
  <c r="J237" i="50"/>
  <c r="F237" i="50"/>
  <c r="N236" i="50"/>
  <c r="J236" i="50"/>
  <c r="F236" i="50"/>
  <c r="N235" i="50"/>
  <c r="J235" i="50"/>
  <c r="F235" i="50"/>
  <c r="N234" i="50"/>
  <c r="J234" i="50"/>
  <c r="F234" i="50"/>
  <c r="N233" i="50"/>
  <c r="J233" i="50"/>
  <c r="F233" i="50"/>
  <c r="N232" i="50"/>
  <c r="J232" i="50"/>
  <c r="F232" i="50"/>
  <c r="N231" i="50"/>
  <c r="J231" i="50"/>
  <c r="F231" i="50"/>
  <c r="N230" i="50"/>
  <c r="J230" i="50"/>
  <c r="F230" i="50"/>
  <c r="N229" i="50"/>
  <c r="J229" i="50"/>
  <c r="F229" i="50"/>
  <c r="N228" i="50"/>
  <c r="J228" i="50"/>
  <c r="F228" i="50"/>
  <c r="N227" i="50"/>
  <c r="J227" i="50"/>
  <c r="F227" i="50"/>
  <c r="N226" i="50"/>
  <c r="J226" i="50"/>
  <c r="F226" i="50"/>
  <c r="N225" i="50"/>
  <c r="J225" i="50"/>
  <c r="F225" i="50"/>
  <c r="N224" i="50"/>
  <c r="J224" i="50"/>
  <c r="F224" i="50"/>
  <c r="N223" i="50"/>
  <c r="J223" i="50"/>
  <c r="F223" i="50"/>
  <c r="N222" i="50"/>
  <c r="J222" i="50"/>
  <c r="F222" i="50"/>
  <c r="N221" i="50"/>
  <c r="J221" i="50"/>
  <c r="F221" i="50"/>
  <c r="N220" i="50"/>
  <c r="J220" i="50"/>
  <c r="F220" i="50"/>
  <c r="N219" i="50"/>
  <c r="J219" i="50"/>
  <c r="F219" i="50"/>
  <c r="N218" i="50"/>
  <c r="N217" i="50"/>
  <c r="J217" i="50"/>
  <c r="F217" i="50"/>
  <c r="N216" i="50"/>
  <c r="J216" i="50"/>
  <c r="F216" i="50"/>
  <c r="N215" i="50"/>
  <c r="J215" i="50"/>
  <c r="F215" i="50"/>
  <c r="N214" i="50"/>
  <c r="J214" i="50"/>
  <c r="F214" i="50"/>
  <c r="N213" i="50"/>
  <c r="J213" i="50"/>
  <c r="F213" i="50"/>
  <c r="N211" i="50"/>
  <c r="J211" i="50"/>
  <c r="F211" i="50"/>
  <c r="N210" i="50"/>
  <c r="J210" i="50"/>
  <c r="F210" i="50"/>
  <c r="N209" i="50"/>
  <c r="J209" i="50"/>
  <c r="F209" i="50"/>
  <c r="N208" i="50"/>
  <c r="J208" i="50"/>
  <c r="F208" i="50"/>
  <c r="N207" i="50"/>
  <c r="J207" i="50"/>
  <c r="F207" i="50"/>
  <c r="N206" i="50"/>
  <c r="J206" i="50"/>
  <c r="F206" i="50"/>
  <c r="N205" i="50"/>
  <c r="J205" i="50"/>
  <c r="F205" i="50"/>
  <c r="N204" i="50"/>
  <c r="J204" i="50"/>
  <c r="F204" i="50"/>
  <c r="N203" i="50"/>
  <c r="J203" i="50"/>
  <c r="F203" i="50"/>
  <c r="N202" i="50"/>
  <c r="J202" i="50"/>
  <c r="F202" i="50"/>
  <c r="N201" i="50"/>
  <c r="J201" i="50"/>
  <c r="F201" i="50"/>
  <c r="N200" i="50"/>
  <c r="J200" i="50"/>
  <c r="F200" i="50"/>
  <c r="N199" i="50"/>
  <c r="J199" i="50"/>
  <c r="F199" i="50"/>
  <c r="N198" i="50"/>
  <c r="J198" i="50"/>
  <c r="F198" i="50"/>
  <c r="N197" i="50"/>
  <c r="J197" i="50"/>
  <c r="F197" i="50"/>
  <c r="N196" i="50"/>
  <c r="J196" i="50"/>
  <c r="F196" i="50"/>
  <c r="N195" i="50"/>
  <c r="J195" i="50"/>
  <c r="F195" i="50"/>
  <c r="N194" i="50"/>
  <c r="J194" i="50"/>
  <c r="F194" i="50"/>
  <c r="N193" i="50"/>
  <c r="J193" i="50"/>
  <c r="F193" i="50"/>
  <c r="N192" i="50"/>
  <c r="J192" i="50"/>
  <c r="F192" i="50"/>
  <c r="N191" i="50"/>
  <c r="J191" i="50"/>
  <c r="F191" i="50"/>
  <c r="N190" i="50"/>
  <c r="J190" i="50"/>
  <c r="F190" i="50"/>
  <c r="N189" i="50"/>
  <c r="J189" i="50"/>
  <c r="F189" i="50"/>
  <c r="N188" i="50"/>
  <c r="J188" i="50"/>
  <c r="F188" i="50"/>
  <c r="N187" i="50"/>
  <c r="J187" i="50"/>
  <c r="F187" i="50"/>
  <c r="N186" i="50"/>
  <c r="J186" i="50"/>
  <c r="F186" i="50"/>
  <c r="N185" i="50"/>
  <c r="J185" i="50"/>
  <c r="F185" i="50"/>
  <c r="N184" i="50"/>
  <c r="J184" i="50"/>
  <c r="F184" i="50"/>
  <c r="N183" i="50"/>
  <c r="J183" i="50"/>
  <c r="F183" i="50"/>
  <c r="N182" i="50"/>
  <c r="J182" i="50"/>
  <c r="F182" i="50"/>
  <c r="N181" i="50"/>
  <c r="J181" i="50"/>
  <c r="F181" i="50"/>
  <c r="N180" i="50"/>
  <c r="J180" i="50"/>
  <c r="F180" i="50"/>
  <c r="N179" i="50"/>
  <c r="J179" i="50"/>
  <c r="F179" i="50"/>
  <c r="N178" i="50"/>
  <c r="J178" i="50"/>
  <c r="F178" i="50"/>
  <c r="N177" i="50"/>
  <c r="J177" i="50"/>
  <c r="F177" i="50"/>
  <c r="N176" i="50"/>
  <c r="J176" i="50"/>
  <c r="F176" i="50"/>
  <c r="N175" i="50"/>
  <c r="J175" i="50"/>
  <c r="F175" i="50"/>
  <c r="N174" i="50"/>
  <c r="J174" i="50"/>
  <c r="F174" i="50"/>
  <c r="N173" i="50"/>
  <c r="J173" i="50"/>
  <c r="F173" i="50"/>
  <c r="N172" i="50"/>
  <c r="J172" i="50"/>
  <c r="F172" i="50"/>
  <c r="N171" i="50"/>
  <c r="J171" i="50"/>
  <c r="F171" i="50"/>
  <c r="N170" i="50"/>
  <c r="J170" i="50"/>
  <c r="F170" i="50"/>
  <c r="N169" i="50"/>
  <c r="J169" i="50"/>
  <c r="F169" i="50"/>
  <c r="N168" i="50"/>
  <c r="J168" i="50"/>
  <c r="F168" i="50"/>
  <c r="N167" i="50"/>
  <c r="J167" i="50"/>
  <c r="F167" i="50"/>
  <c r="N166" i="50"/>
  <c r="J166" i="50"/>
  <c r="F166" i="50"/>
  <c r="N165" i="50"/>
  <c r="J165" i="50"/>
  <c r="F165" i="50"/>
  <c r="N164" i="50"/>
  <c r="J164" i="50"/>
  <c r="F164" i="50"/>
  <c r="N163" i="50"/>
  <c r="J163" i="50"/>
  <c r="F163" i="50"/>
  <c r="N162" i="50"/>
  <c r="J162" i="50"/>
  <c r="F162" i="50"/>
  <c r="N161" i="50"/>
  <c r="J161" i="50"/>
  <c r="F161" i="50"/>
  <c r="N160" i="50"/>
  <c r="J160" i="50"/>
  <c r="F160" i="50"/>
  <c r="N159" i="50"/>
  <c r="J159" i="50"/>
  <c r="F159" i="50"/>
  <c r="N158" i="50"/>
  <c r="J158" i="50"/>
  <c r="F158" i="50"/>
  <c r="N157" i="50"/>
  <c r="J157" i="50"/>
  <c r="F157" i="50"/>
  <c r="N156" i="50"/>
  <c r="J156" i="50"/>
  <c r="F156" i="50"/>
  <c r="N155" i="50"/>
  <c r="J155" i="50"/>
  <c r="F155" i="50"/>
  <c r="N154" i="50"/>
  <c r="J154" i="50"/>
  <c r="F154" i="50"/>
  <c r="N153" i="50"/>
  <c r="J153" i="50"/>
  <c r="F153" i="50"/>
  <c r="N152" i="50"/>
  <c r="J152" i="50"/>
  <c r="F152" i="50"/>
  <c r="N151" i="50"/>
  <c r="J151" i="50"/>
  <c r="F151" i="50"/>
  <c r="N150" i="50"/>
  <c r="J150" i="50"/>
  <c r="F150" i="50"/>
  <c r="N149" i="50"/>
  <c r="J149" i="50"/>
  <c r="F149" i="50"/>
  <c r="N148" i="50"/>
  <c r="J148" i="50"/>
  <c r="F148" i="50"/>
  <c r="N147" i="50"/>
  <c r="J147" i="50"/>
  <c r="F147" i="50"/>
  <c r="N146" i="50"/>
  <c r="J146" i="50"/>
  <c r="F146" i="50"/>
  <c r="N145" i="50"/>
  <c r="J145" i="50"/>
  <c r="F145" i="50"/>
  <c r="N144" i="50"/>
  <c r="J144" i="50"/>
  <c r="F144" i="50"/>
  <c r="N143" i="50"/>
  <c r="J143" i="50"/>
  <c r="F143" i="50"/>
  <c r="N142" i="50"/>
  <c r="J142" i="50"/>
  <c r="F142" i="50"/>
  <c r="N141" i="50"/>
  <c r="J141" i="50"/>
  <c r="F141" i="50"/>
  <c r="N140" i="50"/>
  <c r="J140" i="50"/>
  <c r="F140" i="50"/>
  <c r="N139" i="50"/>
  <c r="J139" i="50"/>
  <c r="F139" i="50"/>
  <c r="N138" i="50"/>
  <c r="J138" i="50"/>
  <c r="F138" i="50"/>
  <c r="N137" i="50"/>
  <c r="J137" i="50"/>
  <c r="F137" i="50"/>
  <c r="N136" i="50"/>
  <c r="J136" i="50"/>
  <c r="F136" i="50"/>
  <c r="N135" i="50"/>
  <c r="J135" i="50"/>
  <c r="F135" i="50"/>
  <c r="N134" i="50"/>
  <c r="J134" i="50"/>
  <c r="F134" i="50"/>
  <c r="N133" i="50"/>
  <c r="J133" i="50"/>
  <c r="F133" i="50"/>
  <c r="N132" i="50"/>
  <c r="J132" i="50"/>
  <c r="F132" i="50"/>
  <c r="N131" i="50"/>
  <c r="J131" i="50"/>
  <c r="F131" i="50"/>
  <c r="N130" i="50"/>
  <c r="J130" i="50"/>
  <c r="F130" i="50"/>
  <c r="N129" i="50"/>
  <c r="J129" i="50"/>
  <c r="F129" i="50"/>
  <c r="N128" i="50"/>
  <c r="J128" i="50"/>
  <c r="F128" i="50"/>
  <c r="N127" i="50"/>
  <c r="J127" i="50"/>
  <c r="F127" i="50"/>
  <c r="N126" i="50"/>
  <c r="J126" i="50"/>
  <c r="F126" i="50"/>
  <c r="N125" i="50"/>
  <c r="J125" i="50"/>
  <c r="F125" i="50"/>
  <c r="N124" i="50"/>
  <c r="J124" i="50"/>
  <c r="F124" i="50"/>
  <c r="N123" i="50"/>
  <c r="J123" i="50"/>
  <c r="F123" i="50"/>
  <c r="N121" i="50"/>
  <c r="J121" i="50"/>
  <c r="F121" i="50"/>
  <c r="N120" i="50"/>
  <c r="J120" i="50"/>
  <c r="F120" i="50"/>
  <c r="N122" i="50"/>
  <c r="N118" i="50"/>
  <c r="J118" i="50"/>
  <c r="F118" i="50"/>
  <c r="N117" i="50"/>
  <c r="J117" i="50"/>
  <c r="F117" i="50"/>
  <c r="N116" i="50"/>
  <c r="J116" i="50"/>
  <c r="F116" i="50"/>
  <c r="N115" i="50"/>
  <c r="J115" i="50"/>
  <c r="F115" i="50"/>
  <c r="N114" i="50"/>
  <c r="J114" i="50"/>
  <c r="F114" i="50"/>
  <c r="N113" i="50"/>
  <c r="J113" i="50"/>
  <c r="F113" i="50"/>
  <c r="N112" i="50"/>
  <c r="J112" i="50"/>
  <c r="F112" i="50"/>
  <c r="N111" i="50"/>
  <c r="J111" i="50"/>
  <c r="F111" i="50"/>
  <c r="N110" i="50"/>
  <c r="J110" i="50"/>
  <c r="F110" i="50"/>
  <c r="N109" i="50"/>
  <c r="J109" i="50"/>
  <c r="F109" i="50"/>
  <c r="N108" i="50"/>
  <c r="J108" i="50"/>
  <c r="F108" i="50"/>
  <c r="N107" i="50"/>
  <c r="J107" i="50"/>
  <c r="F107" i="50"/>
  <c r="N106" i="50"/>
  <c r="J106" i="50"/>
  <c r="F106" i="50"/>
  <c r="N105" i="50"/>
  <c r="J105" i="50"/>
  <c r="F105" i="50"/>
  <c r="N104" i="50"/>
  <c r="J104" i="50"/>
  <c r="F104" i="50"/>
  <c r="N103" i="50"/>
  <c r="J103" i="50"/>
  <c r="F103" i="50"/>
  <c r="N102" i="50"/>
  <c r="J102" i="50"/>
  <c r="F102" i="50"/>
  <c r="N101" i="50"/>
  <c r="J101" i="50"/>
  <c r="F101" i="50"/>
  <c r="N100" i="50"/>
  <c r="J100" i="50"/>
  <c r="F100" i="50"/>
  <c r="N99" i="50"/>
  <c r="J99" i="50"/>
  <c r="F99" i="50"/>
  <c r="N98" i="50"/>
  <c r="J98" i="50"/>
  <c r="F98" i="50"/>
  <c r="N97" i="50"/>
  <c r="J97" i="50"/>
  <c r="F97" i="50"/>
  <c r="N96" i="50"/>
  <c r="J96" i="50"/>
  <c r="F96" i="50"/>
  <c r="N95" i="50"/>
  <c r="J95" i="50"/>
  <c r="F95" i="50"/>
  <c r="N94" i="50"/>
  <c r="J94" i="50"/>
  <c r="F94" i="50"/>
  <c r="N93" i="50"/>
  <c r="J93" i="50"/>
  <c r="F93" i="50"/>
  <c r="N92" i="50"/>
  <c r="J92" i="50"/>
  <c r="F92" i="50"/>
  <c r="N91" i="50"/>
  <c r="N90" i="50"/>
  <c r="N89" i="50"/>
  <c r="N88" i="50"/>
  <c r="N87" i="50"/>
  <c r="J87" i="50"/>
  <c r="F87" i="50"/>
  <c r="N86" i="50"/>
  <c r="J86" i="50"/>
  <c r="F86" i="50"/>
  <c r="N85" i="50"/>
  <c r="J85" i="50"/>
  <c r="F85" i="50"/>
  <c r="N84" i="50"/>
  <c r="J84" i="50"/>
  <c r="F84" i="50"/>
  <c r="N83" i="50"/>
  <c r="J83" i="50"/>
  <c r="F83" i="50"/>
  <c r="N82" i="50"/>
  <c r="J82" i="50"/>
  <c r="F82" i="50"/>
  <c r="N81" i="50"/>
  <c r="J81" i="50"/>
  <c r="F81" i="50"/>
  <c r="N80" i="50"/>
  <c r="J80" i="50"/>
  <c r="F80" i="50"/>
  <c r="N79" i="50"/>
  <c r="J79" i="50"/>
  <c r="F79" i="50"/>
  <c r="N78" i="50"/>
  <c r="J78" i="50"/>
  <c r="F78" i="50"/>
  <c r="N77" i="50"/>
  <c r="J77" i="50"/>
  <c r="F77" i="50"/>
  <c r="N76" i="50"/>
  <c r="J76" i="50"/>
  <c r="F76" i="50"/>
  <c r="N75" i="50"/>
  <c r="J75" i="50"/>
  <c r="F75" i="50"/>
  <c r="N74" i="50"/>
  <c r="J74" i="50"/>
  <c r="F74" i="50"/>
  <c r="N73" i="50"/>
  <c r="J73" i="50"/>
  <c r="F73" i="50"/>
  <c r="N72" i="50"/>
  <c r="J72" i="50"/>
  <c r="F72" i="50"/>
  <c r="N71" i="50"/>
  <c r="J71" i="50"/>
  <c r="F71" i="50"/>
  <c r="N70" i="50"/>
  <c r="J70" i="50"/>
  <c r="F70" i="50"/>
  <c r="N69" i="50"/>
  <c r="J69" i="50"/>
  <c r="F69" i="50"/>
  <c r="N68" i="50"/>
  <c r="J68" i="50"/>
  <c r="F68" i="50"/>
  <c r="N67" i="50"/>
  <c r="J67" i="50"/>
  <c r="F67" i="50"/>
  <c r="N66" i="50"/>
  <c r="J66" i="50"/>
  <c r="F66" i="50"/>
  <c r="N65" i="50"/>
  <c r="J65" i="50"/>
  <c r="F65" i="50"/>
  <c r="N64" i="50"/>
  <c r="J64" i="50"/>
  <c r="F64" i="50"/>
  <c r="N63" i="50"/>
  <c r="J63" i="50"/>
  <c r="F63" i="50"/>
  <c r="N62" i="50"/>
  <c r="J62" i="50"/>
  <c r="F62" i="50"/>
  <c r="N61" i="50"/>
  <c r="J61" i="50"/>
  <c r="F61" i="50"/>
  <c r="N60" i="50"/>
  <c r="J60" i="50"/>
  <c r="F60" i="50"/>
  <c r="N59" i="50"/>
  <c r="J59" i="50"/>
  <c r="F59" i="50"/>
  <c r="N58" i="50"/>
  <c r="J58" i="50"/>
  <c r="F58" i="50"/>
  <c r="N57" i="50"/>
  <c r="J57" i="50"/>
  <c r="F57" i="50"/>
  <c r="N56" i="50"/>
  <c r="J56" i="50"/>
  <c r="F56" i="50"/>
  <c r="N55" i="50"/>
  <c r="J55" i="50"/>
  <c r="F55" i="50"/>
  <c r="N54" i="50"/>
  <c r="J54" i="50"/>
  <c r="F54" i="50"/>
  <c r="N53" i="50"/>
  <c r="J53" i="50"/>
  <c r="F53" i="50"/>
  <c r="N52" i="50"/>
  <c r="J52" i="50"/>
  <c r="F52" i="50"/>
  <c r="N51" i="50"/>
  <c r="J51" i="50"/>
  <c r="F51" i="50"/>
  <c r="N50" i="50"/>
  <c r="J50" i="50"/>
  <c r="F50" i="50"/>
  <c r="N49" i="50"/>
  <c r="J49" i="50"/>
  <c r="F49" i="50"/>
  <c r="N48" i="50"/>
  <c r="J48" i="50"/>
  <c r="F48" i="50"/>
  <c r="N47" i="50"/>
  <c r="J47" i="50"/>
  <c r="F47" i="50"/>
  <c r="N46" i="50"/>
  <c r="J46" i="50"/>
  <c r="F46" i="50"/>
  <c r="N45" i="50"/>
  <c r="J45" i="50"/>
  <c r="F45" i="50"/>
  <c r="N44" i="50"/>
  <c r="J44" i="50"/>
  <c r="F44" i="50"/>
  <c r="N43" i="50"/>
  <c r="J43" i="50"/>
  <c r="F43" i="50"/>
  <c r="N42" i="50"/>
  <c r="J42" i="50"/>
  <c r="F42" i="50"/>
  <c r="N41" i="50"/>
  <c r="J41" i="50"/>
  <c r="F41" i="50"/>
  <c r="N40" i="50"/>
  <c r="J40" i="50"/>
  <c r="F40" i="50"/>
  <c r="N39" i="50"/>
  <c r="J39" i="50"/>
  <c r="F39" i="50"/>
  <c r="N38" i="50"/>
  <c r="J38" i="50"/>
  <c r="F38" i="50"/>
  <c r="N37" i="50"/>
  <c r="J37" i="50"/>
  <c r="F37" i="50"/>
  <c r="N36" i="50"/>
  <c r="J36" i="50"/>
  <c r="F36" i="50"/>
  <c r="N35" i="50"/>
  <c r="J35" i="50"/>
  <c r="F35" i="50"/>
  <c r="N34" i="50"/>
  <c r="J34" i="50"/>
  <c r="F34" i="50"/>
  <c r="N33" i="50"/>
  <c r="J33" i="50"/>
  <c r="F33" i="50"/>
  <c r="N32" i="50"/>
  <c r="J32" i="50"/>
  <c r="F32" i="50"/>
  <c r="N31" i="50"/>
  <c r="J31" i="50"/>
  <c r="F31" i="50"/>
  <c r="N30" i="50"/>
  <c r="J30" i="50"/>
  <c r="F30" i="50"/>
  <c r="N29" i="50"/>
  <c r="J29" i="50"/>
  <c r="F29" i="50"/>
  <c r="N28" i="50"/>
  <c r="J28" i="50"/>
  <c r="F28" i="50"/>
  <c r="N27" i="50"/>
  <c r="J27" i="50"/>
  <c r="F27" i="50"/>
  <c r="N26" i="50"/>
  <c r="J26" i="50"/>
  <c r="F26" i="50"/>
  <c r="N25" i="50"/>
  <c r="J25" i="50"/>
  <c r="F25" i="50"/>
  <c r="N24" i="50"/>
  <c r="J24" i="50"/>
  <c r="F24" i="50"/>
  <c r="N23" i="50"/>
  <c r="J23" i="50"/>
  <c r="F23" i="50"/>
  <c r="N22" i="50"/>
  <c r="J22" i="50"/>
  <c r="F22" i="50"/>
  <c r="N21" i="50"/>
  <c r="J21" i="50"/>
  <c r="F21" i="50"/>
  <c r="N20" i="50"/>
  <c r="J20" i="50"/>
  <c r="F20" i="50"/>
  <c r="N19" i="50"/>
  <c r="J19" i="50"/>
  <c r="F19" i="50"/>
  <c r="N18" i="50"/>
  <c r="J18" i="50"/>
  <c r="F18" i="50"/>
  <c r="N17" i="50"/>
  <c r="J17" i="50"/>
  <c r="F17" i="50"/>
  <c r="N16" i="50"/>
  <c r="J16" i="50"/>
  <c r="F16" i="50"/>
  <c r="N15" i="50"/>
  <c r="J15" i="50"/>
  <c r="F15" i="50"/>
  <c r="N14" i="50"/>
  <c r="J14" i="50"/>
  <c r="F14" i="50"/>
  <c r="N13" i="50"/>
  <c r="J13" i="50"/>
  <c r="F13" i="50"/>
  <c r="N12" i="50"/>
  <c r="J12" i="50"/>
  <c r="F12" i="50"/>
  <c r="N11" i="50"/>
  <c r="J11" i="50"/>
  <c r="F11" i="50"/>
  <c r="N10" i="50"/>
  <c r="J10" i="50"/>
  <c r="F10" i="50"/>
  <c r="N9" i="50"/>
  <c r="J9" i="50"/>
  <c r="F9" i="50"/>
  <c r="N8" i="50"/>
  <c r="P7" i="50" s="1"/>
  <c r="J8" i="50"/>
  <c r="F8" i="50"/>
  <c r="H7" i="50" s="1"/>
  <c r="Q7" i="50"/>
  <c r="M7" i="50"/>
  <c r="L7" i="50"/>
  <c r="K7" i="50"/>
  <c r="I7" i="50"/>
  <c r="G7" i="50"/>
  <c r="E7" i="50"/>
  <c r="T7" i="50" l="1"/>
  <c r="F7" i="50"/>
  <c r="N7" i="50"/>
  <c r="R7" i="50"/>
  <c r="J7" i="50"/>
  <c r="AH6" i="28"/>
  <c r="AM6" i="28"/>
  <c r="F14" i="56"/>
  <c r="F10" i="56"/>
  <c r="B21" i="56"/>
  <c r="F23" i="56" s="1"/>
  <c r="B18" i="24" s="1"/>
  <c r="O18" i="24" s="1"/>
  <c r="E21" i="56"/>
  <c r="D19" i="56"/>
  <c r="D21" i="56" s="1"/>
  <c r="F21" i="56" l="1"/>
  <c r="B37" i="24" l="1"/>
  <c r="N37" i="24"/>
  <c r="B38" i="24"/>
  <c r="N38" i="24"/>
  <c r="O37" i="24" l="1"/>
  <c r="U317" i="26" l="1"/>
  <c r="L317" i="26" s="1"/>
  <c r="U313" i="26"/>
  <c r="L313" i="26" s="1"/>
  <c r="U219" i="26"/>
  <c r="L219" i="26" s="1"/>
  <c r="U210" i="26"/>
  <c r="L210" i="26" s="1"/>
  <c r="U113" i="26"/>
  <c r="L113" i="26" s="1"/>
  <c r="B24" i="1" l="1"/>
  <c r="I1" i="56" l="1"/>
  <c r="AP6" i="28"/>
  <c r="U83" i="26"/>
  <c r="L83" i="26" s="1"/>
  <c r="U80" i="26"/>
  <c r="L80" i="26" s="1"/>
  <c r="U79" i="26"/>
  <c r="L79" i="26" s="1"/>
  <c r="U78" i="26"/>
  <c r="L78" i="26" s="1"/>
  <c r="U77" i="26"/>
  <c r="L77" i="26" s="1"/>
  <c r="U76" i="26"/>
  <c r="L76" i="26" s="1"/>
  <c r="U84" i="26"/>
  <c r="L84" i="26" s="1"/>
  <c r="U85" i="26"/>
  <c r="L85" i="26" s="1"/>
  <c r="U81" i="26"/>
  <c r="L81" i="26" s="1"/>
  <c r="U82" i="26"/>
  <c r="L82" i="26" s="1"/>
  <c r="U29" i="26"/>
  <c r="L29" i="26" s="1"/>
  <c r="U142" i="26"/>
  <c r="L142" i="26" s="1"/>
  <c r="U115" i="26"/>
  <c r="L115" i="26" s="1"/>
  <c r="E10" i="24" l="1"/>
  <c r="U328" i="26" l="1"/>
  <c r="L328" i="26" s="1"/>
  <c r="U327" i="26"/>
  <c r="L327" i="26" s="1"/>
  <c r="U326" i="26"/>
  <c r="L326" i="26" s="1"/>
  <c r="U325" i="26"/>
  <c r="L325" i="26" s="1"/>
  <c r="U324" i="26"/>
  <c r="L324" i="26" s="1"/>
  <c r="U323" i="26"/>
  <c r="L323" i="26" s="1"/>
  <c r="U322" i="26"/>
  <c r="L322" i="26" s="1"/>
  <c r="U321" i="26"/>
  <c r="L321" i="26" s="1"/>
  <c r="U320" i="26"/>
  <c r="L320" i="26" s="1"/>
  <c r="U319" i="26"/>
  <c r="L319" i="26" s="1"/>
  <c r="U318" i="26"/>
  <c r="L318" i="26" s="1"/>
  <c r="U316" i="26"/>
  <c r="L316" i="26" s="1"/>
  <c r="U315" i="26"/>
  <c r="L315" i="26" s="1"/>
  <c r="U314" i="26"/>
  <c r="L314" i="26" s="1"/>
  <c r="U312" i="26"/>
  <c r="L312" i="26" s="1"/>
  <c r="U311" i="26"/>
  <c r="L311" i="26" s="1"/>
  <c r="U310" i="26"/>
  <c r="L310" i="26" s="1"/>
  <c r="U309" i="26"/>
  <c r="L309" i="26" s="1"/>
  <c r="U308" i="26"/>
  <c r="L308" i="26" s="1"/>
  <c r="U307" i="26"/>
  <c r="L307" i="26" s="1"/>
  <c r="U306" i="26"/>
  <c r="L306" i="26" s="1"/>
  <c r="U305" i="26"/>
  <c r="L305" i="26" s="1"/>
  <c r="U304" i="26"/>
  <c r="L304" i="26" s="1"/>
  <c r="U303" i="26"/>
  <c r="L303" i="26" s="1"/>
  <c r="U302" i="26"/>
  <c r="L302" i="26" s="1"/>
  <c r="U301" i="26"/>
  <c r="L301" i="26" s="1"/>
  <c r="U300" i="26"/>
  <c r="L300" i="26" s="1"/>
  <c r="U299" i="26"/>
  <c r="L299" i="26" s="1"/>
  <c r="U298" i="26"/>
  <c r="L298" i="26" s="1"/>
  <c r="U297" i="26"/>
  <c r="L297" i="26" s="1"/>
  <c r="U296" i="26"/>
  <c r="L296" i="26" s="1"/>
  <c r="U295" i="26"/>
  <c r="L295" i="26" s="1"/>
  <c r="U294" i="26"/>
  <c r="L294" i="26" s="1"/>
  <c r="U293" i="26"/>
  <c r="L293" i="26" s="1"/>
  <c r="U292" i="26"/>
  <c r="L292" i="26" s="1"/>
  <c r="U291" i="26"/>
  <c r="L291" i="26" s="1"/>
  <c r="U290" i="26"/>
  <c r="L290" i="26" s="1"/>
  <c r="U289" i="26"/>
  <c r="L289" i="26" s="1"/>
  <c r="U288" i="26"/>
  <c r="L288" i="26" s="1"/>
  <c r="U287" i="26"/>
  <c r="L287" i="26" s="1"/>
  <c r="U286" i="26"/>
  <c r="L286" i="26" s="1"/>
  <c r="U285" i="26"/>
  <c r="L285" i="26" s="1"/>
  <c r="U284" i="26"/>
  <c r="L284" i="26" s="1"/>
  <c r="U283" i="26"/>
  <c r="L283" i="26" s="1"/>
  <c r="U282" i="26"/>
  <c r="L282" i="26" s="1"/>
  <c r="U281" i="26"/>
  <c r="L281" i="26" s="1"/>
  <c r="U280" i="26"/>
  <c r="L280" i="26" s="1"/>
  <c r="U279" i="26"/>
  <c r="L279" i="26" s="1"/>
  <c r="U278" i="26"/>
  <c r="L278" i="26" s="1"/>
  <c r="U277" i="26"/>
  <c r="L277" i="26" s="1"/>
  <c r="U276" i="26"/>
  <c r="L276" i="26" s="1"/>
  <c r="U275" i="26"/>
  <c r="L275" i="26" s="1"/>
  <c r="U274" i="26"/>
  <c r="L274" i="26" s="1"/>
  <c r="U273" i="26"/>
  <c r="L273" i="26" s="1"/>
  <c r="U272" i="26"/>
  <c r="L272" i="26" s="1"/>
  <c r="U271" i="26"/>
  <c r="L271" i="26" s="1"/>
  <c r="U270" i="26"/>
  <c r="L270" i="26" s="1"/>
  <c r="U269" i="26"/>
  <c r="L269" i="26" s="1"/>
  <c r="U268" i="26"/>
  <c r="L268" i="26" s="1"/>
  <c r="U267" i="26"/>
  <c r="L267" i="26" s="1"/>
  <c r="U266" i="26"/>
  <c r="L266" i="26" s="1"/>
  <c r="U265" i="26"/>
  <c r="L265" i="26" s="1"/>
  <c r="U264" i="26"/>
  <c r="L264" i="26" s="1"/>
  <c r="U263" i="26"/>
  <c r="L263" i="26" s="1"/>
  <c r="U262" i="26"/>
  <c r="L262" i="26" s="1"/>
  <c r="U261" i="26"/>
  <c r="L261" i="26" s="1"/>
  <c r="U260" i="26"/>
  <c r="L260" i="26" s="1"/>
  <c r="U259" i="26"/>
  <c r="L259" i="26" s="1"/>
  <c r="U258" i="26"/>
  <c r="L258" i="26" s="1"/>
  <c r="U257" i="26"/>
  <c r="L257" i="26" s="1"/>
  <c r="U256" i="26"/>
  <c r="L256" i="26" s="1"/>
  <c r="U255" i="26"/>
  <c r="L255" i="26" s="1"/>
  <c r="U254" i="26"/>
  <c r="L254" i="26" s="1"/>
  <c r="U253" i="26"/>
  <c r="L253" i="26" s="1"/>
  <c r="U252" i="26"/>
  <c r="L252" i="26" s="1"/>
  <c r="U251" i="26"/>
  <c r="L251" i="26" s="1"/>
  <c r="U250" i="26"/>
  <c r="L250" i="26" s="1"/>
  <c r="U249" i="26"/>
  <c r="L249" i="26" s="1"/>
  <c r="U248" i="26"/>
  <c r="L248" i="26" s="1"/>
  <c r="U247" i="26"/>
  <c r="L247" i="26" s="1"/>
  <c r="U246" i="26"/>
  <c r="L246" i="26" s="1"/>
  <c r="U245" i="26"/>
  <c r="L245" i="26" s="1"/>
  <c r="U244" i="26"/>
  <c r="L244" i="26" s="1"/>
  <c r="U243" i="26"/>
  <c r="L243" i="26" s="1"/>
  <c r="U242" i="26"/>
  <c r="L242" i="26" s="1"/>
  <c r="U241" i="26"/>
  <c r="L241" i="26" s="1"/>
  <c r="U240" i="26"/>
  <c r="L240" i="26" s="1"/>
  <c r="U239" i="26"/>
  <c r="L239" i="26" s="1"/>
  <c r="U238" i="26"/>
  <c r="L238" i="26" s="1"/>
  <c r="U237" i="26"/>
  <c r="L237" i="26" s="1"/>
  <c r="U236" i="26"/>
  <c r="L236" i="26" s="1"/>
  <c r="U235" i="26"/>
  <c r="L235" i="26" s="1"/>
  <c r="U234" i="26"/>
  <c r="L234" i="26" s="1"/>
  <c r="U233" i="26"/>
  <c r="L233" i="26" s="1"/>
  <c r="U232" i="26"/>
  <c r="L232" i="26" s="1"/>
  <c r="U231" i="26"/>
  <c r="L231" i="26" s="1"/>
  <c r="U230" i="26"/>
  <c r="L230" i="26" s="1"/>
  <c r="U229" i="26"/>
  <c r="L229" i="26" s="1"/>
  <c r="U227" i="26"/>
  <c r="L227" i="26" s="1"/>
  <c r="U226" i="26"/>
  <c r="L226" i="26" s="1"/>
  <c r="U225" i="26"/>
  <c r="L225" i="26" s="1"/>
  <c r="U223" i="26"/>
  <c r="L223" i="26" s="1"/>
  <c r="U222" i="26"/>
  <c r="L222" i="26" s="1"/>
  <c r="U221" i="26"/>
  <c r="L221" i="26" s="1"/>
  <c r="U220" i="26"/>
  <c r="L220" i="26" s="1"/>
  <c r="U218" i="26"/>
  <c r="L218" i="26" s="1"/>
  <c r="U217" i="26"/>
  <c r="L217" i="26" s="1"/>
  <c r="U216" i="26"/>
  <c r="L216" i="26" s="1"/>
  <c r="U215" i="26"/>
  <c r="L215" i="26" s="1"/>
  <c r="U214" i="26"/>
  <c r="L214" i="26" s="1"/>
  <c r="U213" i="26"/>
  <c r="L213" i="26" s="1"/>
  <c r="U212" i="26"/>
  <c r="L212" i="26" s="1"/>
  <c r="U211" i="26"/>
  <c r="L211" i="26" s="1"/>
  <c r="U209" i="26"/>
  <c r="L209" i="26" s="1"/>
  <c r="U208" i="26"/>
  <c r="L208" i="26" s="1"/>
  <c r="U207" i="26"/>
  <c r="L207" i="26" s="1"/>
  <c r="U206" i="26"/>
  <c r="L206" i="26" s="1"/>
  <c r="U205" i="26"/>
  <c r="L205" i="26" s="1"/>
  <c r="U204" i="26"/>
  <c r="L204" i="26" s="1"/>
  <c r="U203" i="26"/>
  <c r="L203" i="26" s="1"/>
  <c r="U202" i="26"/>
  <c r="L202" i="26" s="1"/>
  <c r="U201" i="26"/>
  <c r="L201" i="26" s="1"/>
  <c r="U200" i="26"/>
  <c r="L200" i="26" s="1"/>
  <c r="U199" i="26"/>
  <c r="L199" i="26" s="1"/>
  <c r="U198" i="26"/>
  <c r="L198" i="26" s="1"/>
  <c r="U197" i="26"/>
  <c r="L197" i="26" s="1"/>
  <c r="U196" i="26"/>
  <c r="L196" i="26" s="1"/>
  <c r="U195" i="26"/>
  <c r="L195" i="26" s="1"/>
  <c r="U194" i="26"/>
  <c r="L194" i="26" s="1"/>
  <c r="U193" i="26"/>
  <c r="L193" i="26" s="1"/>
  <c r="U192" i="26"/>
  <c r="L192" i="26" s="1"/>
  <c r="U191" i="26"/>
  <c r="L191" i="26" s="1"/>
  <c r="U190" i="26"/>
  <c r="L190" i="26" s="1"/>
  <c r="U189" i="26"/>
  <c r="L189" i="26" s="1"/>
  <c r="U188" i="26"/>
  <c r="L188" i="26" s="1"/>
  <c r="U187" i="26"/>
  <c r="L187" i="26" s="1"/>
  <c r="U186" i="26"/>
  <c r="L186" i="26" s="1"/>
  <c r="U185" i="26"/>
  <c r="L185" i="26" s="1"/>
  <c r="U184" i="26"/>
  <c r="L184" i="26" s="1"/>
  <c r="U183" i="26"/>
  <c r="L183" i="26" s="1"/>
  <c r="U182" i="26"/>
  <c r="L182" i="26" s="1"/>
  <c r="U181" i="26"/>
  <c r="L181" i="26" s="1"/>
  <c r="U180" i="26"/>
  <c r="L180" i="26" s="1"/>
  <c r="U179" i="26"/>
  <c r="L179" i="26" s="1"/>
  <c r="U178" i="26"/>
  <c r="L178" i="26" s="1"/>
  <c r="U177" i="26"/>
  <c r="L177" i="26" s="1"/>
  <c r="U176" i="26"/>
  <c r="L176" i="26" s="1"/>
  <c r="U175" i="26"/>
  <c r="L175" i="26" s="1"/>
  <c r="U174" i="26"/>
  <c r="L174" i="26" s="1"/>
  <c r="U173" i="26"/>
  <c r="L173" i="26" s="1"/>
  <c r="U172" i="26"/>
  <c r="L172" i="26" s="1"/>
  <c r="U171" i="26"/>
  <c r="L171" i="26" s="1"/>
  <c r="U170" i="26"/>
  <c r="L170" i="26" s="1"/>
  <c r="U169" i="26"/>
  <c r="L169" i="26" s="1"/>
  <c r="U168" i="26"/>
  <c r="L168" i="26" s="1"/>
  <c r="U167" i="26"/>
  <c r="L167" i="26" s="1"/>
  <c r="U166" i="26"/>
  <c r="L166" i="26" s="1"/>
  <c r="U165" i="26"/>
  <c r="L165" i="26" s="1"/>
  <c r="U164" i="26"/>
  <c r="L164" i="26" s="1"/>
  <c r="U163" i="26"/>
  <c r="L163" i="26" s="1"/>
  <c r="U162" i="26"/>
  <c r="L162" i="26" s="1"/>
  <c r="U161" i="26"/>
  <c r="L161" i="26" s="1"/>
  <c r="U160" i="26"/>
  <c r="L160" i="26" s="1"/>
  <c r="U159" i="26"/>
  <c r="L159" i="26" s="1"/>
  <c r="U158" i="26"/>
  <c r="L158" i="26" s="1"/>
  <c r="U157" i="26"/>
  <c r="L157" i="26" s="1"/>
  <c r="U156" i="26"/>
  <c r="L156" i="26" s="1"/>
  <c r="U155" i="26"/>
  <c r="L155" i="26" s="1"/>
  <c r="U154" i="26"/>
  <c r="L154" i="26" s="1"/>
  <c r="U153" i="26"/>
  <c r="L153" i="26" s="1"/>
  <c r="U152" i="26"/>
  <c r="L152" i="26" s="1"/>
  <c r="U151" i="26"/>
  <c r="L151" i="26" s="1"/>
  <c r="U150" i="26"/>
  <c r="L150" i="26" s="1"/>
  <c r="U149" i="26"/>
  <c r="L149" i="26" s="1"/>
  <c r="U148" i="26"/>
  <c r="L148" i="26" s="1"/>
  <c r="U147" i="26"/>
  <c r="L147" i="26" s="1"/>
  <c r="U146" i="26"/>
  <c r="L146" i="26" s="1"/>
  <c r="U145" i="26"/>
  <c r="L145" i="26" s="1"/>
  <c r="U144" i="26"/>
  <c r="L144" i="26" s="1"/>
  <c r="U143" i="26"/>
  <c r="L143" i="26" s="1"/>
  <c r="U141" i="26"/>
  <c r="L141" i="26" s="1"/>
  <c r="U140" i="26"/>
  <c r="L140" i="26" s="1"/>
  <c r="U139" i="26"/>
  <c r="L139" i="26" s="1"/>
  <c r="U138" i="26"/>
  <c r="L138" i="26" s="1"/>
  <c r="U137" i="26"/>
  <c r="L137" i="26" s="1"/>
  <c r="U136" i="26"/>
  <c r="L136" i="26" s="1"/>
  <c r="U135" i="26"/>
  <c r="L135" i="26" s="1"/>
  <c r="U134" i="26"/>
  <c r="L134" i="26" s="1"/>
  <c r="U133" i="26"/>
  <c r="L133" i="26" s="1"/>
  <c r="U224" i="26"/>
  <c r="L224" i="26" s="1"/>
  <c r="U132" i="26"/>
  <c r="L132" i="26" s="1"/>
  <c r="U131" i="26"/>
  <c r="L131" i="26" s="1"/>
  <c r="U130" i="26"/>
  <c r="L130" i="26" s="1"/>
  <c r="U129" i="26"/>
  <c r="L129" i="26" s="1"/>
  <c r="U128" i="26"/>
  <c r="L128" i="26" s="1"/>
  <c r="U127" i="26"/>
  <c r="L127" i="26" s="1"/>
  <c r="U126" i="26"/>
  <c r="L126" i="26" s="1"/>
  <c r="U125" i="26"/>
  <c r="L125" i="26" s="1"/>
  <c r="U124" i="26"/>
  <c r="L124" i="26" s="1"/>
  <c r="U123" i="26"/>
  <c r="L123" i="26" s="1"/>
  <c r="U122" i="26"/>
  <c r="L122" i="26" s="1"/>
  <c r="U121" i="26"/>
  <c r="L121" i="26" s="1"/>
  <c r="U120" i="26"/>
  <c r="L120" i="26" s="1"/>
  <c r="U119" i="26"/>
  <c r="L119" i="26" s="1"/>
  <c r="U118" i="26"/>
  <c r="L118" i="26" s="1"/>
  <c r="U117" i="26"/>
  <c r="L117" i="26" s="1"/>
  <c r="U116" i="26"/>
  <c r="L116" i="26" s="1"/>
  <c r="U114" i="26"/>
  <c r="L114" i="26" s="1"/>
  <c r="U112" i="26"/>
  <c r="L112" i="26" s="1"/>
  <c r="U111" i="26"/>
  <c r="L111" i="26" s="1"/>
  <c r="U110" i="26"/>
  <c r="L110" i="26" s="1"/>
  <c r="U109" i="26"/>
  <c r="L109" i="26" s="1"/>
  <c r="U108" i="26"/>
  <c r="L108" i="26" s="1"/>
  <c r="U107" i="26"/>
  <c r="L107" i="26" s="1"/>
  <c r="U106" i="26"/>
  <c r="L106" i="26" s="1"/>
  <c r="U105" i="26"/>
  <c r="L105" i="26" s="1"/>
  <c r="U228" i="26"/>
  <c r="L228" i="26" s="1"/>
  <c r="U104" i="26"/>
  <c r="L104" i="26" s="1"/>
  <c r="U103" i="26"/>
  <c r="L103" i="26" s="1"/>
  <c r="U102" i="26"/>
  <c r="L102" i="26" s="1"/>
  <c r="U101" i="26"/>
  <c r="L101" i="26" s="1"/>
  <c r="U100" i="26"/>
  <c r="L100" i="26" s="1"/>
  <c r="U99" i="26"/>
  <c r="L99" i="26" s="1"/>
  <c r="U98" i="26"/>
  <c r="L98" i="26" s="1"/>
  <c r="U97" i="26"/>
  <c r="L97" i="26" s="1"/>
  <c r="U96" i="26"/>
  <c r="L96" i="26" s="1"/>
  <c r="U95" i="26"/>
  <c r="L95" i="26" s="1"/>
  <c r="U94" i="26"/>
  <c r="L94" i="26" s="1"/>
  <c r="U93" i="26"/>
  <c r="L93" i="26" s="1"/>
  <c r="U92" i="26"/>
  <c r="L92" i="26" s="1"/>
  <c r="U91" i="26"/>
  <c r="L91" i="26" s="1"/>
  <c r="U90" i="26"/>
  <c r="L90" i="26" s="1"/>
  <c r="U89" i="26"/>
  <c r="L89" i="26" s="1"/>
  <c r="U88" i="26"/>
  <c r="L88" i="26" s="1"/>
  <c r="U87" i="26"/>
  <c r="L87" i="26" s="1"/>
  <c r="U86" i="26"/>
  <c r="L86" i="26" s="1"/>
  <c r="U75" i="26"/>
  <c r="L75" i="26" s="1"/>
  <c r="U74" i="26"/>
  <c r="L74" i="26" s="1"/>
  <c r="U73" i="26"/>
  <c r="L73" i="26" s="1"/>
  <c r="U72" i="26"/>
  <c r="L72" i="26" s="1"/>
  <c r="U71" i="26"/>
  <c r="L71" i="26" s="1"/>
  <c r="U70" i="26"/>
  <c r="L70" i="26" s="1"/>
  <c r="U69" i="26"/>
  <c r="L69" i="26" s="1"/>
  <c r="U68" i="26"/>
  <c r="L68" i="26" s="1"/>
  <c r="U67" i="26"/>
  <c r="L67" i="26" s="1"/>
  <c r="U66" i="26"/>
  <c r="L66" i="26" s="1"/>
  <c r="U65" i="26"/>
  <c r="L65" i="26" s="1"/>
  <c r="U64" i="26"/>
  <c r="L64" i="26" s="1"/>
  <c r="U63" i="26"/>
  <c r="L63" i="26" s="1"/>
  <c r="U62" i="26"/>
  <c r="L62" i="26" s="1"/>
  <c r="U61" i="26"/>
  <c r="L61" i="26" s="1"/>
  <c r="U60" i="26"/>
  <c r="L60" i="26" s="1"/>
  <c r="U59" i="26"/>
  <c r="L59" i="26" s="1"/>
  <c r="U58" i="26"/>
  <c r="L58" i="26" s="1"/>
  <c r="U57" i="26"/>
  <c r="L57" i="26" s="1"/>
  <c r="U56" i="26"/>
  <c r="L56" i="26" s="1"/>
  <c r="U55" i="26"/>
  <c r="L55" i="26" s="1"/>
  <c r="U54" i="26"/>
  <c r="L54" i="26" s="1"/>
  <c r="U53" i="26"/>
  <c r="L53" i="26" s="1"/>
  <c r="U52" i="26"/>
  <c r="L52" i="26" s="1"/>
  <c r="U51" i="26"/>
  <c r="L51" i="26" s="1"/>
  <c r="U50" i="26"/>
  <c r="L50" i="26" s="1"/>
  <c r="U49" i="26"/>
  <c r="L49" i="26" s="1"/>
  <c r="U48" i="26"/>
  <c r="L48" i="26" s="1"/>
  <c r="U47" i="26"/>
  <c r="L47" i="26" s="1"/>
  <c r="U46" i="26"/>
  <c r="L46" i="26" s="1"/>
  <c r="U45" i="26"/>
  <c r="L45" i="26" s="1"/>
  <c r="U44" i="26"/>
  <c r="L44" i="26" s="1"/>
  <c r="U43" i="26"/>
  <c r="L43" i="26" s="1"/>
  <c r="U42" i="26"/>
  <c r="L42" i="26" s="1"/>
  <c r="U41" i="26"/>
  <c r="L41" i="26" s="1"/>
  <c r="U40" i="26"/>
  <c r="L40" i="26" s="1"/>
  <c r="U39" i="26"/>
  <c r="L39" i="26" s="1"/>
  <c r="U38" i="26"/>
  <c r="L38" i="26" s="1"/>
  <c r="U37" i="26"/>
  <c r="L37" i="26" s="1"/>
  <c r="U36" i="26"/>
  <c r="L36" i="26" s="1"/>
  <c r="U35" i="26"/>
  <c r="L35" i="26" s="1"/>
  <c r="U34" i="26"/>
  <c r="L34" i="26" s="1"/>
  <c r="U33" i="26"/>
  <c r="L33" i="26" s="1"/>
  <c r="U32" i="26"/>
  <c r="L32" i="26" s="1"/>
  <c r="U31" i="26"/>
  <c r="L31" i="26" s="1"/>
  <c r="U30" i="26"/>
  <c r="L30" i="26" s="1"/>
  <c r="U28" i="26"/>
  <c r="L28" i="26" s="1"/>
  <c r="U27" i="26"/>
  <c r="L27" i="26" s="1"/>
  <c r="U26" i="26"/>
  <c r="L26" i="26" s="1"/>
  <c r="U25" i="26"/>
  <c r="L25" i="26" s="1"/>
  <c r="U24" i="26"/>
  <c r="L24" i="26" s="1"/>
  <c r="U23" i="26"/>
  <c r="L23" i="26" s="1"/>
  <c r="U22" i="26"/>
  <c r="L22" i="26" s="1"/>
  <c r="U21" i="26"/>
  <c r="L21" i="26" s="1"/>
  <c r="U20" i="26"/>
  <c r="L20" i="26" s="1"/>
  <c r="U19" i="26"/>
  <c r="L19" i="26" s="1"/>
  <c r="U18" i="26"/>
  <c r="L18" i="26" s="1"/>
  <c r="U17" i="26"/>
  <c r="L17" i="26" s="1"/>
  <c r="U16" i="26"/>
  <c r="L16" i="26" s="1"/>
  <c r="U15" i="26"/>
  <c r="L15" i="26" s="1"/>
  <c r="U14" i="26"/>
  <c r="L14" i="26" s="1"/>
  <c r="U13" i="26"/>
  <c r="L13" i="26" s="1"/>
  <c r="U12" i="26"/>
  <c r="L12" i="26" s="1"/>
  <c r="U11" i="26"/>
  <c r="L11" i="26" s="1"/>
  <c r="U10" i="26"/>
  <c r="L10" i="26" s="1"/>
  <c r="U9" i="26"/>
  <c r="L9" i="26" s="1"/>
  <c r="U8" i="26"/>
  <c r="L8" i="26" s="1"/>
  <c r="U7" i="26"/>
  <c r="L7" i="26" s="1"/>
  <c r="U6" i="26"/>
  <c r="L6" i="26" s="1"/>
  <c r="U5" i="26"/>
  <c r="L5" i="26" s="1"/>
  <c r="U4" i="26"/>
  <c r="L4" i="26" s="1"/>
  <c r="U3" i="26"/>
  <c r="L3" i="26" s="1"/>
  <c r="U2" i="26"/>
  <c r="L2" i="26" s="1"/>
  <c r="L1" i="26" l="1"/>
  <c r="U1" i="26"/>
  <c r="B5" i="25"/>
  <c r="M41" i="24" l="1"/>
  <c r="M55" i="24" s="1"/>
  <c r="L41" i="24"/>
  <c r="L55" i="24" s="1"/>
  <c r="M47" i="24"/>
  <c r="M56" i="24" s="1"/>
  <c r="L47" i="24"/>
  <c r="L56" i="24" s="1"/>
  <c r="M34" i="24"/>
  <c r="M54" i="24" s="1"/>
  <c r="L34" i="24"/>
  <c r="L54" i="24" s="1"/>
  <c r="M13" i="24"/>
  <c r="M53" i="24" s="1"/>
  <c r="L13" i="24"/>
  <c r="L53" i="24" s="1"/>
  <c r="M9" i="24"/>
  <c r="M52" i="24" s="1"/>
  <c r="L9" i="24"/>
  <c r="L52" i="24" s="1"/>
  <c r="N49" i="24"/>
  <c r="N48" i="24"/>
  <c r="N45" i="24"/>
  <c r="O45" i="24" s="1"/>
  <c r="N44" i="24"/>
  <c r="N43" i="24"/>
  <c r="N42" i="24"/>
  <c r="N36" i="24"/>
  <c r="N24" i="24"/>
  <c r="N23" i="24"/>
  <c r="N22" i="24"/>
  <c r="N21" i="24"/>
  <c r="N20" i="24"/>
  <c r="N19" i="24"/>
  <c r="N17" i="24"/>
  <c r="N15" i="24"/>
  <c r="N14" i="24"/>
  <c r="N10" i="24"/>
  <c r="N9" i="24" s="1"/>
  <c r="N52" i="24" s="1"/>
  <c r="N34" i="24" l="1"/>
  <c r="N41" i="24"/>
  <c r="N55" i="24" s="1"/>
  <c r="N13" i="24"/>
  <c r="N53" i="24" s="1"/>
  <c r="N47" i="24"/>
  <c r="N56" i="24" s="1"/>
  <c r="M57" i="24"/>
  <c r="L57" i="24"/>
  <c r="B15" i="24"/>
  <c r="O15" i="24" s="1"/>
  <c r="C45" i="4"/>
  <c r="C48" i="4" s="1"/>
  <c r="C147" i="4" s="1"/>
  <c r="B7" i="9"/>
  <c r="B28" i="38"/>
  <c r="B49" i="24" s="1"/>
  <c r="O49" i="24" s="1"/>
  <c r="B21" i="38"/>
  <c r="B19" i="38"/>
  <c r="B14" i="38"/>
  <c r="B12" i="38"/>
  <c r="B9" i="38"/>
  <c r="B10" i="38" s="1"/>
  <c r="B5" i="19"/>
  <c r="O38" i="24" s="1"/>
  <c r="E51" i="33"/>
  <c r="E19" i="24" s="1"/>
  <c r="B22" i="31"/>
  <c r="C16" i="31" s="1"/>
  <c r="D16" i="31" s="1"/>
  <c r="D12" i="31"/>
  <c r="F22" i="24"/>
  <c r="E22" i="24"/>
  <c r="D22" i="24"/>
  <c r="B22" i="24"/>
  <c r="O22" i="24" s="1"/>
  <c r="E8" i="8"/>
  <c r="F24" i="24" s="1"/>
  <c r="D8" i="8"/>
  <c r="E24" i="24" s="1"/>
  <c r="C8" i="8"/>
  <c r="C24" i="24" s="1"/>
  <c r="B8" i="8"/>
  <c r="B24" i="24" s="1"/>
  <c r="O24" i="24" s="1"/>
  <c r="B7" i="7"/>
  <c r="B23" i="24" s="1"/>
  <c r="O23" i="24" s="1"/>
  <c r="B44" i="24"/>
  <c r="O44" i="24" s="1"/>
  <c r="B5" i="21"/>
  <c r="B43" i="24" s="1"/>
  <c r="O43" i="24" s="1"/>
  <c r="B6" i="20"/>
  <c r="B42" i="24" s="1"/>
  <c r="O42" i="24" s="1"/>
  <c r="G11" i="24"/>
  <c r="G9" i="24" s="1"/>
  <c r="G6" i="18"/>
  <c r="F36" i="24" s="1"/>
  <c r="F34" i="24" s="1"/>
  <c r="F6" i="18"/>
  <c r="G36" i="24" s="1"/>
  <c r="G34" i="24" s="1"/>
  <c r="G54" i="24" s="1"/>
  <c r="E6" i="18"/>
  <c r="D6" i="18"/>
  <c r="C6" i="18"/>
  <c r="E36" i="24" s="1"/>
  <c r="B6" i="18"/>
  <c r="B36" i="24" s="1"/>
  <c r="O36" i="24" s="1"/>
  <c r="C9" i="17"/>
  <c r="C11" i="17" s="1"/>
  <c r="E32" i="24" s="1"/>
  <c r="C9" i="16"/>
  <c r="C11" i="16" s="1"/>
  <c r="E30" i="24" s="1"/>
  <c r="C9" i="15"/>
  <c r="C11" i="15" s="1"/>
  <c r="E29" i="24" s="1"/>
  <c r="C9" i="14"/>
  <c r="C11" i="14" s="1"/>
  <c r="E28" i="24" s="1"/>
  <c r="C9" i="13"/>
  <c r="C11" i="13"/>
  <c r="E27" i="24" s="1"/>
  <c r="C9" i="12"/>
  <c r="C11" i="12" s="1"/>
  <c r="E26" i="24" s="1"/>
  <c r="C9" i="11"/>
  <c r="C11" i="11" s="1"/>
  <c r="E35" i="24" s="1"/>
  <c r="C9" i="10"/>
  <c r="C11" i="10" s="1"/>
  <c r="E25" i="24" s="1"/>
  <c r="D6" i="5"/>
  <c r="F21" i="24" s="1"/>
  <c r="C6" i="5"/>
  <c r="E21" i="24" s="1"/>
  <c r="B6" i="5"/>
  <c r="B21" i="24" s="1"/>
  <c r="O21" i="24" s="1"/>
  <c r="G5" i="2"/>
  <c r="G14" i="24" s="1"/>
  <c r="G13" i="24" s="1"/>
  <c r="G53" i="24" s="1"/>
  <c r="F5" i="2"/>
  <c r="E5" i="2"/>
  <c r="C14" i="24"/>
  <c r="D5" i="2"/>
  <c r="C5" i="2"/>
  <c r="E14" i="24" s="1"/>
  <c r="B5" i="2"/>
  <c r="B14" i="24" s="1"/>
  <c r="O14" i="24" s="1"/>
  <c r="B16" i="1"/>
  <c r="C10" i="24"/>
  <c r="C9" i="24" s="1"/>
  <c r="C52" i="24" s="1"/>
  <c r="B9" i="1"/>
  <c r="B10" i="24" s="1"/>
  <c r="O10" i="24" s="1"/>
  <c r="C7" i="3"/>
  <c r="C14" i="3" s="1"/>
  <c r="E9" i="24"/>
  <c r="E52" i="24" s="1"/>
  <c r="D9" i="24"/>
  <c r="D52" i="24" s="1"/>
  <c r="F9" i="24"/>
  <c r="F52" i="24" s="1"/>
  <c r="E7" i="24"/>
  <c r="D7" i="24"/>
  <c r="D21" i="24" s="1"/>
  <c r="D13" i="24" s="1"/>
  <c r="D53" i="24" s="1"/>
  <c r="C7" i="24"/>
  <c r="F7" i="24"/>
  <c r="G7" i="24"/>
  <c r="B7" i="24"/>
  <c r="D54" i="24"/>
  <c r="C54" i="24"/>
  <c r="B9" i="24" l="1"/>
  <c r="O9" i="24" s="1"/>
  <c r="E34" i="24"/>
  <c r="E54" i="24" s="1"/>
  <c r="E13" i="24"/>
  <c r="E53" i="24" s="1"/>
  <c r="C16" i="24"/>
  <c r="C13" i="24" s="1"/>
  <c r="C53" i="24" s="1"/>
  <c r="C55" i="24" s="1"/>
  <c r="C20" i="31"/>
  <c r="D20" i="31" s="1"/>
  <c r="C19" i="31"/>
  <c r="D19" i="31" s="1"/>
  <c r="C18" i="31"/>
  <c r="D18" i="31" s="1"/>
  <c r="C15" i="31"/>
  <c r="D15" i="31" s="1"/>
  <c r="C17" i="31"/>
  <c r="D17" i="31" s="1"/>
  <c r="C21" i="31"/>
  <c r="D21" i="31" s="1"/>
  <c r="E42" i="33"/>
  <c r="E44" i="33" s="1"/>
  <c r="B19" i="24" s="1"/>
  <c r="O19" i="24" s="1"/>
  <c r="F54" i="24"/>
  <c r="F16" i="24"/>
  <c r="F13" i="24" s="1"/>
  <c r="G52" i="24"/>
  <c r="G55" i="24" s="1"/>
  <c r="G45" i="24"/>
  <c r="G41" i="24" s="1"/>
  <c r="G48" i="24"/>
  <c r="D55" i="24"/>
  <c r="B34" i="24"/>
  <c r="B54" i="24" s="1"/>
  <c r="D56" i="24"/>
  <c r="N54" i="24"/>
  <c r="N57" i="24" s="1"/>
  <c r="D48" i="24"/>
  <c r="F1" i="4"/>
  <c r="F1" i="31"/>
  <c r="D25" i="31" l="1"/>
  <c r="D26" i="31" s="1"/>
  <c r="B52" i="24"/>
  <c r="O52" i="24" s="1"/>
  <c r="E56" i="24"/>
  <c r="E55" i="24"/>
  <c r="E45" i="24"/>
  <c r="E41" i="24" s="1"/>
  <c r="E48" i="24"/>
  <c r="T56" i="4"/>
  <c r="S56" i="4"/>
  <c r="T66" i="4"/>
  <c r="S66" i="4"/>
  <c r="B7" i="4"/>
  <c r="R63" i="4"/>
  <c r="R61" i="4"/>
  <c r="R62" i="4"/>
  <c r="R53" i="4"/>
  <c r="R51" i="4"/>
  <c r="R52" i="4"/>
  <c r="B6" i="4"/>
  <c r="B86" i="4" s="1"/>
  <c r="C86" i="4" s="1"/>
  <c r="B5" i="4"/>
  <c r="C129" i="4"/>
  <c r="C11" i="4"/>
  <c r="C12" i="4"/>
  <c r="C139" i="4"/>
  <c r="C141" i="4" s="1"/>
  <c r="C168" i="4" s="1"/>
  <c r="B110" i="4"/>
  <c r="C110" i="4" s="1"/>
  <c r="C96" i="4"/>
  <c r="C72" i="4"/>
  <c r="C61" i="4"/>
  <c r="B38" i="4"/>
  <c r="C38" i="4" s="1"/>
  <c r="C128" i="4"/>
  <c r="C34" i="4"/>
  <c r="C121" i="4"/>
  <c r="C105" i="4"/>
  <c r="C82" i="4"/>
  <c r="C53" i="4"/>
  <c r="C33" i="4"/>
  <c r="C115" i="4"/>
  <c r="B100" i="4"/>
  <c r="C100" i="4" s="1"/>
  <c r="C81" i="4"/>
  <c r="C63" i="4"/>
  <c r="C51" i="4"/>
  <c r="C106" i="4"/>
  <c r="C95" i="4"/>
  <c r="C71" i="4"/>
  <c r="C19" i="4"/>
  <c r="C20" i="4"/>
  <c r="B24" i="4"/>
  <c r="C56" i="24"/>
  <c r="C57" i="24" s="1"/>
  <c r="D57" i="24"/>
  <c r="O54" i="24"/>
  <c r="D22" i="31"/>
  <c r="C48" i="24"/>
  <c r="G56" i="24"/>
  <c r="G57" i="24" s="1"/>
  <c r="O34" i="24"/>
  <c r="F48" i="24"/>
  <c r="F53" i="24"/>
  <c r="B4" i="31"/>
  <c r="A4" i="31"/>
  <c r="B123" i="4" l="1"/>
  <c r="C123" i="4" s="1"/>
  <c r="C124" i="4" s="1"/>
  <c r="C166" i="4" s="1"/>
  <c r="B34" i="31"/>
  <c r="B32" i="31"/>
  <c r="A32" i="31" s="1"/>
  <c r="B33" i="31"/>
  <c r="A33" i="31" s="1"/>
  <c r="B35" i="31"/>
  <c r="A35" i="31" s="1"/>
  <c r="E57" i="24"/>
  <c r="R55" i="4"/>
  <c r="C64" i="4"/>
  <c r="C149" i="4" s="1"/>
  <c r="R65" i="4"/>
  <c r="R54" i="4"/>
  <c r="R64" i="4"/>
  <c r="D27" i="31"/>
  <c r="B38" i="31" s="1"/>
  <c r="C13" i="4"/>
  <c r="C16" i="4" s="1"/>
  <c r="C144" i="4" s="1"/>
  <c r="F56" i="24"/>
  <c r="F55" i="24"/>
  <c r="C83" i="4"/>
  <c r="C87" i="4" s="1"/>
  <c r="B76" i="4"/>
  <c r="C76" i="4" s="1"/>
  <c r="C136" i="4"/>
  <c r="C54" i="4"/>
  <c r="B25" i="4"/>
  <c r="B26" i="4" s="1"/>
  <c r="C28" i="4" s="1"/>
  <c r="B131" i="4"/>
  <c r="C131" i="4" s="1"/>
  <c r="B117" i="4"/>
  <c r="C117" i="4" s="1"/>
  <c r="C118" i="4" s="1"/>
  <c r="C165" i="4" s="1"/>
  <c r="C107" i="4"/>
  <c r="C111" i="4" s="1"/>
  <c r="C153" i="4" s="1"/>
  <c r="C97" i="4"/>
  <c r="C101" i="4" s="1"/>
  <c r="C35" i="4"/>
  <c r="C39" i="4" s="1"/>
  <c r="C146" i="4" s="1"/>
  <c r="C21" i="4"/>
  <c r="C73" i="4"/>
  <c r="G53" i="4" l="1"/>
  <c r="C148" i="4"/>
  <c r="A34" i="31"/>
  <c r="R56" i="4"/>
  <c r="C56" i="4" s="1"/>
  <c r="R66" i="4"/>
  <c r="C66" i="4" s="1"/>
  <c r="D29" i="31"/>
  <c r="B36" i="31" s="1"/>
  <c r="A36" i="31" s="1"/>
  <c r="F57" i="24"/>
  <c r="C133" i="4"/>
  <c r="C88" i="4"/>
  <c r="C151" i="4"/>
  <c r="C65" i="4"/>
  <c r="C77" i="4"/>
  <c r="C150" i="4" s="1"/>
  <c r="C55" i="4"/>
  <c r="C29" i="4"/>
  <c r="C145" i="4" s="1"/>
  <c r="C152" i="4"/>
  <c r="C102" i="4"/>
  <c r="C163" i="4" s="1"/>
  <c r="C40" i="4"/>
  <c r="C159" i="4" s="1"/>
  <c r="C112" i="4"/>
  <c r="C164" i="4" s="1"/>
  <c r="J55" i="4" l="1"/>
  <c r="J54" i="4"/>
  <c r="J53" i="4"/>
  <c r="A37" i="31"/>
  <c r="B37" i="31"/>
  <c r="B20" i="24" s="1"/>
  <c r="C57" i="4"/>
  <c r="C67" i="4"/>
  <c r="C161" i="4" s="1"/>
  <c r="C134" i="4"/>
  <c r="C135" i="4" s="1"/>
  <c r="C154" i="4"/>
  <c r="C90" i="4"/>
  <c r="C78" i="4"/>
  <c r="C91" i="4" s="1"/>
  <c r="C162" i="4" s="1"/>
  <c r="C30" i="4"/>
  <c r="C158" i="4" s="1"/>
  <c r="J56" i="4" l="1"/>
  <c r="C58" i="4"/>
  <c r="G59" i="4"/>
  <c r="C160" i="4"/>
  <c r="C37" i="31"/>
  <c r="O20" i="24"/>
  <c r="C68" i="4"/>
  <c r="B39" i="31"/>
  <c r="A40" i="31"/>
  <c r="A39" i="31"/>
  <c r="C40" i="31"/>
  <c r="C167" i="4"/>
  <c r="C169" i="4" s="1"/>
  <c r="C171" i="4" s="1"/>
  <c r="B17" i="24" s="1"/>
  <c r="O17" i="24" s="1"/>
  <c r="J60" i="4" l="1"/>
  <c r="J59" i="4"/>
  <c r="C173" i="4"/>
  <c r="B13" i="24"/>
  <c r="O13" i="24" s="1"/>
  <c r="J61" i="4" l="1"/>
  <c r="B41" i="24"/>
  <c r="B48" i="24" s="1"/>
  <c r="B47" i="24" s="1"/>
  <c r="O47" i="24" s="1"/>
  <c r="B53" i="24"/>
  <c r="O53" i="24" s="1"/>
  <c r="O48" i="24" l="1"/>
  <c r="O41" i="24"/>
  <c r="B55" i="24"/>
  <c r="O55" i="24" s="1"/>
  <c r="B56" i="24" l="1"/>
  <c r="O56" i="24" s="1"/>
  <c r="B57" i="24" l="1"/>
  <c r="O57"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Stone</author>
    <author>Daniel Lunghofer</author>
  </authors>
  <commentList>
    <comment ref="B5" authorId="0" shapeId="0" xr:uid="{00000000-0006-0000-0200-000001000000}">
      <text>
        <r>
          <rPr>
            <b/>
            <sz val="9"/>
            <color indexed="81"/>
            <rFont val="Tahoma"/>
            <family val="2"/>
          </rPr>
          <t>Paul Stone:</t>
        </r>
        <r>
          <rPr>
            <sz val="9"/>
            <color indexed="81"/>
            <rFont val="Tahoma"/>
            <family val="2"/>
          </rPr>
          <t xml:space="preserve">
Manually enter values in the yellow cells. See Instructions.</t>
        </r>
      </text>
    </comment>
    <comment ref="B41" authorId="1" shapeId="0" xr:uid="{00000000-0006-0000-0200-000002000000}">
      <text>
        <r>
          <rPr>
            <b/>
            <sz val="9"/>
            <color indexed="81"/>
            <rFont val="Tahoma"/>
            <family val="2"/>
          </rPr>
          <t>OSPI/SAFS:</t>
        </r>
        <r>
          <rPr>
            <sz val="9"/>
            <color indexed="81"/>
            <rFont val="Tahoma"/>
            <family val="2"/>
          </rPr>
          <t xml:space="preserve">
Amounts that are Assigned cannot reduce Unassigned Fund Balance to below zero. If amounts are Assigned but there is insufficient Fund Balance to cover them, the amount of the Assignment will be reduced accordingly.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 Stone</author>
  </authors>
  <commentList>
    <comment ref="E6" authorId="0" shapeId="0" xr:uid="{C5A85725-6FAB-4BA8-B40B-F9989CB24E7E}">
      <text>
        <r>
          <rPr>
            <b/>
            <sz val="9"/>
            <color indexed="81"/>
            <rFont val="Tahoma"/>
            <family val="2"/>
          </rPr>
          <t>Paul Stone: To Do - Once the 1800 sum report is completed for 19-20, move the 19-20 figures here.</t>
        </r>
        <r>
          <rPr>
            <sz val="9"/>
            <color indexed="81"/>
            <rFont val="Tahoma"/>
            <family val="2"/>
          </rPr>
          <t xml:space="preserve">
</t>
        </r>
      </text>
    </comment>
    <comment ref="F6" authorId="0" shapeId="0" xr:uid="{7C59F95C-DC93-4736-8C5F-7053344CE5A5}">
      <text>
        <r>
          <rPr>
            <b/>
            <sz val="9"/>
            <color indexed="81"/>
            <rFont val="Tahoma"/>
            <family val="2"/>
          </rPr>
          <t>Paul Stone: To Do - Once the 1800 sum report is completed for 19-20, move the 19-20 figures here.</t>
        </r>
        <r>
          <rPr>
            <sz val="9"/>
            <color indexed="81"/>
            <rFont val="Tahoma"/>
            <family val="2"/>
          </rPr>
          <t xml:space="preserve">
</t>
        </r>
      </text>
    </comment>
    <comment ref="G6" authorId="0" shapeId="0" xr:uid="{032225F5-164A-40AA-A592-A6765EF5A0F1}">
      <text>
        <r>
          <rPr>
            <b/>
            <sz val="9"/>
            <color indexed="81"/>
            <rFont val="Tahoma"/>
            <family val="2"/>
          </rPr>
          <t>Paul Stone: To Do - Once the 1800 sum report is completed for 19-20, move the 19-20 figures here.</t>
        </r>
        <r>
          <rPr>
            <sz val="9"/>
            <color indexed="81"/>
            <rFont val="Tahoma"/>
            <family val="2"/>
          </rPr>
          <t xml:space="preserve">
</t>
        </r>
      </text>
    </comment>
    <comment ref="H6" authorId="0" shapeId="0" xr:uid="{3304E298-D9ED-4769-AC29-727961963FF0}">
      <text>
        <r>
          <rPr>
            <b/>
            <sz val="9"/>
            <color indexed="81"/>
            <rFont val="Tahoma"/>
            <family val="2"/>
          </rPr>
          <t>Paul Stone: To Do - Once the 1800 sum report is completed for 19-20, move the 19-20 figures here.</t>
        </r>
        <r>
          <rPr>
            <sz val="9"/>
            <color indexed="81"/>
            <rFont val="Tahoma"/>
            <family val="2"/>
          </rPr>
          <t xml:space="preserve">
</t>
        </r>
      </text>
    </comment>
    <comment ref="W6" authorId="0" shapeId="0" xr:uid="{CF71D26A-C945-4AB6-9EC2-8BD6957D14A8}">
      <text>
        <r>
          <rPr>
            <b/>
            <sz val="9"/>
            <color indexed="81"/>
            <rFont val="Tahoma"/>
            <family val="2"/>
          </rPr>
          <t>Paul Stone: To Do - Once the 1800 sum report is completed for 19-20, move the 19-20 figures here.</t>
        </r>
        <r>
          <rPr>
            <sz val="9"/>
            <color indexed="81"/>
            <rFont val="Tahoma"/>
            <family val="2"/>
          </rPr>
          <t xml:space="preserve">
</t>
        </r>
      </text>
    </comment>
    <comment ref="X6" authorId="0" shapeId="0" xr:uid="{4738A7F4-EFD1-4A86-BC80-A09014E6B808}">
      <text>
        <r>
          <rPr>
            <b/>
            <sz val="9"/>
            <color indexed="81"/>
            <rFont val="Tahoma"/>
            <family val="2"/>
          </rPr>
          <t>Paul Stone: To Do - Once the 1800 sum report is completed for 19-20, move the 19-20 figures here.</t>
        </r>
        <r>
          <rPr>
            <sz val="9"/>
            <color indexed="81"/>
            <rFont val="Tahoma"/>
            <family val="2"/>
          </rPr>
          <t xml:space="preserve">
</t>
        </r>
      </text>
    </comment>
    <comment ref="Y6" authorId="0" shapeId="0" xr:uid="{4E414189-EE02-4508-96E2-56DA6255AE87}">
      <text>
        <r>
          <rPr>
            <b/>
            <sz val="9"/>
            <color indexed="81"/>
            <rFont val="Tahoma"/>
            <family val="2"/>
          </rPr>
          <t>Paul Stone: To Do - Once the 1800 sum report is completed for 19-20, move the 19-20 figures here.</t>
        </r>
        <r>
          <rPr>
            <sz val="9"/>
            <color indexed="81"/>
            <rFont val="Tahoma"/>
            <family val="2"/>
          </rPr>
          <t xml:space="preserve">
</t>
        </r>
      </text>
    </comment>
    <comment ref="Z6" authorId="0" shapeId="0" xr:uid="{A7C1C6E1-F8E1-4D76-BB80-B19345AF25B1}">
      <text>
        <r>
          <rPr>
            <b/>
            <sz val="9"/>
            <color indexed="81"/>
            <rFont val="Tahoma"/>
            <family val="2"/>
          </rPr>
          <t>Paul Stone: To Do - Once the 1800 sum report is completed for 19-20, move the 19-20 figures here.</t>
        </r>
        <r>
          <rPr>
            <sz val="9"/>
            <color indexed="81"/>
            <rFont val="Tahoma"/>
            <family val="2"/>
          </rPr>
          <t xml:space="preserve">
</t>
        </r>
      </text>
    </comment>
    <comment ref="AI6" authorId="0" shapeId="0" xr:uid="{3ED0C906-7696-4D61-BB57-BEE59D60C14E}">
      <text>
        <r>
          <rPr>
            <b/>
            <sz val="9"/>
            <color indexed="81"/>
            <rFont val="Tahoma"/>
            <family val="2"/>
          </rPr>
          <t>Paul Stone: To Do - Once the 1800 sum report is completed for 19-20, move the 19-20 figures here.</t>
        </r>
        <r>
          <rPr>
            <sz val="9"/>
            <color indexed="81"/>
            <rFont val="Tahoma"/>
            <family val="2"/>
          </rPr>
          <t xml:space="preserve">
</t>
        </r>
      </text>
    </comment>
    <comment ref="AJ6" authorId="0" shapeId="0" xr:uid="{6A67EE8D-374F-4055-987A-BED73D06B3C9}">
      <text>
        <r>
          <rPr>
            <b/>
            <sz val="9"/>
            <color indexed="81"/>
            <rFont val="Tahoma"/>
            <family val="2"/>
          </rPr>
          <t>Paul Stone: To Do - Once the 1800 sum report is completed for 19-20, move the 19-20 figures here.</t>
        </r>
        <r>
          <rPr>
            <sz val="9"/>
            <color indexed="81"/>
            <rFont val="Tahoma"/>
            <family val="2"/>
          </rPr>
          <t xml:space="preserve">
</t>
        </r>
      </text>
    </comment>
    <comment ref="AK6" authorId="0" shapeId="0" xr:uid="{F280EA43-FF22-4253-A9A3-0728B4E5DCFF}">
      <text>
        <r>
          <rPr>
            <b/>
            <sz val="9"/>
            <color indexed="81"/>
            <rFont val="Tahoma"/>
            <family val="2"/>
          </rPr>
          <t>Paul Stone: To Do - Once the 1800 sum report is completed for 19-20, move the 19-20 figures here.</t>
        </r>
        <r>
          <rPr>
            <sz val="9"/>
            <color indexed="81"/>
            <rFont val="Tahoma"/>
            <family val="2"/>
          </rPr>
          <t xml:space="preserve">
</t>
        </r>
      </text>
    </comment>
    <comment ref="AL6" authorId="0" shapeId="0" xr:uid="{4BF64709-752D-41F6-8F6B-04EA3A451750}">
      <text>
        <r>
          <rPr>
            <b/>
            <sz val="9"/>
            <color indexed="81"/>
            <rFont val="Tahoma"/>
            <family val="2"/>
          </rPr>
          <t>Paul Stone: To Do - Once the 1800 sum report is completed for 19-20, move the 19-20 figures here.</t>
        </r>
        <r>
          <rPr>
            <sz val="9"/>
            <color indexed="81"/>
            <rFont val="Tahoma"/>
            <family val="2"/>
          </rPr>
          <t xml:space="preserve">
</t>
        </r>
      </text>
    </comment>
    <comment ref="AS6" authorId="0" shapeId="0" xr:uid="{6E07F89F-238D-42FD-A90B-AF0A831DFF83}">
      <text>
        <r>
          <rPr>
            <b/>
            <sz val="9"/>
            <color indexed="81"/>
            <rFont val="Tahoma"/>
            <family val="2"/>
          </rPr>
          <t>Paul Stone: To Do - Once the 1800 sum report is completed for 19-20, move the 19-20 figures here.</t>
        </r>
        <r>
          <rPr>
            <sz val="9"/>
            <color indexed="81"/>
            <rFont val="Tahoma"/>
            <family val="2"/>
          </rPr>
          <t xml:space="preserve">
</t>
        </r>
      </text>
    </comment>
    <comment ref="AT6" authorId="0" shapeId="0" xr:uid="{859AA589-36DD-4AE1-B23C-A3849BD336EF}">
      <text>
        <r>
          <rPr>
            <b/>
            <sz val="9"/>
            <color indexed="81"/>
            <rFont val="Tahoma"/>
            <family val="2"/>
          </rPr>
          <t>Paul Stone: To Do - Once the 1800 sum report is completed for 19-20, move the 19-20 figures here.</t>
        </r>
        <r>
          <rPr>
            <sz val="9"/>
            <color indexed="81"/>
            <rFont val="Tahoma"/>
            <family val="2"/>
          </rPr>
          <t xml:space="preserve">
</t>
        </r>
      </text>
    </comment>
    <comment ref="AU6" authorId="0" shapeId="0" xr:uid="{A5D99726-8B4C-4EE5-A116-CAB6F8FE7F01}">
      <text>
        <r>
          <rPr>
            <b/>
            <sz val="9"/>
            <color indexed="81"/>
            <rFont val="Tahoma"/>
            <family val="2"/>
          </rPr>
          <t>Paul Stone: To Do - Once the 1800 sum report is completed for 19-20, move the 19-20 figures here.</t>
        </r>
        <r>
          <rPr>
            <sz val="9"/>
            <color indexed="81"/>
            <rFont val="Tahoma"/>
            <family val="2"/>
          </rPr>
          <t xml:space="preserve">
</t>
        </r>
      </text>
    </comment>
  </commentList>
</comments>
</file>

<file path=xl/sharedStrings.xml><?xml version="1.0" encoding="utf-8"?>
<sst xmlns="http://schemas.openxmlformats.org/spreadsheetml/2006/main" count="13803" uniqueCount="2683">
  <si>
    <t>GL 840 - Nonspendable Fund Balance--Inventory and Prepaid Items</t>
  </si>
  <si>
    <t>Total Fund Balance</t>
  </si>
  <si>
    <t>Nonspendable</t>
  </si>
  <si>
    <t>GF</t>
  </si>
  <si>
    <t>CPF</t>
  </si>
  <si>
    <t>DSF</t>
  </si>
  <si>
    <t>ASB</t>
  </si>
  <si>
    <t>TVF</t>
  </si>
  <si>
    <t>PF</t>
  </si>
  <si>
    <t>GL 840 Inventory &amp; Prepaid Items</t>
  </si>
  <si>
    <t>GL 855 Trust Principal</t>
  </si>
  <si>
    <t>Restricted</t>
  </si>
  <si>
    <t>GL 810 Other Items</t>
  </si>
  <si>
    <t>GL 815 Unequalized Deductible Revenues</t>
  </si>
  <si>
    <t>GL 821 Carryover of Restricted Revenues</t>
  </si>
  <si>
    <t>GL 830 Debt Service</t>
  </si>
  <si>
    <t>GL 845 Self-Insurance</t>
  </si>
  <si>
    <t>GL 850 Uninsured Risks</t>
  </si>
  <si>
    <t>GL 861 Bond Proceeds</t>
  </si>
  <si>
    <t>GL 862 Levy Proceeds</t>
  </si>
  <si>
    <t>GL 863 State Proceeds</t>
  </si>
  <si>
    <t>GL 864 Federal Proceeds</t>
  </si>
  <si>
    <t>GL 865 Other Proceeds</t>
  </si>
  <si>
    <t>GL 866 Impact Fee Proceeds</t>
  </si>
  <si>
    <t>GL 867 Mitigation Fee Proceeds</t>
  </si>
  <si>
    <t>GL 869 Undistributed Proceeds</t>
  </si>
  <si>
    <t>Committed</t>
  </si>
  <si>
    <t>GL 870 Other Purposes</t>
  </si>
  <si>
    <t>Assigned</t>
  </si>
  <si>
    <t>GL 875 Contingencies</t>
  </si>
  <si>
    <t>GL 884 Other Capital Projects</t>
  </si>
  <si>
    <t>GL 888 Other Purposes</t>
  </si>
  <si>
    <t>GL 889 Fund Purposes</t>
  </si>
  <si>
    <t>Unassigned</t>
  </si>
  <si>
    <t>GL 890 Unassigned Fund Balance</t>
  </si>
  <si>
    <t>Reported Final Fund Balance</t>
  </si>
  <si>
    <t>GL 810 Restricted for Other Items (GF, CPF, DSF, ASB, TVF, PF)</t>
  </si>
  <si>
    <t>(Return to sheet)</t>
  </si>
  <si>
    <t>GL 815 Restricted for Unequalized Deductible Revenues</t>
  </si>
  <si>
    <t>(Return to summary sheet)</t>
  </si>
  <si>
    <t>Beginning Balance (from prior year financial data)</t>
  </si>
  <si>
    <t>Deductible revenues reduced in fiscal year</t>
  </si>
  <si>
    <t>Net balance</t>
  </si>
  <si>
    <t>Deductible revenues received but not equalized</t>
  </si>
  <si>
    <t>Revenue 1400 Local in Lieu of Taxes</t>
  </si>
  <si>
    <t>Revenue 1600 County-Administered Forests</t>
  </si>
  <si>
    <t>Revenue 3600 State Forests</t>
  </si>
  <si>
    <t>Revenue 5400 Federal in lieu of Taxes</t>
  </si>
  <si>
    <t>Revenue 5500 Federal Forests</t>
  </si>
  <si>
    <t>Total Deductible revenues received but not equalized</t>
  </si>
  <si>
    <t>GL 821 Restricted for Carryover of Restricted Revenues</t>
  </si>
  <si>
    <t>General Fund</t>
  </si>
  <si>
    <t>Special Education Program 21</t>
  </si>
  <si>
    <t>Direct Expenditures</t>
  </si>
  <si>
    <t>State Recovery Rate</t>
  </si>
  <si>
    <t>Add Current Year Allocation (from 1197)</t>
  </si>
  <si>
    <t>Total Available</t>
  </si>
  <si>
    <t>Expenditures</t>
  </si>
  <si>
    <t>Beginning Balance (PY Carryover)</t>
  </si>
  <si>
    <t>Revenue 3121 Allotment</t>
  </si>
  <si>
    <t>Indirect Expenditures</t>
  </si>
  <si>
    <t>Subtotal</t>
  </si>
  <si>
    <t>Revenue 7121</t>
  </si>
  <si>
    <t>Net</t>
  </si>
  <si>
    <t>Carryover</t>
  </si>
  <si>
    <t>LAP Program 55</t>
  </si>
  <si>
    <t>Federal Restricted Indirect Rate</t>
  </si>
  <si>
    <t>Federal Unrestricted Indirect Rate</t>
  </si>
  <si>
    <t>Vocational Education Program 31</t>
  </si>
  <si>
    <t>Minimum Direct Expenditures (from 1191)</t>
  </si>
  <si>
    <t>State Institutions Program 26</t>
  </si>
  <si>
    <t>State Institutions Program 56</t>
  </si>
  <si>
    <t>Total</t>
  </si>
  <si>
    <t>Program 21 Carryover</t>
  </si>
  <si>
    <t>Program 55 Carryover</t>
  </si>
  <si>
    <t>Program 31 Carryover</t>
  </si>
  <si>
    <t>Program 26 Carryover</t>
  </si>
  <si>
    <t>Program 56 Carryover</t>
  </si>
  <si>
    <t>Total Restricted Revenue Carryover</t>
  </si>
  <si>
    <t>CCDDD</t>
  </si>
  <si>
    <t>Due to the number of different options, we present some of the more common choices for fund balance policies.</t>
  </si>
  <si>
    <t>Policy based on percentage range of expenditures</t>
  </si>
  <si>
    <t>Total Fund Expenditures</t>
  </si>
  <si>
    <t>Minimum Fund Balance Policy Percent</t>
  </si>
  <si>
    <t>Maximum Fund Balance Policy Percent</t>
  </si>
  <si>
    <t>Minimum Fund Balance Policy Amount</t>
  </si>
  <si>
    <t>Maximum Fund Balance Policy Amount</t>
  </si>
  <si>
    <t>Policy based on single percentage of expenditures</t>
  </si>
  <si>
    <t>Fund Balance Policy Percent</t>
  </si>
  <si>
    <t>Fund Balance Policy Amount</t>
  </si>
  <si>
    <t>General Fund, ASB Fund</t>
  </si>
  <si>
    <t>Amount in GL 410 Inventory--Supplies and Materials</t>
  </si>
  <si>
    <t>Amount in GL 420 Inventory--Lunchrooms</t>
  </si>
  <si>
    <t>Amount in GL 430 Prepaid Items</t>
  </si>
  <si>
    <t>Total to Report in GL 840</t>
  </si>
  <si>
    <t>ASB Fund</t>
  </si>
  <si>
    <t>Total to Report in GL 840, Fund 4</t>
  </si>
  <si>
    <t>17408</t>
  </si>
  <si>
    <t>Capital Projects Fund</t>
  </si>
  <si>
    <t>Debt Service Fund</t>
  </si>
  <si>
    <t xml:space="preserve">ASB Fund </t>
  </si>
  <si>
    <t>Transportation Vehicle Fund</t>
  </si>
  <si>
    <t>Permanent Fund</t>
  </si>
  <si>
    <t>(Enter description of Restriction)</t>
  </si>
  <si>
    <t>GL 830 Restricted for Debt Service</t>
  </si>
  <si>
    <t>General Fund, Capital Projects Fund, Transportation Vehicle Fund</t>
  </si>
  <si>
    <t>Enter amount or other details as needed</t>
  </si>
  <si>
    <t>GL 835 Arbitrage Rebate</t>
  </si>
  <si>
    <t>GL 835 Restricted for Arbitrage Rebate</t>
  </si>
  <si>
    <t>General Fund, CPF, TVF, DSF</t>
  </si>
  <si>
    <t>GL 861 Restricted from Bond Proceeds</t>
  </si>
  <si>
    <t>Beginning Balance</t>
  </si>
  <si>
    <t>Additions</t>
  </si>
  <si>
    <t>Bonds Sold</t>
  </si>
  <si>
    <t>Interest Earned from Bonds</t>
  </si>
  <si>
    <t>Total Additions</t>
  </si>
  <si>
    <t>Expenditures (Source/Use Code 1)</t>
  </si>
  <si>
    <t>Ending Balance</t>
  </si>
  <si>
    <t>GL 863 Restricted from State Proceeds</t>
  </si>
  <si>
    <t>GL 864 Restricted from Federal Proceeds</t>
  </si>
  <si>
    <t>GL 865 Restricted from Other Proceeds</t>
  </si>
  <si>
    <t>GL 866 Restricted from Impact Fee Proceeds</t>
  </si>
  <si>
    <t>GL 867 Restricted from Mitigation Fee Proceeds</t>
  </si>
  <si>
    <t>GL 869 Restricted from Undistributed Proceeds</t>
  </si>
  <si>
    <t>Levy Revenue Collected</t>
  </si>
  <si>
    <t>Interest Earned from Levy Proceeds</t>
  </si>
  <si>
    <t>Expenditures (Source/Use Code 2)</t>
  </si>
  <si>
    <t>State Proceeds Received</t>
  </si>
  <si>
    <t>Interest Earned from State Proceeds</t>
  </si>
  <si>
    <t>Expenditures (Source/Use Code 3)</t>
  </si>
  <si>
    <t>Federal Proceeds Received</t>
  </si>
  <si>
    <t>Interest Earned from Federal Proceeds</t>
  </si>
  <si>
    <t>Expenditures (Source/Use Code 4)</t>
  </si>
  <si>
    <t>Other Financing Sources</t>
  </si>
  <si>
    <t>Interest Earned from O.F.S.</t>
  </si>
  <si>
    <t>Expenditures (Source/Use Code 5)</t>
  </si>
  <si>
    <t>Impact Fees Collected</t>
  </si>
  <si>
    <t>Interest Earned from Impact Fees</t>
  </si>
  <si>
    <t>Expenditures (Source/Use Code 6)</t>
  </si>
  <si>
    <t>Mitigation Fees Collected</t>
  </si>
  <si>
    <t>Interest Earned from Mitigation Fees</t>
  </si>
  <si>
    <t>Expenditures (Source/Use Code 7)</t>
  </si>
  <si>
    <t>Undistributed/Other Revenues</t>
  </si>
  <si>
    <t>Interest Earned</t>
  </si>
  <si>
    <t>Expenditures (Source/Use Code 9)</t>
  </si>
  <si>
    <t>GL 870 Committed to Other Purposes</t>
  </si>
  <si>
    <t>GF, CPF, DSF, ASB, PF, TVF</t>
  </si>
  <si>
    <t>Capital Projects</t>
  </si>
  <si>
    <t>Transportation Vehicle</t>
  </si>
  <si>
    <t>GL 855 - Nonspendable Fund Balance - Trust Principal</t>
  </si>
  <si>
    <t>(Return to Summary Sheet)</t>
  </si>
  <si>
    <t>Additions to Principal Balance</t>
  </si>
  <si>
    <t>GL 875 Assigned to Contingencies</t>
  </si>
  <si>
    <t>(Brief description of Contingency)</t>
  </si>
  <si>
    <t>GL 884 Assigned to Other Capital Projects</t>
  </si>
  <si>
    <t>(Enter a brief description of project)</t>
  </si>
  <si>
    <t>GL 888 Assigned to Other Purposes</t>
  </si>
  <si>
    <t>(Enter brief description of assignment's purposes)</t>
  </si>
  <si>
    <t>GL 845 Restricted for Self-Insurance</t>
  </si>
  <si>
    <t>(Description of amount)</t>
  </si>
  <si>
    <t>GL 850 Restricted for Uninsured Risks</t>
  </si>
  <si>
    <t>(Description of restriction)</t>
  </si>
  <si>
    <t>Enter the amount of arbitrage rebate calculated.</t>
  </si>
  <si>
    <t>01109</t>
  </si>
  <si>
    <t>WASHTUCNA</t>
  </si>
  <si>
    <t>01122</t>
  </si>
  <si>
    <t>BENGE</t>
  </si>
  <si>
    <t>01147</t>
  </si>
  <si>
    <t>OTHELLO</t>
  </si>
  <si>
    <t>01158</t>
  </si>
  <si>
    <t>LIND</t>
  </si>
  <si>
    <t>01160</t>
  </si>
  <si>
    <t>RITZVILLE</t>
  </si>
  <si>
    <t>02250</t>
  </si>
  <si>
    <t>CLARKSTON</t>
  </si>
  <si>
    <t>02420</t>
  </si>
  <si>
    <t>ASOTIN</t>
  </si>
  <si>
    <t>03017</t>
  </si>
  <si>
    <t>KENNEWICK</t>
  </si>
  <si>
    <t>03050</t>
  </si>
  <si>
    <t>PATERSON</t>
  </si>
  <si>
    <t>03052</t>
  </si>
  <si>
    <t>KIONA BENTON</t>
  </si>
  <si>
    <t>03053</t>
  </si>
  <si>
    <t>FINLEY</t>
  </si>
  <si>
    <t>03116</t>
  </si>
  <si>
    <t>PROSSER</t>
  </si>
  <si>
    <t>03400</t>
  </si>
  <si>
    <t>RICHLAND</t>
  </si>
  <si>
    <t>04019</t>
  </si>
  <si>
    <t>MANSON</t>
  </si>
  <si>
    <t>04069</t>
  </si>
  <si>
    <t>STEHEKIN</t>
  </si>
  <si>
    <t>04127</t>
  </si>
  <si>
    <t>ENTIAT</t>
  </si>
  <si>
    <t>04129</t>
  </si>
  <si>
    <t>LAKE CHELAN</t>
  </si>
  <si>
    <t>04222</t>
  </si>
  <si>
    <t>CASHMERE</t>
  </si>
  <si>
    <t>04228</t>
  </si>
  <si>
    <t>CASCADE</t>
  </si>
  <si>
    <t>04246</t>
  </si>
  <si>
    <t>WENATCHEE</t>
  </si>
  <si>
    <t>05121</t>
  </si>
  <si>
    <t>PORT ANGELES</t>
  </si>
  <si>
    <t>05313</t>
  </si>
  <si>
    <t>CRESCENT</t>
  </si>
  <si>
    <t>05323</t>
  </si>
  <si>
    <t>SEQUIM</t>
  </si>
  <si>
    <t>05401</t>
  </si>
  <si>
    <t>CAPE FLATTERY</t>
  </si>
  <si>
    <t>05402</t>
  </si>
  <si>
    <t>QUILLAYUTE VALLEY</t>
  </si>
  <si>
    <t>06037</t>
  </si>
  <si>
    <t>VANCOUVER</t>
  </si>
  <si>
    <t>06098</t>
  </si>
  <si>
    <t>HOCKINSON</t>
  </si>
  <si>
    <t>06101</t>
  </si>
  <si>
    <t>06103</t>
  </si>
  <si>
    <t>GREEN MOUNTAIN</t>
  </si>
  <si>
    <t>06112</t>
  </si>
  <si>
    <t>WASHOUGAL</t>
  </si>
  <si>
    <t>06114</t>
  </si>
  <si>
    <t>06117</t>
  </si>
  <si>
    <t>CAMAS</t>
  </si>
  <si>
    <t>06119</t>
  </si>
  <si>
    <t>BATTLE GROUND</t>
  </si>
  <si>
    <t>06122</t>
  </si>
  <si>
    <t>RIDGEFIELD</t>
  </si>
  <si>
    <t>07002</t>
  </si>
  <si>
    <t>DAYTON</t>
  </si>
  <si>
    <t>07035</t>
  </si>
  <si>
    <t>STARBUCK</t>
  </si>
  <si>
    <t>08122</t>
  </si>
  <si>
    <t>LONGVIEW</t>
  </si>
  <si>
    <t>08130</t>
  </si>
  <si>
    <t>TOUTLE LAKE</t>
  </si>
  <si>
    <t>08401</t>
  </si>
  <si>
    <t>CASTLE ROCK</t>
  </si>
  <si>
    <t>08402</t>
  </si>
  <si>
    <t>KALAMA</t>
  </si>
  <si>
    <t>08404</t>
  </si>
  <si>
    <t>WOODLAND</t>
  </si>
  <si>
    <t>08458</t>
  </si>
  <si>
    <t>KELSO</t>
  </si>
  <si>
    <t>09013</t>
  </si>
  <si>
    <t>ORONDO</t>
  </si>
  <si>
    <t>09075</t>
  </si>
  <si>
    <t>BRIDGEPORT</t>
  </si>
  <si>
    <t>09102</t>
  </si>
  <si>
    <t>PALISADES</t>
  </si>
  <si>
    <t>09206</t>
  </si>
  <si>
    <t>EASTMONT</t>
  </si>
  <si>
    <t>09207</t>
  </si>
  <si>
    <t>MANSFIELD</t>
  </si>
  <si>
    <t>09209</t>
  </si>
  <si>
    <t>WATERVILLE</t>
  </si>
  <si>
    <t>10003</t>
  </si>
  <si>
    <t>KELLER</t>
  </si>
  <si>
    <t>10050</t>
  </si>
  <si>
    <t>CURLEW</t>
  </si>
  <si>
    <t>10065</t>
  </si>
  <si>
    <t>ORIENT</t>
  </si>
  <si>
    <t>10070</t>
  </si>
  <si>
    <t>INCHELIUM</t>
  </si>
  <si>
    <t>10309</t>
  </si>
  <si>
    <t>REPUBLIC</t>
  </si>
  <si>
    <t>11001</t>
  </si>
  <si>
    <t>PASCO</t>
  </si>
  <si>
    <t>11051</t>
  </si>
  <si>
    <t>NORTH FRANKLIN</t>
  </si>
  <si>
    <t>11054</t>
  </si>
  <si>
    <t>STAR</t>
  </si>
  <si>
    <t>11056</t>
  </si>
  <si>
    <t>KAHLOTUS</t>
  </si>
  <si>
    <t>12110</t>
  </si>
  <si>
    <t>POMEROY</t>
  </si>
  <si>
    <t>13073</t>
  </si>
  <si>
    <t>WAHLUKE</t>
  </si>
  <si>
    <t>13144</t>
  </si>
  <si>
    <t>QUINCY</t>
  </si>
  <si>
    <t>13146</t>
  </si>
  <si>
    <t>WARDEN</t>
  </si>
  <si>
    <t>13151</t>
  </si>
  <si>
    <t>COULEE-HARTLINE</t>
  </si>
  <si>
    <t>13156</t>
  </si>
  <si>
    <t>SOAP LAKE</t>
  </si>
  <si>
    <t>13160</t>
  </si>
  <si>
    <t>ROYAL</t>
  </si>
  <si>
    <t>13161</t>
  </si>
  <si>
    <t>MOSES LAKE</t>
  </si>
  <si>
    <t>13165</t>
  </si>
  <si>
    <t>EPHRATA</t>
  </si>
  <si>
    <t>13167</t>
  </si>
  <si>
    <t>WILSON CREEK</t>
  </si>
  <si>
    <t>13301</t>
  </si>
  <si>
    <t>GRAND COULEE DAM</t>
  </si>
  <si>
    <t>14005</t>
  </si>
  <si>
    <t>ABERDEEN</t>
  </si>
  <si>
    <t>14028</t>
  </si>
  <si>
    <t>HOQUIAM</t>
  </si>
  <si>
    <t>14064</t>
  </si>
  <si>
    <t>NORTH BEACH</t>
  </si>
  <si>
    <t>14065</t>
  </si>
  <si>
    <t>MC CLEARY</t>
  </si>
  <si>
    <t>14066</t>
  </si>
  <si>
    <t>MONTESANO</t>
  </si>
  <si>
    <t>14068</t>
  </si>
  <si>
    <t>ELMA</t>
  </si>
  <si>
    <t>14077</t>
  </si>
  <si>
    <t>TAHOLAH</t>
  </si>
  <si>
    <t>14097</t>
  </si>
  <si>
    <t>14099</t>
  </si>
  <si>
    <t>COSMOPOLIS</t>
  </si>
  <si>
    <t>14104</t>
  </si>
  <si>
    <t>SATSOP</t>
  </si>
  <si>
    <t>14117</t>
  </si>
  <si>
    <t>WISHKAH VALLEY</t>
  </si>
  <si>
    <t>14172</t>
  </si>
  <si>
    <t>OCOSTA</t>
  </si>
  <si>
    <t>14400</t>
  </si>
  <si>
    <t>OAKVILLE</t>
  </si>
  <si>
    <t>15201</t>
  </si>
  <si>
    <t>OAK HARBOR</t>
  </si>
  <si>
    <t>15204</t>
  </si>
  <si>
    <t>COUPEVILLE</t>
  </si>
  <si>
    <t>15206</t>
  </si>
  <si>
    <t>SOUTH WHIDBEY</t>
  </si>
  <si>
    <t>16020</t>
  </si>
  <si>
    <t>QUEETS-CLEARWATER</t>
  </si>
  <si>
    <t>16046</t>
  </si>
  <si>
    <t>BRINNON</t>
  </si>
  <si>
    <t>16048</t>
  </si>
  <si>
    <t>QUILCENE</t>
  </si>
  <si>
    <t>16049</t>
  </si>
  <si>
    <t>CHIMACUM</t>
  </si>
  <si>
    <t>16050</t>
  </si>
  <si>
    <t>PORT TOWNSEND</t>
  </si>
  <si>
    <t>17001</t>
  </si>
  <si>
    <t>SEATTLE</t>
  </si>
  <si>
    <t>17210</t>
  </si>
  <si>
    <t>FEDERAL WAY</t>
  </si>
  <si>
    <t>17216</t>
  </si>
  <si>
    <t>ENUMCLAW</t>
  </si>
  <si>
    <t>17400</t>
  </si>
  <si>
    <t>MERCER ISLAND</t>
  </si>
  <si>
    <t>17401</t>
  </si>
  <si>
    <t>HIGHLINE</t>
  </si>
  <si>
    <t>17402</t>
  </si>
  <si>
    <t>VASHON ISLAND</t>
  </si>
  <si>
    <t>17403</t>
  </si>
  <si>
    <t>RENTON</t>
  </si>
  <si>
    <t>17404</t>
  </si>
  <si>
    <t>SKYKOMISH</t>
  </si>
  <si>
    <t>17405</t>
  </si>
  <si>
    <t>BELLEVUE</t>
  </si>
  <si>
    <t>17406</t>
  </si>
  <si>
    <t xml:space="preserve">TUKWILA </t>
  </si>
  <si>
    <t>17407</t>
  </si>
  <si>
    <t>RIVERVIEW</t>
  </si>
  <si>
    <t>AUBURN</t>
  </si>
  <si>
    <t>17409</t>
  </si>
  <si>
    <t>TAHOMA</t>
  </si>
  <si>
    <t>17410</t>
  </si>
  <si>
    <t>17411</t>
  </si>
  <si>
    <t>ISSAQUAH</t>
  </si>
  <si>
    <t>17412</t>
  </si>
  <si>
    <t>SHORELINE</t>
  </si>
  <si>
    <t>17414</t>
  </si>
  <si>
    <t>LAKE WASHINGTON</t>
  </si>
  <si>
    <t>17415</t>
  </si>
  <si>
    <t>KENT</t>
  </si>
  <si>
    <t>17417</t>
  </si>
  <si>
    <t>NORTHSHORE</t>
  </si>
  <si>
    <t>18100</t>
  </si>
  <si>
    <t>BREMERTON</t>
  </si>
  <si>
    <t>18303</t>
  </si>
  <si>
    <t>BAINBRIDGE</t>
  </si>
  <si>
    <t>18400</t>
  </si>
  <si>
    <t>NORTH KITSAP</t>
  </si>
  <si>
    <t>18401</t>
  </si>
  <si>
    <t>CENTRAL KITSAP</t>
  </si>
  <si>
    <t>18402</t>
  </si>
  <si>
    <t>SOUTH KITSAP</t>
  </si>
  <si>
    <t>19007</t>
  </si>
  <si>
    <t>DAMMAN</t>
  </si>
  <si>
    <t>19028</t>
  </si>
  <si>
    <t>EASTON</t>
  </si>
  <si>
    <t>19400</t>
  </si>
  <si>
    <t>THORP</t>
  </si>
  <si>
    <t>19401</t>
  </si>
  <si>
    <t>ELLENSBURG</t>
  </si>
  <si>
    <t>19403</t>
  </si>
  <si>
    <t>KITTITAS</t>
  </si>
  <si>
    <t>19404</t>
  </si>
  <si>
    <t>CLE ELUM-ROSLYN</t>
  </si>
  <si>
    <t>20094</t>
  </si>
  <si>
    <t>WISHRAM</t>
  </si>
  <si>
    <t>20203</t>
  </si>
  <si>
    <t>BICKLETON</t>
  </si>
  <si>
    <t>20215</t>
  </si>
  <si>
    <t>CENTERVILLE</t>
  </si>
  <si>
    <t>20400</t>
  </si>
  <si>
    <t>TROUT LAKE</t>
  </si>
  <si>
    <t>20401</t>
  </si>
  <si>
    <t>GLENWOOD</t>
  </si>
  <si>
    <t>20402</t>
  </si>
  <si>
    <t>KLICKITAT</t>
  </si>
  <si>
    <t>20403</t>
  </si>
  <si>
    <t>ROOSEVELT</t>
  </si>
  <si>
    <t>20404</t>
  </si>
  <si>
    <t>GOLDENDALE</t>
  </si>
  <si>
    <t>20405</t>
  </si>
  <si>
    <t>WHITE SALMON</t>
  </si>
  <si>
    <t>20406</t>
  </si>
  <si>
    <t>LYLE</t>
  </si>
  <si>
    <t>21014</t>
  </si>
  <si>
    <t>NAPAVINE</t>
  </si>
  <si>
    <t>21036</t>
  </si>
  <si>
    <t>EVALINE</t>
  </si>
  <si>
    <t>21206</t>
  </si>
  <si>
    <t>MOSSYROCK</t>
  </si>
  <si>
    <t>21214</t>
  </si>
  <si>
    <t>MORTON</t>
  </si>
  <si>
    <t>21226</t>
  </si>
  <si>
    <t>ADNA</t>
  </si>
  <si>
    <t>21232</t>
  </si>
  <si>
    <t>WINLOCK</t>
  </si>
  <si>
    <t>21234</t>
  </si>
  <si>
    <t>BOISTFORT</t>
  </si>
  <si>
    <t>21237</t>
  </si>
  <si>
    <t>TOLEDO</t>
  </si>
  <si>
    <t>21300</t>
  </si>
  <si>
    <t>ONALASKA</t>
  </si>
  <si>
    <t>21301</t>
  </si>
  <si>
    <t>PE ELL</t>
  </si>
  <si>
    <t>21302</t>
  </si>
  <si>
    <t>CHEHALIS</t>
  </si>
  <si>
    <t>21303</t>
  </si>
  <si>
    <t>WHITE PASS</t>
  </si>
  <si>
    <t>21401</t>
  </si>
  <si>
    <t>CENTRALIA</t>
  </si>
  <si>
    <t>22008</t>
  </si>
  <si>
    <t>SPRAGUE</t>
  </si>
  <si>
    <t>22009</t>
  </si>
  <si>
    <t>REARDAN</t>
  </si>
  <si>
    <t>22017</t>
  </si>
  <si>
    <t>ALMIRA</t>
  </si>
  <si>
    <t>22073</t>
  </si>
  <si>
    <t>CRESTON</t>
  </si>
  <si>
    <t>22105</t>
  </si>
  <si>
    <t>ODESSA</t>
  </si>
  <si>
    <t>22200</t>
  </si>
  <si>
    <t>WILBUR</t>
  </si>
  <si>
    <t>22204</t>
  </si>
  <si>
    <t>HARRINGTON</t>
  </si>
  <si>
    <t>22207</t>
  </si>
  <si>
    <t>DAVENPORT</t>
  </si>
  <si>
    <t>23042</t>
  </si>
  <si>
    <t>SOUTHSIDE</t>
  </si>
  <si>
    <t>23054</t>
  </si>
  <si>
    <t>GRAPEVIEW</t>
  </si>
  <si>
    <t>23309</t>
  </si>
  <si>
    <t>SHELTON</t>
  </si>
  <si>
    <t>23311</t>
  </si>
  <si>
    <t>MARY M KNIGHT</t>
  </si>
  <si>
    <t>23402</t>
  </si>
  <si>
    <t>PIONEER</t>
  </si>
  <si>
    <t>23403</t>
  </si>
  <si>
    <t>NORTH MASON</t>
  </si>
  <si>
    <t>23404</t>
  </si>
  <si>
    <t>HOOD CANAL</t>
  </si>
  <si>
    <t>24014</t>
  </si>
  <si>
    <t>NESPELEM</t>
  </si>
  <si>
    <t>24019</t>
  </si>
  <si>
    <t>OMAK</t>
  </si>
  <si>
    <t>24105</t>
  </si>
  <si>
    <t>OKANOGAN</t>
  </si>
  <si>
    <t>24111</t>
  </si>
  <si>
    <t>BREWSTER</t>
  </si>
  <si>
    <t>24122</t>
  </si>
  <si>
    <t>PATEROS</t>
  </si>
  <si>
    <t>24350</t>
  </si>
  <si>
    <t>METHOW VALLEY</t>
  </si>
  <si>
    <t>24404</t>
  </si>
  <si>
    <t>TONASKET</t>
  </si>
  <si>
    <t>24410</t>
  </si>
  <si>
    <t>OROVILLE</t>
  </si>
  <si>
    <t>25101</t>
  </si>
  <si>
    <t>OCEAN BEACH</t>
  </si>
  <si>
    <t>25116</t>
  </si>
  <si>
    <t>RAYMOND</t>
  </si>
  <si>
    <t>25118</t>
  </si>
  <si>
    <t>SOUTH BEND</t>
  </si>
  <si>
    <t>25155</t>
  </si>
  <si>
    <t>25160</t>
  </si>
  <si>
    <t>WILLAPA VALLEY</t>
  </si>
  <si>
    <t>25200</t>
  </si>
  <si>
    <t>NORTH RIVER</t>
  </si>
  <si>
    <t>26056</t>
  </si>
  <si>
    <t>NEWPORT</t>
  </si>
  <si>
    <t>26059</t>
  </si>
  <si>
    <t>CUSICK</t>
  </si>
  <si>
    <t>26070</t>
  </si>
  <si>
    <t>SELKIRK</t>
  </si>
  <si>
    <t>27001</t>
  </si>
  <si>
    <t>STEILACOOM HIST.</t>
  </si>
  <si>
    <t>27003</t>
  </si>
  <si>
    <t>PUYALLUP</t>
  </si>
  <si>
    <t>27010</t>
  </si>
  <si>
    <t>TACOMA</t>
  </si>
  <si>
    <t>27019</t>
  </si>
  <si>
    <t>CARBONADO</t>
  </si>
  <si>
    <t>27083</t>
  </si>
  <si>
    <t>UNIVERSITY PLACE</t>
  </si>
  <si>
    <t>27320</t>
  </si>
  <si>
    <t>SUMNER</t>
  </si>
  <si>
    <t>27343</t>
  </si>
  <si>
    <t>DIERINGER</t>
  </si>
  <si>
    <t>27344</t>
  </si>
  <si>
    <t>ORTING</t>
  </si>
  <si>
    <t>27400</t>
  </si>
  <si>
    <t>CLOVER PARK</t>
  </si>
  <si>
    <t>27401</t>
  </si>
  <si>
    <t>PENINSULA</t>
  </si>
  <si>
    <t>27402</t>
  </si>
  <si>
    <t>FRANKLIN PIERCE</t>
  </si>
  <si>
    <t>27403</t>
  </si>
  <si>
    <t>BETHEL</t>
  </si>
  <si>
    <t>27404</t>
  </si>
  <si>
    <t>EATONVILLE</t>
  </si>
  <si>
    <t>27416</t>
  </si>
  <si>
    <t>WHITE RIVER</t>
  </si>
  <si>
    <t>27417</t>
  </si>
  <si>
    <t>FIFE</t>
  </si>
  <si>
    <t>28010</t>
  </si>
  <si>
    <t>SHAW</t>
  </si>
  <si>
    <t>28137</t>
  </si>
  <si>
    <t>ORCAS</t>
  </si>
  <si>
    <t>28144</t>
  </si>
  <si>
    <t>LOPEZ</t>
  </si>
  <si>
    <t>28149</t>
  </si>
  <si>
    <t>SAN JUAN</t>
  </si>
  <si>
    <t>29011</t>
  </si>
  <si>
    <t>CONCRETE</t>
  </si>
  <si>
    <t>29100</t>
  </si>
  <si>
    <t>29101</t>
  </si>
  <si>
    <t>SEDRO WOOLLEY</t>
  </si>
  <si>
    <t>29103</t>
  </si>
  <si>
    <t>ANACORTES</t>
  </si>
  <si>
    <t>29311</t>
  </si>
  <si>
    <t>LA CONNER</t>
  </si>
  <si>
    <t>29317</t>
  </si>
  <si>
    <t>CONWAY</t>
  </si>
  <si>
    <t>29320</t>
  </si>
  <si>
    <t>MT VERNON</t>
  </si>
  <si>
    <t>30002</t>
  </si>
  <si>
    <t>SKAMANIA</t>
  </si>
  <si>
    <t>30029</t>
  </si>
  <si>
    <t>MOUNT PLEASANT</t>
  </si>
  <si>
    <t>30031</t>
  </si>
  <si>
    <t>MILL A</t>
  </si>
  <si>
    <t>30303</t>
  </si>
  <si>
    <t>STEVENSON-CARSON</t>
  </si>
  <si>
    <t>31002</t>
  </si>
  <si>
    <t>EVERETT</t>
  </si>
  <si>
    <t>31004</t>
  </si>
  <si>
    <t>LAKE STEVENS</t>
  </si>
  <si>
    <t>31006</t>
  </si>
  <si>
    <t>MUKILTEO</t>
  </si>
  <si>
    <t>31015</t>
  </si>
  <si>
    <t>EDMONDS</t>
  </si>
  <si>
    <t>31016</t>
  </si>
  <si>
    <t>ARLINGTON</t>
  </si>
  <si>
    <t>31025</t>
  </si>
  <si>
    <t>MARYSVILLE</t>
  </si>
  <si>
    <t>31063</t>
  </si>
  <si>
    <t>INDEX</t>
  </si>
  <si>
    <t>31103</t>
  </si>
  <si>
    <t>MONROE</t>
  </si>
  <si>
    <t>31201</t>
  </si>
  <si>
    <t>SNOHOMISH</t>
  </si>
  <si>
    <t>31306</t>
  </si>
  <si>
    <t>LAKEWOOD</t>
  </si>
  <si>
    <t>31311</t>
  </si>
  <si>
    <t>SULTAN</t>
  </si>
  <si>
    <t>31330</t>
  </si>
  <si>
    <t>DARRINGTON</t>
  </si>
  <si>
    <t>31332</t>
  </si>
  <si>
    <t>GRANITE FALLS</t>
  </si>
  <si>
    <t>31401</t>
  </si>
  <si>
    <t>STANWOOD</t>
  </si>
  <si>
    <t>32081</t>
  </si>
  <si>
    <t>SPOKANE</t>
  </si>
  <si>
    <t>32123</t>
  </si>
  <si>
    <t>ORCHARD PRAIRIE</t>
  </si>
  <si>
    <t>32312</t>
  </si>
  <si>
    <t>GREAT NORTHERN</t>
  </si>
  <si>
    <t>32325</t>
  </si>
  <si>
    <t>NINE MILE FALLS</t>
  </si>
  <si>
    <t>32326</t>
  </si>
  <si>
    <t>MEDICAL LAKE</t>
  </si>
  <si>
    <t>32354</t>
  </si>
  <si>
    <t>MEAD</t>
  </si>
  <si>
    <t>32356</t>
  </si>
  <si>
    <t>CENTRAL VALLEY</t>
  </si>
  <si>
    <t>32358</t>
  </si>
  <si>
    <t>FREEMAN</t>
  </si>
  <si>
    <t>32360</t>
  </si>
  <si>
    <t>CHENEY</t>
  </si>
  <si>
    <t>32361</t>
  </si>
  <si>
    <t>32362</t>
  </si>
  <si>
    <t>LIBERTY</t>
  </si>
  <si>
    <t>32363</t>
  </si>
  <si>
    <t>32414</t>
  </si>
  <si>
    <t>DEER PARK</t>
  </si>
  <si>
    <t>32416</t>
  </si>
  <si>
    <t>RIVERSIDE</t>
  </si>
  <si>
    <t>33030</t>
  </si>
  <si>
    <t>ONION CREEK</t>
  </si>
  <si>
    <t>33036</t>
  </si>
  <si>
    <t>CHEWELAH</t>
  </si>
  <si>
    <t>33049</t>
  </si>
  <si>
    <t>WELLPINIT</t>
  </si>
  <si>
    <t>33070</t>
  </si>
  <si>
    <t>VALLEY</t>
  </si>
  <si>
    <t>33115</t>
  </si>
  <si>
    <t>COLVILLE</t>
  </si>
  <si>
    <t>33183</t>
  </si>
  <si>
    <t>LOON LAKE</t>
  </si>
  <si>
    <t>33202</t>
  </si>
  <si>
    <t>SUMMIT VALLEY</t>
  </si>
  <si>
    <t>33205</t>
  </si>
  <si>
    <t>33206</t>
  </si>
  <si>
    <t>33207</t>
  </si>
  <si>
    <t>MARY WALKER</t>
  </si>
  <si>
    <t>33211</t>
  </si>
  <si>
    <t>NORTHPORT</t>
  </si>
  <si>
    <t>33212</t>
  </si>
  <si>
    <t>KETTLE FALLS</t>
  </si>
  <si>
    <t>34002</t>
  </si>
  <si>
    <t>YELM</t>
  </si>
  <si>
    <t>34003</t>
  </si>
  <si>
    <t>NORTH THURSTON</t>
  </si>
  <si>
    <t>34033</t>
  </si>
  <si>
    <t>TUMWATER</t>
  </si>
  <si>
    <t>34111</t>
  </si>
  <si>
    <t>OLYMPIA</t>
  </si>
  <si>
    <t>34307</t>
  </si>
  <si>
    <t>RAINIER</t>
  </si>
  <si>
    <t>34324</t>
  </si>
  <si>
    <t>GRIFFIN</t>
  </si>
  <si>
    <t>34401</t>
  </si>
  <si>
    <t>ROCHESTER</t>
  </si>
  <si>
    <t>34402</t>
  </si>
  <si>
    <t>TENINO</t>
  </si>
  <si>
    <t>35200</t>
  </si>
  <si>
    <t>WAHKIAKUM</t>
  </si>
  <si>
    <t>36101</t>
  </si>
  <si>
    <t>DIXIE</t>
  </si>
  <si>
    <t>36140</t>
  </si>
  <si>
    <t>WALLA WALLA</t>
  </si>
  <si>
    <t>36250</t>
  </si>
  <si>
    <t>COLLEGE PLACE</t>
  </si>
  <si>
    <t>36300</t>
  </si>
  <si>
    <t>TOUCHET</t>
  </si>
  <si>
    <t>36400</t>
  </si>
  <si>
    <t>36401</t>
  </si>
  <si>
    <t>WAITSBURG</t>
  </si>
  <si>
    <t>36402</t>
  </si>
  <si>
    <t>PRESCOTT</t>
  </si>
  <si>
    <t>37501</t>
  </si>
  <si>
    <t>BELLINGHAM</t>
  </si>
  <si>
    <t>37502</t>
  </si>
  <si>
    <t>FERNDALE</t>
  </si>
  <si>
    <t>37503</t>
  </si>
  <si>
    <t>BLAINE</t>
  </si>
  <si>
    <t>37504</t>
  </si>
  <si>
    <t>LYNDEN</t>
  </si>
  <si>
    <t>37505</t>
  </si>
  <si>
    <t>MERIDIAN</t>
  </si>
  <si>
    <t>37506</t>
  </si>
  <si>
    <t>NOOKSACK VALLEY</t>
  </si>
  <si>
    <t>37507</t>
  </si>
  <si>
    <t>MOUNT BAKER</t>
  </si>
  <si>
    <t>38126</t>
  </si>
  <si>
    <t>LACROSSE JOINT</t>
  </si>
  <si>
    <t>38264</t>
  </si>
  <si>
    <t>LAMONT</t>
  </si>
  <si>
    <t>38265</t>
  </si>
  <si>
    <t>TEKOA</t>
  </si>
  <si>
    <t>38267</t>
  </si>
  <si>
    <t>PULLMAN</t>
  </si>
  <si>
    <t>38300</t>
  </si>
  <si>
    <t>COLFAX</t>
  </si>
  <si>
    <t>38301</t>
  </si>
  <si>
    <t>PALOUSE</t>
  </si>
  <si>
    <t>38302</t>
  </si>
  <si>
    <t>GARFIELD</t>
  </si>
  <si>
    <t>38304</t>
  </si>
  <si>
    <t>STEPTOE</t>
  </si>
  <si>
    <t>38306</t>
  </si>
  <si>
    <t>COLTON</t>
  </si>
  <si>
    <t>38308</t>
  </si>
  <si>
    <t>ENDICOTT</t>
  </si>
  <si>
    <t>38320</t>
  </si>
  <si>
    <t>ROSALIA</t>
  </si>
  <si>
    <t>38322</t>
  </si>
  <si>
    <t>ST JOHN</t>
  </si>
  <si>
    <t>38324</t>
  </si>
  <si>
    <t>OAKESDALE</t>
  </si>
  <si>
    <t>39002</t>
  </si>
  <si>
    <t>UNION GAP</t>
  </si>
  <si>
    <t>39003</t>
  </si>
  <si>
    <t>NACHES VALLEY</t>
  </si>
  <si>
    <t>39007</t>
  </si>
  <si>
    <t>YAKIMA</t>
  </si>
  <si>
    <t>39090</t>
  </si>
  <si>
    <t>39119</t>
  </si>
  <si>
    <t>SELAH</t>
  </si>
  <si>
    <t>39120</t>
  </si>
  <si>
    <t>MABTON</t>
  </si>
  <si>
    <t>39200</t>
  </si>
  <si>
    <t>GRANDVIEW</t>
  </si>
  <si>
    <t>39201</t>
  </si>
  <si>
    <t>SUNNYSIDE</t>
  </si>
  <si>
    <t>39202</t>
  </si>
  <si>
    <t>TOPPENISH</t>
  </si>
  <si>
    <t>39203</t>
  </si>
  <si>
    <t>HIGHLAND</t>
  </si>
  <si>
    <t>39204</t>
  </si>
  <si>
    <t>GRANGER</t>
  </si>
  <si>
    <t>39205</t>
  </si>
  <si>
    <t>ZILLAH</t>
  </si>
  <si>
    <t>39207</t>
  </si>
  <si>
    <t>WAPATO</t>
  </si>
  <si>
    <t>39208</t>
  </si>
  <si>
    <t>39209</t>
  </si>
  <si>
    <t>MOUNT ADAMS</t>
  </si>
  <si>
    <t>Class</t>
  </si>
  <si>
    <t>Basis</t>
  </si>
  <si>
    <t>Nonhigh</t>
  </si>
  <si>
    <t>CARRYOVER</t>
  </si>
  <si>
    <t>ACCT. 4159</t>
  </si>
  <si>
    <t>4121</t>
  </si>
  <si>
    <t>4155</t>
  </si>
  <si>
    <t>4165</t>
  </si>
  <si>
    <t>4174</t>
  </si>
  <si>
    <t>4199</t>
  </si>
  <si>
    <t>INST. 59</t>
  </si>
  <si>
    <t>STATE</t>
  </si>
  <si>
    <t>INST INDIRECT</t>
  </si>
  <si>
    <t>INST. 26</t>
  </si>
  <si>
    <t>FIRE DIST</t>
  </si>
  <si>
    <t>EXPEND</t>
  </si>
  <si>
    <t>PAY</t>
  </si>
  <si>
    <t>FTE</t>
  </si>
  <si>
    <t>ENHANCE</t>
  </si>
  <si>
    <t>ccddd</t>
  </si>
  <si>
    <t>Select District =&gt;</t>
  </si>
  <si>
    <t>04801</t>
  </si>
  <si>
    <t>06801</t>
  </si>
  <si>
    <t>11801</t>
  </si>
  <si>
    <t>17801</t>
  </si>
  <si>
    <t>18801</t>
  </si>
  <si>
    <t>29801</t>
  </si>
  <si>
    <t>32801</t>
  </si>
  <si>
    <t>34801</t>
  </si>
  <si>
    <t>39801</t>
  </si>
  <si>
    <t>Policy based on set amount</t>
  </si>
  <si>
    <t>Cash</t>
  </si>
  <si>
    <t>No</t>
  </si>
  <si>
    <t>Yes</t>
  </si>
  <si>
    <t>Accrual</t>
  </si>
  <si>
    <t>Cash Basis Districts - Recovery of Restricted Revenues</t>
  </si>
  <si>
    <t>Recovery</t>
  </si>
  <si>
    <t>Middle School Vocational Education Program 34</t>
  </si>
  <si>
    <t>State Institutions Program 59</t>
  </si>
  <si>
    <t>Highly Capable Program 74</t>
  </si>
  <si>
    <t>Current Year Allocation</t>
  </si>
  <si>
    <t>Student Transportation Program 99</t>
  </si>
  <si>
    <t>Revenue 7199</t>
  </si>
  <si>
    <t>Program 74 Recovery</t>
  </si>
  <si>
    <t>Bilingual Program 65</t>
  </si>
  <si>
    <t>Program 65 Recovery</t>
  </si>
  <si>
    <t>Program 99 Recovery</t>
  </si>
  <si>
    <t>Program 34 Carryover</t>
  </si>
  <si>
    <t>Program 59 Carryover</t>
  </si>
  <si>
    <t>Total Carryover Amounts</t>
  </si>
  <si>
    <t>Program 21 Recovery</t>
  </si>
  <si>
    <t>Program 26 Recovery</t>
  </si>
  <si>
    <t>Program 31 Recovery</t>
  </si>
  <si>
    <t>Program 34 Recovery</t>
  </si>
  <si>
    <t>Program 55 Recovery</t>
  </si>
  <si>
    <t>Program 56 Recovery</t>
  </si>
  <si>
    <t>Program 59 Recovery</t>
  </si>
  <si>
    <t>Total Recovery of Restricted Revenues (Cash Basis Only)</t>
  </si>
  <si>
    <t>GRAND TOTAL  RESTRICTED CARRYOVER/RECOVERY</t>
  </si>
  <si>
    <t>SHEET: FUND BALANCE SUMMARY</t>
  </si>
  <si>
    <t>(Briefly describe the Commitment)</t>
  </si>
  <si>
    <t>Debt Service</t>
  </si>
  <si>
    <t>EVERGREEN (CLARK)</t>
  </si>
  <si>
    <t>EAST VALLEY (SPOKANE)</t>
  </si>
  <si>
    <t>WEST VALLEY (SPOKANE)</t>
  </si>
  <si>
    <t>EVERGREEN (STEVENS)</t>
  </si>
  <si>
    <t>COLUMBIA (STEVENS)</t>
  </si>
  <si>
    <t>COLUMBIA (WALLA WALLA)</t>
  </si>
  <si>
    <t>EAST VALLEY (YAKIMA)</t>
  </si>
  <si>
    <t>WEST VALLEY (YAKIMA)</t>
  </si>
  <si>
    <t>(Click here for sample journal entries relating to recovery.)</t>
  </si>
  <si>
    <t>(Click here to go back to the GL 821 page.)</t>
  </si>
  <si>
    <t>JOURNAL ENTRIES: Recovery</t>
  </si>
  <si>
    <t>If an accrual-basis district has recovery of state revenues, they record a liability to the state.</t>
  </si>
  <si>
    <t>The offset is revenues (received but not "earned").</t>
  </si>
  <si>
    <t>XXX</t>
  </si>
  <si>
    <t>CR GL 630 Due to Other Governmental Units</t>
  </si>
  <si>
    <t>In the following year, the revenues will be reduced from the amount paid through Apportionment.</t>
  </si>
  <si>
    <t>The amount "earned" for that year is still the same, but some of it was paid in the prior year.</t>
  </si>
  <si>
    <t>DR GL 240 Cash on Deposit with County Treasurer</t>
  </si>
  <si>
    <t>XX</t>
  </si>
  <si>
    <t>DR GL 630 Due to Other Governmental Units</t>
  </si>
  <si>
    <t>CR GL 960 Revenues (w/ appropriate sub-coding)</t>
  </si>
  <si>
    <t>XXXXX</t>
  </si>
  <si>
    <t>DR GL 960 Revenues (w/ appropriate sub-coding)</t>
  </si>
  <si>
    <t>(same amount from prior year)</t>
  </si>
  <si>
    <t>GL 828 Restricted for Carryover of Food Service Revenue</t>
  </si>
  <si>
    <t>District</t>
  </si>
  <si>
    <t>TOTAL</t>
  </si>
  <si>
    <t xml:space="preserve">WASHTUCNA           </t>
  </si>
  <si>
    <t xml:space="preserve">OTHELLO             </t>
  </si>
  <si>
    <t xml:space="preserve">LIND                </t>
  </si>
  <si>
    <t xml:space="preserve">RITZVILLE           </t>
  </si>
  <si>
    <t xml:space="preserve">CLARKSTON           </t>
  </si>
  <si>
    <t xml:space="preserve">KENNEWICK           </t>
  </si>
  <si>
    <t xml:space="preserve">PATERSON            </t>
  </si>
  <si>
    <t xml:space="preserve">FINLEY              </t>
  </si>
  <si>
    <t xml:space="preserve">PROSSER             </t>
  </si>
  <si>
    <t xml:space="preserve">RICHLAND            </t>
  </si>
  <si>
    <t xml:space="preserve">MANSON              </t>
  </si>
  <si>
    <t xml:space="preserve">ENTIAT              </t>
  </si>
  <si>
    <t xml:space="preserve">LAKE CHELAN         </t>
  </si>
  <si>
    <t xml:space="preserve">CASHMERE            </t>
  </si>
  <si>
    <t xml:space="preserve">CASCADE             </t>
  </si>
  <si>
    <t xml:space="preserve">WENATCHEE           </t>
  </si>
  <si>
    <t xml:space="preserve">PORT ANGELES        </t>
  </si>
  <si>
    <t xml:space="preserve">CRESCENT            </t>
  </si>
  <si>
    <t xml:space="preserve">SEQUIM              </t>
  </si>
  <si>
    <t xml:space="preserve">CAPE FLATTERY       </t>
  </si>
  <si>
    <t xml:space="preserve">QUILLAYUTE VALLEY   </t>
  </si>
  <si>
    <t xml:space="preserve">VANCOUVER           </t>
  </si>
  <si>
    <t xml:space="preserve">HOCKINSON           </t>
  </si>
  <si>
    <t xml:space="preserve">GREEN MOUNTAIN      </t>
  </si>
  <si>
    <t xml:space="preserve">WASHOUGAL           </t>
  </si>
  <si>
    <t xml:space="preserve">CAMAS               </t>
  </si>
  <si>
    <t xml:space="preserve">BATTLE GROUND       </t>
  </si>
  <si>
    <t xml:space="preserve">RIDGEFIELD          </t>
  </si>
  <si>
    <t xml:space="preserve">DAYTON              </t>
  </si>
  <si>
    <t xml:space="preserve">LONGVIEW            </t>
  </si>
  <si>
    <t xml:space="preserve">TOUTLE LAKE         </t>
  </si>
  <si>
    <t xml:space="preserve">CASTLE ROCK         </t>
  </si>
  <si>
    <t xml:space="preserve">KALAMA              </t>
  </si>
  <si>
    <t xml:space="preserve">WOODLAND            </t>
  </si>
  <si>
    <t xml:space="preserve">KELSO               </t>
  </si>
  <si>
    <t xml:space="preserve">ORONDO              </t>
  </si>
  <si>
    <t xml:space="preserve">BRIDGEPORT          </t>
  </si>
  <si>
    <t xml:space="preserve">PALISADES           </t>
  </si>
  <si>
    <t xml:space="preserve">EASTMONT            </t>
  </si>
  <si>
    <t xml:space="preserve">MANSFIELD           </t>
  </si>
  <si>
    <t xml:space="preserve">WATERVILLE          </t>
  </si>
  <si>
    <t xml:space="preserve">KELLER              </t>
  </si>
  <si>
    <t xml:space="preserve">CURLEW              </t>
  </si>
  <si>
    <t xml:space="preserve">ORIENT              </t>
  </si>
  <si>
    <t xml:space="preserve">INCHELIUM           </t>
  </si>
  <si>
    <t xml:space="preserve">REPUBLIC            </t>
  </si>
  <si>
    <t xml:space="preserve">PASCO               </t>
  </si>
  <si>
    <t xml:space="preserve">NORTH FRANKLIN      </t>
  </si>
  <si>
    <t xml:space="preserve">KAHLOTUS            </t>
  </si>
  <si>
    <t xml:space="preserve">POMEROY             </t>
  </si>
  <si>
    <t xml:space="preserve">WAHLUKE             </t>
  </si>
  <si>
    <t xml:space="preserve">QUINCY              </t>
  </si>
  <si>
    <t xml:space="preserve">WARDEN              </t>
  </si>
  <si>
    <t xml:space="preserve">SOAP LAKE           </t>
  </si>
  <si>
    <t xml:space="preserve">ROYAL               </t>
  </si>
  <si>
    <t xml:space="preserve">MOSES LAKE          </t>
  </si>
  <si>
    <t xml:space="preserve">EPHRATA             </t>
  </si>
  <si>
    <t xml:space="preserve">WILSON CREEK        </t>
  </si>
  <si>
    <t xml:space="preserve">GRAND COULEE DAM    </t>
  </si>
  <si>
    <t xml:space="preserve">ABERDEEN            </t>
  </si>
  <si>
    <t xml:space="preserve">HOQUIAM             </t>
  </si>
  <si>
    <t xml:space="preserve">NORTH BEACH         </t>
  </si>
  <si>
    <t xml:space="preserve">MONTESANO           </t>
  </si>
  <si>
    <t xml:space="preserve">ELMA                </t>
  </si>
  <si>
    <t xml:space="preserve">TAHOLAH             </t>
  </si>
  <si>
    <t xml:space="preserve">QUINAULT            </t>
  </si>
  <si>
    <t xml:space="preserve">COSMOPOLIS          </t>
  </si>
  <si>
    <t xml:space="preserve">SATSOP              </t>
  </si>
  <si>
    <t xml:space="preserve">WISHKAH VALLEY      </t>
  </si>
  <si>
    <t xml:space="preserve">OCOSTA              </t>
  </si>
  <si>
    <t xml:space="preserve">OAKVILLE            </t>
  </si>
  <si>
    <t xml:space="preserve">OAK HARBOR          </t>
  </si>
  <si>
    <t xml:space="preserve">COUPEVILLE          </t>
  </si>
  <si>
    <t xml:space="preserve">SOUTH WHIDBEY       </t>
  </si>
  <si>
    <t xml:space="preserve">BRINNON             </t>
  </si>
  <si>
    <t xml:space="preserve">QUILCENE            </t>
  </si>
  <si>
    <t xml:space="preserve">CHIMACUM            </t>
  </si>
  <si>
    <t xml:space="preserve">PORT TOWNSEND       </t>
  </si>
  <si>
    <t xml:space="preserve">SEATTLE             </t>
  </si>
  <si>
    <t xml:space="preserve">FEDERAL WAY         </t>
  </si>
  <si>
    <t xml:space="preserve">ENUMCLAW            </t>
  </si>
  <si>
    <t xml:space="preserve">MERCER ISLAND       </t>
  </si>
  <si>
    <t xml:space="preserve">HIGHLINE            </t>
  </si>
  <si>
    <t xml:space="preserve">VASHON ISLAND       </t>
  </si>
  <si>
    <t xml:space="preserve">RENTON              </t>
  </si>
  <si>
    <t xml:space="preserve">SKYKOMISH           </t>
  </si>
  <si>
    <t xml:space="preserve">BELLEVUE            </t>
  </si>
  <si>
    <t xml:space="preserve">TUKWILA             </t>
  </si>
  <si>
    <t xml:space="preserve">RIVERVIEW           </t>
  </si>
  <si>
    <t xml:space="preserve">AUBURN              </t>
  </si>
  <si>
    <t xml:space="preserve">TAHOMA              </t>
  </si>
  <si>
    <t xml:space="preserve">SNOQUALMIE VALLEY   </t>
  </si>
  <si>
    <t xml:space="preserve">ISSAQUAH            </t>
  </si>
  <si>
    <t xml:space="preserve">SHORELINE           </t>
  </si>
  <si>
    <t xml:space="preserve">LAKE WASHINGTON     </t>
  </si>
  <si>
    <t xml:space="preserve">KENT                </t>
  </si>
  <si>
    <t xml:space="preserve">NORTHSHORE          </t>
  </si>
  <si>
    <t xml:space="preserve">BREMERTON           </t>
  </si>
  <si>
    <t xml:space="preserve">NORTH KITSAP        </t>
  </si>
  <si>
    <t xml:space="preserve">CENTRAL KITSAP      </t>
  </si>
  <si>
    <t xml:space="preserve">SOUTH KITSAP        </t>
  </si>
  <si>
    <t xml:space="preserve">EASTON              </t>
  </si>
  <si>
    <t xml:space="preserve">THORP               </t>
  </si>
  <si>
    <t xml:space="preserve">ELLENSBURG          </t>
  </si>
  <si>
    <t xml:space="preserve">KITTITAS            </t>
  </si>
  <si>
    <t xml:space="preserve">WISHRAM             </t>
  </si>
  <si>
    <t xml:space="preserve">CENTERVILLE         </t>
  </si>
  <si>
    <t xml:space="preserve">GLENWOOD            </t>
  </si>
  <si>
    <t xml:space="preserve">GOLDENDALE          </t>
  </si>
  <si>
    <t xml:space="preserve">WHITE SALMON        </t>
  </si>
  <si>
    <t xml:space="preserve">LYLE                </t>
  </si>
  <si>
    <t xml:space="preserve">NAPAVINE            </t>
  </si>
  <si>
    <t xml:space="preserve">MOSSYROCK           </t>
  </si>
  <si>
    <t xml:space="preserve">MORTON              </t>
  </si>
  <si>
    <t xml:space="preserve">ADNA                </t>
  </si>
  <si>
    <t xml:space="preserve">WINLOCK             </t>
  </si>
  <si>
    <t xml:space="preserve">BOISTFORT           </t>
  </si>
  <si>
    <t xml:space="preserve">TOLEDO              </t>
  </si>
  <si>
    <t xml:space="preserve">ONALASKA            </t>
  </si>
  <si>
    <t xml:space="preserve">PE ELL              </t>
  </si>
  <si>
    <t xml:space="preserve">CHEHALIS            </t>
  </si>
  <si>
    <t xml:space="preserve">WHITE PASS          </t>
  </si>
  <si>
    <t xml:space="preserve">CENTRALIA           </t>
  </si>
  <si>
    <t xml:space="preserve">SPRAGUE             </t>
  </si>
  <si>
    <t xml:space="preserve">ALMIRA              </t>
  </si>
  <si>
    <t xml:space="preserve">CRESTON             </t>
  </si>
  <si>
    <t xml:space="preserve">ODESSA              </t>
  </si>
  <si>
    <t xml:space="preserve">WILBUR              </t>
  </si>
  <si>
    <t xml:space="preserve">HARRINGTON          </t>
  </si>
  <si>
    <t xml:space="preserve">DAVENPORT           </t>
  </si>
  <si>
    <t xml:space="preserve">SOUTHSIDE           </t>
  </si>
  <si>
    <t xml:space="preserve">GRAPEVIEW           </t>
  </si>
  <si>
    <t xml:space="preserve">SHELTON             </t>
  </si>
  <si>
    <t xml:space="preserve">MARY M KNIGHT       </t>
  </si>
  <si>
    <t xml:space="preserve">PIONEER             </t>
  </si>
  <si>
    <t xml:space="preserve">NORTH MASON         </t>
  </si>
  <si>
    <t xml:space="preserve">HOOD CANAL          </t>
  </si>
  <si>
    <t xml:space="preserve">NESPELEM            </t>
  </si>
  <si>
    <t xml:space="preserve">OMAK                </t>
  </si>
  <si>
    <t xml:space="preserve">OKANOGAN            </t>
  </si>
  <si>
    <t xml:space="preserve">BREWSTER            </t>
  </si>
  <si>
    <t xml:space="preserve">PATEROS             </t>
  </si>
  <si>
    <t xml:space="preserve">METHOW VALLEY       </t>
  </si>
  <si>
    <t xml:space="preserve">TONASKET            </t>
  </si>
  <si>
    <t xml:space="preserve">OROVILLE            </t>
  </si>
  <si>
    <t xml:space="preserve">OCEAN BEACH         </t>
  </si>
  <si>
    <t xml:space="preserve">RAYMOND             </t>
  </si>
  <si>
    <t xml:space="preserve">SOUTH BEND          </t>
  </si>
  <si>
    <t>NASELLE GRAYS RIVER</t>
  </si>
  <si>
    <t xml:space="preserve">WILLAPA VALLEY      </t>
  </si>
  <si>
    <t xml:space="preserve">NORTH RIVER         </t>
  </si>
  <si>
    <t xml:space="preserve">NEWPORT             </t>
  </si>
  <si>
    <t xml:space="preserve">CUSICK              </t>
  </si>
  <si>
    <t xml:space="preserve">SELKIRK             </t>
  </si>
  <si>
    <t xml:space="preserve">STEILACOOM HIST.    </t>
  </si>
  <si>
    <t xml:space="preserve">PUYALLUP            </t>
  </si>
  <si>
    <t xml:space="preserve">TACOMA              </t>
  </si>
  <si>
    <t xml:space="preserve">CARBONADO           </t>
  </si>
  <si>
    <t xml:space="preserve">UNIVERSITY PLACE    </t>
  </si>
  <si>
    <t xml:space="preserve">SUMNER              </t>
  </si>
  <si>
    <t xml:space="preserve">DIERINGER           </t>
  </si>
  <si>
    <t xml:space="preserve">ORTING              </t>
  </si>
  <si>
    <t xml:space="preserve">CLOVER PARK         </t>
  </si>
  <si>
    <t xml:space="preserve">PENINSULA           </t>
  </si>
  <si>
    <t xml:space="preserve">FRANKLIN PIERCE     </t>
  </si>
  <si>
    <t xml:space="preserve">BETHEL              </t>
  </si>
  <si>
    <t xml:space="preserve">EATONVILLE          </t>
  </si>
  <si>
    <t xml:space="preserve">WHITE RIVER         </t>
  </si>
  <si>
    <t xml:space="preserve">FIFE                </t>
  </si>
  <si>
    <t xml:space="preserve">CONCRETE            </t>
  </si>
  <si>
    <t xml:space="preserve">SEDRO WOOLLEY       </t>
  </si>
  <si>
    <t xml:space="preserve">ANACORTES           </t>
  </si>
  <si>
    <t xml:space="preserve">LA CONNER           </t>
  </si>
  <si>
    <t xml:space="preserve">CONWAY              </t>
  </si>
  <si>
    <t xml:space="preserve">SKAMANIA            </t>
  </si>
  <si>
    <t xml:space="preserve">MILL A              </t>
  </si>
  <si>
    <t xml:space="preserve">EVERETT             </t>
  </si>
  <si>
    <t xml:space="preserve">LAKE STEVENS        </t>
  </si>
  <si>
    <t xml:space="preserve">MUKILTEO            </t>
  </si>
  <si>
    <t xml:space="preserve">EDMONDS             </t>
  </si>
  <si>
    <t xml:space="preserve">ARLINGTON           </t>
  </si>
  <si>
    <t xml:space="preserve">MARYSVILLE          </t>
  </si>
  <si>
    <t xml:space="preserve">INDEX               </t>
  </si>
  <si>
    <t xml:space="preserve">MONROE              </t>
  </si>
  <si>
    <t xml:space="preserve">SNOHOMISH           </t>
  </si>
  <si>
    <t xml:space="preserve">LAKEWOOD            </t>
  </si>
  <si>
    <t xml:space="preserve">SULTAN              </t>
  </si>
  <si>
    <t xml:space="preserve">DARRINGTON          </t>
  </si>
  <si>
    <t xml:space="preserve">GRANITE FALLS       </t>
  </si>
  <si>
    <t xml:space="preserve">SPOKANE             </t>
  </si>
  <si>
    <t xml:space="preserve">NINE MILE FALLS     </t>
  </si>
  <si>
    <t xml:space="preserve">MEDICAL LAKE        </t>
  </si>
  <si>
    <t xml:space="preserve">MEAD                </t>
  </si>
  <si>
    <t xml:space="preserve">CENTRAL VALLEY      </t>
  </si>
  <si>
    <t xml:space="preserve">FREEMAN             </t>
  </si>
  <si>
    <t xml:space="preserve">CHENEY              </t>
  </si>
  <si>
    <t xml:space="preserve">LIBERTY             </t>
  </si>
  <si>
    <t xml:space="preserve">DEER PARK           </t>
  </si>
  <si>
    <t xml:space="preserve">RIVERSIDE           </t>
  </si>
  <si>
    <t xml:space="preserve">ONION CREEK         </t>
  </si>
  <si>
    <t xml:space="preserve">CHEWELAH            </t>
  </si>
  <si>
    <t xml:space="preserve">WELLPINIT           </t>
  </si>
  <si>
    <t xml:space="preserve">VALLEY              </t>
  </si>
  <si>
    <t xml:space="preserve">COLVILLE            </t>
  </si>
  <si>
    <t xml:space="preserve">LOON LAKE           </t>
  </si>
  <si>
    <t xml:space="preserve">SUMMIT VALLEY       </t>
  </si>
  <si>
    <t xml:space="preserve">MARY WALKER         </t>
  </si>
  <si>
    <t xml:space="preserve">NORTHPORT           </t>
  </si>
  <si>
    <t xml:space="preserve">KETTLE FALLS        </t>
  </si>
  <si>
    <t xml:space="preserve">YELM                </t>
  </si>
  <si>
    <t xml:space="preserve">NORTH THURSTON      </t>
  </si>
  <si>
    <t xml:space="preserve">TUMWATER            </t>
  </si>
  <si>
    <t xml:space="preserve">OLYMPIA             </t>
  </si>
  <si>
    <t xml:space="preserve">RAINIER             </t>
  </si>
  <si>
    <t xml:space="preserve">GRIFFIN             </t>
  </si>
  <si>
    <t xml:space="preserve">ROCHESTER           </t>
  </si>
  <si>
    <t xml:space="preserve">TENINO              </t>
  </si>
  <si>
    <t xml:space="preserve">WAHKIAKUM           </t>
  </si>
  <si>
    <t xml:space="preserve">DIXIE               </t>
  </si>
  <si>
    <t xml:space="preserve">WALLA WALLA         </t>
  </si>
  <si>
    <t xml:space="preserve">COLLEGE PLACE       </t>
  </si>
  <si>
    <t xml:space="preserve">TOUCHET             </t>
  </si>
  <si>
    <t xml:space="preserve">WAITSBURG           </t>
  </si>
  <si>
    <t xml:space="preserve">PRESCOTT            </t>
  </si>
  <si>
    <t xml:space="preserve">BELLINGHAM          </t>
  </si>
  <si>
    <t xml:space="preserve">FERNDALE            </t>
  </si>
  <si>
    <t xml:space="preserve">BLAINE              </t>
  </si>
  <si>
    <t xml:space="preserve">LYNDEN              </t>
  </si>
  <si>
    <t xml:space="preserve">MERIDIAN            </t>
  </si>
  <si>
    <t xml:space="preserve">NOOKSACK VALLEY     </t>
  </si>
  <si>
    <t xml:space="preserve">MOUNT BAKER         </t>
  </si>
  <si>
    <t xml:space="preserve">LAMONT              </t>
  </si>
  <si>
    <t xml:space="preserve">TEKOA               </t>
  </si>
  <si>
    <t xml:space="preserve">PULLMAN             </t>
  </si>
  <si>
    <t xml:space="preserve">COLFAX              </t>
  </si>
  <si>
    <t xml:space="preserve">GARFIELD            </t>
  </si>
  <si>
    <t xml:space="preserve">COLTON              </t>
  </si>
  <si>
    <t xml:space="preserve">ENDICOTT            </t>
  </si>
  <si>
    <t xml:space="preserve">ROSALIA             </t>
  </si>
  <si>
    <t xml:space="preserve">ST JOHN             </t>
  </si>
  <si>
    <t xml:space="preserve">UNION GAP           </t>
  </si>
  <si>
    <t xml:space="preserve">NACHES VALLEY       </t>
  </si>
  <si>
    <t xml:space="preserve">YAKIMA              </t>
  </si>
  <si>
    <t xml:space="preserve">SELAH               </t>
  </si>
  <si>
    <t xml:space="preserve">MABTON              </t>
  </si>
  <si>
    <t xml:space="preserve">GRANDVIEW           </t>
  </si>
  <si>
    <t xml:space="preserve">SUNNYSIDE           </t>
  </si>
  <si>
    <t xml:space="preserve">TOPPENISH           </t>
  </si>
  <si>
    <t xml:space="preserve">HIGHLAND            </t>
  </si>
  <si>
    <t xml:space="preserve">GRANGER             </t>
  </si>
  <si>
    <t xml:space="preserve">ZILLAH              </t>
  </si>
  <si>
    <t xml:space="preserve">WAPATO              </t>
  </si>
  <si>
    <t xml:space="preserve">MOUNT ADAMS         </t>
  </si>
  <si>
    <t>Revenues</t>
  </si>
  <si>
    <t>TOTAL REVENUES</t>
  </si>
  <si>
    <t>Object 1 Allocation</t>
  </si>
  <si>
    <t>Net Expenditures</t>
  </si>
  <si>
    <t>*</t>
  </si>
  <si>
    <t>Food - Purchased Services</t>
  </si>
  <si>
    <t>Capital Outlay</t>
  </si>
  <si>
    <t>Total Direct Expenditures</t>
  </si>
  <si>
    <t>Unrestricted Indirect Rate</t>
  </si>
  <si>
    <t>TOTAL EXPENDITURES</t>
  </si>
  <si>
    <t>Excess (Deficiency) of Revenues Over Expenditures</t>
  </si>
  <si>
    <t>3 Months' Average Expenditures</t>
  </si>
  <si>
    <t>*This item is included in the indirect cost calculation.</t>
  </si>
  <si>
    <t>GL 825 Restricted for Skills Centers</t>
  </si>
  <si>
    <t>State Payment (Revenue 4X98)</t>
  </si>
  <si>
    <t>Federal Commodities (Revenue 6998)</t>
  </si>
  <si>
    <t>Other Payments (any other Revenue XX98)</t>
  </si>
  <si>
    <t>General Fund, Capital Projects Fund</t>
  </si>
  <si>
    <t>Skills Center - Payment from Other Districts (Revenue 7145)</t>
  </si>
  <si>
    <t>State Skills Center Funding (Blended in Revenue 3100)</t>
  </si>
  <si>
    <t>Skills Center - Tuition &amp; Fees (Revenue 2145)</t>
  </si>
  <si>
    <t>Skills Center - Sales of Goods, Supplies and Services (Revenue 2245)</t>
  </si>
  <si>
    <t>Other Skills Center Revenues</t>
  </si>
  <si>
    <t>Total Revenues</t>
  </si>
  <si>
    <t>Supervision (Activity 21)</t>
  </si>
  <si>
    <t>Learning Resources (Activity 22)</t>
  </si>
  <si>
    <t>Principal's Office (Activity 23)</t>
  </si>
  <si>
    <t>Guidance and Counseling (Activity 24)</t>
  </si>
  <si>
    <t>Health/Related Services (Activity 26)</t>
  </si>
  <si>
    <t>Teaching (Activity 27)</t>
  </si>
  <si>
    <t>Extracurricular (Activity 28)</t>
  </si>
  <si>
    <t>Payments to School Districts (Activity 29)</t>
  </si>
  <si>
    <t>Instructional Professional Development (Activity 31)</t>
  </si>
  <si>
    <t>Instructional Technology (Activity 32)</t>
  </si>
  <si>
    <t>Supervision (Activity 61)</t>
  </si>
  <si>
    <t>Grounds Maintenance (Activity 62)</t>
  </si>
  <si>
    <t>Operation of Buildings (Activity 63)</t>
  </si>
  <si>
    <t>Maintenance (Activity 64)</t>
  </si>
  <si>
    <t>Utilities (Activity 65)</t>
  </si>
  <si>
    <t>Building and Property Security (Activity 67)</t>
  </si>
  <si>
    <t>Insurance (Activity 68)</t>
  </si>
  <si>
    <t>Total Expenditures</t>
  </si>
  <si>
    <t>Skills Center - Federal through OSPI (Revenue 6146)</t>
  </si>
  <si>
    <t>Skills Center - Federal directly from Federal agency (Revenue 6246)</t>
  </si>
  <si>
    <t>Skills Center - Federal through state agency other than OSPI (Revenue 6346)</t>
  </si>
  <si>
    <t>Add: Payments from Member Districts</t>
  </si>
  <si>
    <t>Subtract: Amounts spent for Capital Improvements</t>
  </si>
  <si>
    <t>(Print a copy of this sheet, sign it, date it, and keep a copy on file for review by Child Nutrition Services and/or the auditors.)</t>
  </si>
  <si>
    <t>Salaries &amp; Benefits*</t>
  </si>
  <si>
    <t>Supplies (Do Not Include Food)*</t>
  </si>
  <si>
    <t>Purchased Services (Do Not Include Food)*</t>
  </si>
  <si>
    <t>Travel &amp; Other*</t>
  </si>
  <si>
    <t>Succeeding Year Allocation Limitation Based on Expenditures</t>
  </si>
  <si>
    <t>General Fund, ASB Fund, Capital Projects Fund, Transportation Vehicle Fund</t>
  </si>
  <si>
    <t>SNOQUALMIE VALLEY</t>
  </si>
  <si>
    <t>BURLINGTON EDISON</t>
  </si>
  <si>
    <t>Allowable Carryover</t>
  </si>
  <si>
    <t>GL 828 Carryover of Food Service Revenue</t>
  </si>
  <si>
    <t>Fire District Payment (Report 1191 line VI.10.)</t>
  </si>
  <si>
    <t>Fire District Payments</t>
  </si>
  <si>
    <t>July Payment (Report 1191 Line VI.10)</t>
  </si>
  <si>
    <t>District Expenditures</t>
  </si>
  <si>
    <t>GL 819 Restricted to Fund Purposes</t>
  </si>
  <si>
    <t>087A</t>
  </si>
  <si>
    <t>O7</t>
  </si>
  <si>
    <t>137A</t>
  </si>
  <si>
    <t>Z095</t>
  </si>
  <si>
    <t>076A</t>
  </si>
  <si>
    <t>136A</t>
  </si>
  <si>
    <t>Z266</t>
  </si>
  <si>
    <t>Z456</t>
  </si>
  <si>
    <t>040A</t>
  </si>
  <si>
    <t>200A</t>
  </si>
  <si>
    <t>116A</t>
  </si>
  <si>
    <t>E55</t>
  </si>
  <si>
    <t>198A</t>
  </si>
  <si>
    <t>E54</t>
  </si>
  <si>
    <t>A24</t>
  </si>
  <si>
    <t>A27</t>
  </si>
  <si>
    <t>RATE</t>
  </si>
  <si>
    <t>GL 862 Committed from Levy Proceeds</t>
  </si>
  <si>
    <t>Prog 21 Calc</t>
  </si>
  <si>
    <t>TBIP Total Alloc</t>
  </si>
  <si>
    <t>HiCap Total</t>
  </si>
  <si>
    <t>088A</t>
  </si>
  <si>
    <t xml:space="preserve"> 075A</t>
  </si>
  <si>
    <t>CARRYOVER ACCT. 4121</t>
  </si>
  <si>
    <t>CARRYOVER ACCT. 4155</t>
  </si>
  <si>
    <t>SPECIAL ED</t>
  </si>
  <si>
    <t>CTE MIN</t>
  </si>
  <si>
    <t>CTE</t>
  </si>
  <si>
    <t>MS CTE MIN</t>
  </si>
  <si>
    <t>CTE FTE</t>
  </si>
  <si>
    <t>CTE Enhance</t>
  </si>
  <si>
    <t>MS CTE</t>
  </si>
  <si>
    <t>&amp; INST 34</t>
  </si>
  <si>
    <t>17903</t>
  </si>
  <si>
    <t>18902</t>
  </si>
  <si>
    <t>37903</t>
  </si>
  <si>
    <t>GL 891 Unassigned to Minimum Fund Balance Policy</t>
  </si>
  <si>
    <t>GL 872 Economic Stabilization Policy</t>
  </si>
  <si>
    <t>GL 891 Unassigned MFBP</t>
  </si>
  <si>
    <t>Amount dedicated to Minimum Fund Balance Policy</t>
  </si>
  <si>
    <t>Percentage dedicated to Minimum Fund Balance Policy</t>
  </si>
  <si>
    <t>Amount Reported in GL 891</t>
  </si>
  <si>
    <t>Total Amount reported in GL 872</t>
  </si>
  <si>
    <t>Total Liabilities &amp; Deferred Inflows of Resources</t>
  </si>
  <si>
    <t>Select your district. This will populate the sheet appropriately.</t>
  </si>
  <si>
    <t>MUCKLESHOOT TRIBAL</t>
  </si>
  <si>
    <t>SUQUAMISH TRIBAL</t>
  </si>
  <si>
    <t>LUMMI TRIBAL</t>
  </si>
  <si>
    <t>Federal</t>
  </si>
  <si>
    <t>State</t>
  </si>
  <si>
    <t>Unrestricted</t>
  </si>
  <si>
    <t>Rate</t>
  </si>
  <si>
    <t>LACENTER</t>
  </si>
  <si>
    <t>TUKWILA</t>
  </si>
  <si>
    <t>EAST VALLEY</t>
  </si>
  <si>
    <t>I certify that any deficiency of revenues verses expenditures have been covered by non-Federal resources available to the district.</t>
  </si>
  <si>
    <t>14005 ABERDEEN SCHOOL DISTRICT</t>
  </si>
  <si>
    <t>21226 ADNA SCHOOL DISTRICT</t>
  </si>
  <si>
    <t>22017 ALMIRA SCHOOL DISTRICT</t>
  </si>
  <si>
    <t>29103 ANACORTES SCHOOL DISTRICT</t>
  </si>
  <si>
    <t>31016 ARLINGTON SCHOOL DISTRICT</t>
  </si>
  <si>
    <t>02420 ASOTIN-ANATONE SCHOOL DISTRICT</t>
  </si>
  <si>
    <t>17408 AUBURN SCHOOL DISTRICT</t>
  </si>
  <si>
    <t>18303 BAINBRIDGE ISLAND SCHOOL DISTRICT</t>
  </si>
  <si>
    <t>06119 BATTLE GROUND SCHOOL DISTRICT</t>
  </si>
  <si>
    <t>17405 BELLEVUE SCHOOL DISTRICT</t>
  </si>
  <si>
    <t>37501 BELLINGHAM SCHOOL DISTRICT</t>
  </si>
  <si>
    <t>01122 BENGE SCHOOL DISTRICT</t>
  </si>
  <si>
    <t>27403 BETHEL SCHOOL DISTRICT</t>
  </si>
  <si>
    <t>20203 BICKLETON SCHOOL DISTRICT</t>
  </si>
  <si>
    <t>37503 BLAINE SCHOOL DISTRICT</t>
  </si>
  <si>
    <t>21234 BOISTFORT SCHOOL DISTRICT</t>
  </si>
  <si>
    <t>18100 BREMERTON SCHOOL DISTRICT</t>
  </si>
  <si>
    <t>24111 BREWSTER SCHOOL DISTRICT</t>
  </si>
  <si>
    <t>09075 BRIDGEPORT SCHOOL DISTRICT</t>
  </si>
  <si>
    <t>16046 BRINNON SCHOOL DISTRICT</t>
  </si>
  <si>
    <t>29100 BURLINGTON-EDISON SCHOOL DISTRICT</t>
  </si>
  <si>
    <t>06117 CAMAS SCHOOL DISTRICT</t>
  </si>
  <si>
    <t>05401 CAPE FLATTERY SCHOOL DISTRICT</t>
  </si>
  <si>
    <t>27019 CARBONADO SCHOOL DISTRICT</t>
  </si>
  <si>
    <t>04228 CASCADE SCHOOL DISTRICT</t>
  </si>
  <si>
    <t>04222 CASHMERE SCHOOL DISTRICT</t>
  </si>
  <si>
    <t>08401 CASTLE ROCK SCHOOL DISTRICT</t>
  </si>
  <si>
    <t>20215 CENTERVILLE SCHOOL DISTRICT</t>
  </si>
  <si>
    <t>18401 CENTRAL KITSAP SCHOOL DISTRICT</t>
  </si>
  <si>
    <t>32356 CENTRAL VALLEY SCHOOL DISTRICT</t>
  </si>
  <si>
    <t>21401 CENTRALIA SCHOOL DISTRICT</t>
  </si>
  <si>
    <t>21302 CHEHALIS SCHOOL DISTRICT</t>
  </si>
  <si>
    <t>32360 CHENEY SCHOOL DISTRICT</t>
  </si>
  <si>
    <t>33036 CHEWELAH SCHOOL DISTRICT</t>
  </si>
  <si>
    <t>16049 CHIMACUM SCHOOL DISTRICT</t>
  </si>
  <si>
    <t>02250 CLARKSTON SCHOOL DISTRICT</t>
  </si>
  <si>
    <t>19404 CLE ELUM-ROSLYN SCHOOL DISTRICT</t>
  </si>
  <si>
    <t>27400 CLOVER PARK SCHOOL DISTRICT</t>
  </si>
  <si>
    <t>38300 COLFAX SCHOOL DISTRICT</t>
  </si>
  <si>
    <t>36250 COLLEGE PLACE SCHOOL DISTRICT</t>
  </si>
  <si>
    <t>38306 COLTON SCHOOL DISTRICT</t>
  </si>
  <si>
    <t>33206 COLUMBIA (STEVENS) SCHOOL DISTRICT</t>
  </si>
  <si>
    <t>36400 COLUMBIA (WALLA WALLA) SCHOOL DISTRICT</t>
  </si>
  <si>
    <t>33115 COLVILLE SCHOOL DISTRICT</t>
  </si>
  <si>
    <t>29011 CONCRETE SCHOOL DISTRICT</t>
  </si>
  <si>
    <t>29317 CONWAY SCHOOL DISTRICT</t>
  </si>
  <si>
    <t>14099 COSMOPOLIS SCHOOL DISTRICT</t>
  </si>
  <si>
    <t>13151 COULEE-HARTLINE SCHOOL DISTRICT</t>
  </si>
  <si>
    <t>15204 COUPEVILLE SCHOOL DISTRICT</t>
  </si>
  <si>
    <t>05313 CRESCENT SCHOOL DISTRICT</t>
  </si>
  <si>
    <t>22073 CRESTON SCHOOL DISTRICT</t>
  </si>
  <si>
    <t>10050 CURLEW SCHOOL DISTRICT</t>
  </si>
  <si>
    <t>26059 CUSICK SCHOOL DISTRICT</t>
  </si>
  <si>
    <t>19007 DAMMAN SCHOOL DISTRICT</t>
  </si>
  <si>
    <t>31330 DARRINGTON SCHOOL DISTRICT</t>
  </si>
  <si>
    <t>22207 DAVENPORT SCHOOL DISTRICT</t>
  </si>
  <si>
    <t>07002 DAYTON SCHOOL DISTRICT</t>
  </si>
  <si>
    <t>32414 DEER PARK SCHOOL DISTRICT</t>
  </si>
  <si>
    <t>27343 DIERINGER SCHOOL DISTRICT</t>
  </si>
  <si>
    <t>36101 DIXIE SCHOOL DISTRICT</t>
  </si>
  <si>
    <t>32361 EAST VALLEY SCHOOL DISTRICT (SPOKANE)</t>
  </si>
  <si>
    <t>39090 EAST VALLEY SCHOOL DISTRICT (YAKIMA)</t>
  </si>
  <si>
    <t>09206 EASTMONT SCHOOL DISTRICT</t>
  </si>
  <si>
    <t>19028 EASTON SCHOOL DISTRICT</t>
  </si>
  <si>
    <t>27404 EATONVILLE SCHOOL DISTRICT</t>
  </si>
  <si>
    <t>31015 EDMONDS SCHOOL DISTRICT</t>
  </si>
  <si>
    <t>19401 ELLENSBURG SCHOOL DISTRICT</t>
  </si>
  <si>
    <t>14068 ELMA SCHOOL DISTRICT</t>
  </si>
  <si>
    <t>38308 ENDICOTT SCHOOL DISTRICT</t>
  </si>
  <si>
    <t>04127 ENTIAT SCHOOL DISTRICT</t>
  </si>
  <si>
    <t>17216 ENUMCLAW SCHOOL DISTRICT</t>
  </si>
  <si>
    <t>13165 EPHRATA SCHOOL DISTRICT</t>
  </si>
  <si>
    <t>21036 EVALINE SCHOOL DISTRICT</t>
  </si>
  <si>
    <t>31002 EVERETT SCHOOL DISTRICT</t>
  </si>
  <si>
    <t>06114 EVERGREEN SCHOOL DISTRICT (CLARK)</t>
  </si>
  <si>
    <t>33205 EVERGREEN SCHOOL DISTRICT (STEVENS)</t>
  </si>
  <si>
    <t>17210 FEDERAL WAY SCHOOL DISTRICT</t>
  </si>
  <si>
    <t>37502 FERNDALE SCHOOL DISTRICT</t>
  </si>
  <si>
    <t>27417 FIFE SCHOOL DISTRICT</t>
  </si>
  <si>
    <t>03053 FINLEY SCHOOL DISTRICT</t>
  </si>
  <si>
    <t>27402 FRANKLIN PIERCE SCHOOL DISTRICT</t>
  </si>
  <si>
    <t>32358 FREEMAN SCHOOL DISTRICT</t>
  </si>
  <si>
    <t>38302 GARFIELD SCHOOL DISTRICT</t>
  </si>
  <si>
    <t>20401 GLENWOOD SCHOOL DISTRICT</t>
  </si>
  <si>
    <t>20404 GOLDENDALE SCHOOL DISTRICT</t>
  </si>
  <si>
    <t>13301 GRAND COULEE DAM SCHOOL DISTRICT</t>
  </si>
  <si>
    <t>39200 GRANDVIEW SCHOOL DISTRICT</t>
  </si>
  <si>
    <t>39204 GRANGER SCHOOL DISTRICT</t>
  </si>
  <si>
    <t>31332 GRANITE FALLS SCHOOL DISTRICT</t>
  </si>
  <si>
    <t>23054 GRAPEVIEW SCHOOL DISTRICT</t>
  </si>
  <si>
    <t>32312 GREAT NORTHERN SCHOOL DISTRICT</t>
  </si>
  <si>
    <t>06103 GREEN MOUNTAIN SCHOOL DISTRICT</t>
  </si>
  <si>
    <t>34324 GRIFFIN SCHOOL DISTRICT</t>
  </si>
  <si>
    <t>22204 HARRINGTON SCHOOL DISTRICT</t>
  </si>
  <si>
    <t>39203 HIGHLAND SCHOOL DISTRICT</t>
  </si>
  <si>
    <t>17401 HIGHLINE SCHOOL DISTRICT</t>
  </si>
  <si>
    <t>06098 HOCKINSON SCHOOL DISTRICT</t>
  </si>
  <si>
    <t>23404 HOOD CANAL SCHOOL DISTRICT</t>
  </si>
  <si>
    <t>14028 HOQUIAM SCHOOL DISTRICT</t>
  </si>
  <si>
    <t>10070 INCHELIUM SCHOOL DISTRICT</t>
  </si>
  <si>
    <t>31063 INDEX SCHOOL DISTRICT</t>
  </si>
  <si>
    <t>17411 ISSAQUAH SCHOOL DISTRICT</t>
  </si>
  <si>
    <t>11056 KAHLOTUS SCHOOL DISTRICT</t>
  </si>
  <si>
    <t>08402 KALAMA SCHOOL DISTRICT</t>
  </si>
  <si>
    <t>10003 KELLER SCHOOL DISTRICT</t>
  </si>
  <si>
    <t>08458 KELSO SCHOOL DISTRICT</t>
  </si>
  <si>
    <t>03017 KENNEWICK SCHOOL DISTRICT</t>
  </si>
  <si>
    <t>17415 KENT SCHOOL DISTRICT</t>
  </si>
  <si>
    <t>33212 KETTLE FALLS SCHOOL DISTRICT</t>
  </si>
  <si>
    <t>03052 KIONA-BENTON CITY SCHOOL DISTRICT</t>
  </si>
  <si>
    <t>19403 KITTITAS SCHOOL DISTRICT</t>
  </si>
  <si>
    <t>20402 KLICKITAT SCHOOL DISTRICT</t>
  </si>
  <si>
    <t>29311 LA CONNER SCHOOL DISTRICT</t>
  </si>
  <si>
    <t>06101 LA CENTER SCHOOL DISTRICT</t>
  </si>
  <si>
    <t>38126 LACROSSE SCHOOL DISTRICT</t>
  </si>
  <si>
    <t>04129 LAKE CHELAN SCHOOL DISTRICT</t>
  </si>
  <si>
    <t>31004 LAKE STEVENS SCHOOL DISTRICT</t>
  </si>
  <si>
    <t>17414 LAKE WASHINGTON SCHOOL DISTRICT</t>
  </si>
  <si>
    <t>31306 LAKEWOOD SCHOOL DISTRICT</t>
  </si>
  <si>
    <t>38264 LAMONT SCHOOL DISTRICT</t>
  </si>
  <si>
    <t>32362 LIBERTY SCHOOL DISTRICT</t>
  </si>
  <si>
    <t>01158 LIND SCHOOL DISTRICT</t>
  </si>
  <si>
    <t>08122 LONGVIEW SCHOOL DISTRICT</t>
  </si>
  <si>
    <t>33183 LOON LAKE SCHOOL DISTRICT</t>
  </si>
  <si>
    <t>28144 LOPEZ SCHOOL DISTRICT</t>
  </si>
  <si>
    <t>37903 LUMMI TRIBAL AGENCY</t>
  </si>
  <si>
    <t>20406 LYLE SCHOOL DISTRICT</t>
  </si>
  <si>
    <t>37504 LYNDEN SCHOOL DISTRICT</t>
  </si>
  <si>
    <t>39120 MABTON SCHOOL DISTRICT</t>
  </si>
  <si>
    <t>09207 MANSFIELD SCHOOL DISTRICT</t>
  </si>
  <si>
    <t>04019 MANSON SCHOOL DISTRICT</t>
  </si>
  <si>
    <t>23311 MARY M KNIGHT SCHOOL DISTRICT</t>
  </si>
  <si>
    <t>33207 MARY WALKER SCHOOL DISTRICT</t>
  </si>
  <si>
    <t>31025 MARYSVILLE SCHOOL DISTRICT</t>
  </si>
  <si>
    <t>14065 MCCLEARY SCHOOL DISTRICT</t>
  </si>
  <si>
    <t>32354 MEAD SCHOOL DISTRICT</t>
  </si>
  <si>
    <t>32326 MEDICAL LAKE SCHOOL DISTRICT</t>
  </si>
  <si>
    <t>17400 MERCER ISLAND SCHOOL DISTRICT</t>
  </si>
  <si>
    <t>37505 MERIDIAN SCHOOL DISTRICT</t>
  </si>
  <si>
    <t>24350 METHOW VALLEY SCHOOL DISTRICT</t>
  </si>
  <si>
    <t>30031 MILL A SCHOOL DISTRICT</t>
  </si>
  <si>
    <t>31103 MONROE SCHOOL DISTRICT</t>
  </si>
  <si>
    <t>14066 MONTESANO SCHOOL DISTRICT</t>
  </si>
  <si>
    <t>21214 MORTON SCHOOL DISTRICT</t>
  </si>
  <si>
    <t>13161 MOSES LAKE SCHOOL DISTRICT</t>
  </si>
  <si>
    <t>21206 MOSSYROCK SCHOOL DISTRICT</t>
  </si>
  <si>
    <t>39209 MOUNT ADAMS SCHOOL DISTRICT</t>
  </si>
  <si>
    <t>37507 MOUNT BAKER SCHOOL DISTRICT</t>
  </si>
  <si>
    <t>30029 MOUNT PLEASANT SCHOOL DISTRICT</t>
  </si>
  <si>
    <t>29320 MOUNT VERNON SCHOOL DISTRICT</t>
  </si>
  <si>
    <t>17903 MUCKLESHOOT INDIAN TRIBE</t>
  </si>
  <si>
    <t>31006 MUKILTEO SCHOOL DISTRICT</t>
  </si>
  <si>
    <t>39003 NACHES VALLEY SCHOOL DISTRICT</t>
  </si>
  <si>
    <t>21014 NAPAVINE SCHOOL DISTRICT</t>
  </si>
  <si>
    <t>25155 NASELLE-GRAYS RIVER VALLEY SCHOOL DISTRICT</t>
  </si>
  <si>
    <t>24014 NESPELEM SCHOOL DISTRICT</t>
  </si>
  <si>
    <t>26056 NEWPORT SCHOOL DISTRICT</t>
  </si>
  <si>
    <t>32325 NINE MILE FALLS SCHOOL DISTRICT</t>
  </si>
  <si>
    <t>37506 NOOKSACK VALLEY SCHOOL DISTRICT</t>
  </si>
  <si>
    <t>14064 NORTH BEACH SCHOOL DISTRICT</t>
  </si>
  <si>
    <t>11051 NORTH FRANKLIN SCHOOL DISTRICT</t>
  </si>
  <si>
    <t>18400 NORTH KITSAP SCHOOL DISTRICT</t>
  </si>
  <si>
    <t>23403 NORTH MASON SCHOOL DISTRICT</t>
  </si>
  <si>
    <t>25200 NORTH RIVER SCHOOL DISTRICT</t>
  </si>
  <si>
    <t>34003 NORTH THURSTON PUBLIC SCHOOLS</t>
  </si>
  <si>
    <t>33211 NORTHPORT SCHOOL DISTRICT</t>
  </si>
  <si>
    <t>17417 NORTHSHORE SCHOOL DISTRICT</t>
  </si>
  <si>
    <t>15201 OAK HARBOR SCHOOL DISTRICT</t>
  </si>
  <si>
    <t>38324 OAKESDALE SCHOOL DISTRICT</t>
  </si>
  <si>
    <t>14400 OAKVILLE SCHOOL DISTRICT</t>
  </si>
  <si>
    <t>25101 OCEAN BEACH SCHOOL DISTRICT</t>
  </si>
  <si>
    <t>14172 OCOSTA SCHOOL DISTRICT</t>
  </si>
  <si>
    <t>22105 ODESSA SCHOOL DISTRICT</t>
  </si>
  <si>
    <t>24105 OKANOGAN SCHOOL DISTRICT</t>
  </si>
  <si>
    <t>34111 OLYMPIA SCHOOL DISTRICT</t>
  </si>
  <si>
    <t>24019 OMAK SCHOOL DISTRICT</t>
  </si>
  <si>
    <t>21300 ONALASKA SCHOOL DISTRICT</t>
  </si>
  <si>
    <t>33030 ONION CREEK SCHOOL DISTRICT</t>
  </si>
  <si>
    <t>28137 ORCAS ISLAND SCHOOL DISTRICT</t>
  </si>
  <si>
    <t>32123 ORCHARD PRAIRIE SCHOOL DISTRICT</t>
  </si>
  <si>
    <t>10065 ORIENT SCHOOL DISTRICT</t>
  </si>
  <si>
    <t>09013 ORONDO SCHOOL DISTRICT</t>
  </si>
  <si>
    <t>24410 OROVILLE SCHOOL DISTRICT</t>
  </si>
  <si>
    <t>27344 ORTING SCHOOL DISTRICT</t>
  </si>
  <si>
    <t>01147 OTHELLO SCHOOL DISTRICT</t>
  </si>
  <si>
    <t>09102 PALISADES SCHOOL DISTRICT</t>
  </si>
  <si>
    <t>38301 PALOUSE SCHOOL DISTRICT</t>
  </si>
  <si>
    <t>11001 PASCO SCHOOL DISTRICT</t>
  </si>
  <si>
    <t>24122 PATEROS SCHOOL DISTRICT</t>
  </si>
  <si>
    <t>03050 PATERSON SCHOOL DISTRICT</t>
  </si>
  <si>
    <t>21301 PE ELL SCHOOL DISTRICT</t>
  </si>
  <si>
    <t>27401 PENINSULA SCHOOL DISTRICT</t>
  </si>
  <si>
    <t>23402 PIONEER SCHOOL DISTRICT</t>
  </si>
  <si>
    <t>12110 POMEROY SCHOOL DISTRICT</t>
  </si>
  <si>
    <t>05121 PORT ANGELES SCHOOL DISTRICT</t>
  </si>
  <si>
    <t>16050 PORT TOWNSEND SCHOOL DISTRICT</t>
  </si>
  <si>
    <t>36402 PRESCOTT SCHOOL DISTRICT</t>
  </si>
  <si>
    <t>PRIDE PREP CHARTER</t>
  </si>
  <si>
    <t>32907</t>
  </si>
  <si>
    <t>32907 PRIDE PREP CHARTER SCHOOL DISTRICT</t>
  </si>
  <si>
    <t>03116 PROSSER SCHOOL DISTRICT</t>
  </si>
  <si>
    <t>38267 PULLMAN SCHOOL DISTRICT</t>
  </si>
  <si>
    <t>27003 PUYALLUP SCHOOL DISTRICT</t>
  </si>
  <si>
    <t>16020 QUEETS-CLEARWATER SCHOOL DISTRICT</t>
  </si>
  <si>
    <t>16048 QUILCENE SCHOOL DISTRICT</t>
  </si>
  <si>
    <t>05402 QUILLAYUTE VALLEY SCHOOL DISTRICT</t>
  </si>
  <si>
    <t>14097 LAKE QUINAULT SCHOOL DISTRICT</t>
  </si>
  <si>
    <t>13144 QUINCY SCHOOL DISTRICT</t>
  </si>
  <si>
    <t>34307 RAINIER SCHOOL DISTRICT</t>
  </si>
  <si>
    <t>RAINIER PREP CHARTER</t>
  </si>
  <si>
    <t>17908</t>
  </si>
  <si>
    <t>17908 RAINIER PREP CHARTER SCHOOL DISTRICT</t>
  </si>
  <si>
    <t>25116 RAYMOND SCHOOL DISTRICT</t>
  </si>
  <si>
    <t>22009 REARDAN-EDWALL SCHOOL DISTRICT</t>
  </si>
  <si>
    <t>17403 RENTON SCHOOL DISTRICT</t>
  </si>
  <si>
    <t>10309 REPUBLIC SCHOOL DISTRICT</t>
  </si>
  <si>
    <t>03400 RICHLAND SCHOOL DISTRICT</t>
  </si>
  <si>
    <t>06122 RIDGEFIELD SCHOOL DISTRICT</t>
  </si>
  <si>
    <t>01160 RITZVILLE SCHOOL DISTRICT</t>
  </si>
  <si>
    <t>32416 RIVERSIDE SCHOOL DISTRICT</t>
  </si>
  <si>
    <t>17407 RIVERVIEW SCHOOL DISTRICT</t>
  </si>
  <si>
    <t>34401 ROCHESTER SCHOOL DISTRICT</t>
  </si>
  <si>
    <t>20403 ROOSEVELT SCHOOL DISTRICT</t>
  </si>
  <si>
    <t>38320 ROSALIA SCHOOL DISTRICT</t>
  </si>
  <si>
    <t>13160 ROYAL SCHOOL DISTRICT</t>
  </si>
  <si>
    <t>28149 SAN JUAN ISLAND SCHOOL DISTRICT</t>
  </si>
  <si>
    <t>14104 SATSOP SCHOOL DISTRICT</t>
  </si>
  <si>
    <t>17001 SEATTLE PUBLIC SCHOOLS</t>
  </si>
  <si>
    <t>29101 SEDRO-WOOLLEY SCHOOL DISTRICT</t>
  </si>
  <si>
    <t>39119 SELAH SCHOOL DISTRICT</t>
  </si>
  <si>
    <t>26070 SELKIRK SCHOOL DISTRICT</t>
  </si>
  <si>
    <t>05323 SEQUIM SCHOOL DISTRICT</t>
  </si>
  <si>
    <t>28010 SHAW ISLAND SCHOOL DISTRICT</t>
  </si>
  <si>
    <t>23309 SHELTON SCHOOL DISTRICT</t>
  </si>
  <si>
    <t>17412 SHORELINE SCHOOL DISTRICT</t>
  </si>
  <si>
    <t>30002 SKAMANIA SCHOOL DISTRICT</t>
  </si>
  <si>
    <t>17404 SKYKOMISH SCHOOL DISTRICT</t>
  </si>
  <si>
    <t>31201 SNOHOMISH SCHOOL DISTRICT</t>
  </si>
  <si>
    <t>17410 SNOQUALMIE VALLEY SCHOOL DISTRICT</t>
  </si>
  <si>
    <t>13156 SOAP LAKE SCHOOL DISTRICT</t>
  </si>
  <si>
    <t>25118 SOUTH BEND SCHOOL DISTRICT</t>
  </si>
  <si>
    <t>18402 SOUTH KITSAP SCHOOL DISTRICT</t>
  </si>
  <si>
    <t>15206 SOUTH WHIDBEY SCHOOL DISTRICT</t>
  </si>
  <si>
    <t>23042 SOUTHSIDE SCHOOL DISTRICT</t>
  </si>
  <si>
    <t>32081 SPOKANE SCHOOL DISTRICT</t>
  </si>
  <si>
    <t>SPOKANE INT'L CHARTER</t>
  </si>
  <si>
    <t>32901</t>
  </si>
  <si>
    <t>32901 SPOKANE INTERNATIONAL ACADEMY</t>
  </si>
  <si>
    <t>22008 SPRAGUE SCHOOL DISTRICT</t>
  </si>
  <si>
    <t>38322 ST. JOHN SCHOOL DISTRICT</t>
  </si>
  <si>
    <t>31401 STANWOOD-CAMANO SCHOOL DISTRICT</t>
  </si>
  <si>
    <t>11054 STAR SCHOOL DISTRICT NO. 054</t>
  </si>
  <si>
    <t>07035 STARBUCK SCHOOL DISTRICT</t>
  </si>
  <si>
    <t>04069 STEHEKIN SCHOOL DISTRICT</t>
  </si>
  <si>
    <t>27001 STEILACOOM HIST. SCHOOL DISTRICT</t>
  </si>
  <si>
    <t>38304 STEPTOE SCHOOL DISTRICT</t>
  </si>
  <si>
    <t>30303 STEVENSON-CARSON SCHOOL DISTRICT</t>
  </si>
  <si>
    <t>31311 SULTAN SCHOOL DISTRICT</t>
  </si>
  <si>
    <t>27905</t>
  </si>
  <si>
    <t>27905 SUMMIT PUBLIC SCHOOL: OLYMPUS</t>
  </si>
  <si>
    <t>17902</t>
  </si>
  <si>
    <t>17902 SUMMIT PUBLIC SCHOOL: SIERRA</t>
  </si>
  <si>
    <t>33202 SUMMIT VALLEY SCHOOL DISTRICT</t>
  </si>
  <si>
    <t>27320 SUMNER SCHOOL DISTRICT</t>
  </si>
  <si>
    <t>39201 SUNNYSIDE SCHOOL DISTRICT</t>
  </si>
  <si>
    <t>18902 SUQUAMISH TRIBAL EDUCATION DEPARTMENT</t>
  </si>
  <si>
    <t>27010 TACOMA SCHOOL DISTRICT</t>
  </si>
  <si>
    <t>14077 TAHOLAH SCHOOL DISTRICT</t>
  </si>
  <si>
    <t>17409 TAHOMA SCHOOL DISTRICT</t>
  </si>
  <si>
    <t>38265 TEKOA SCHOOL DISTRICT</t>
  </si>
  <si>
    <t>34402 TENINO SCHOOL DISTRICT</t>
  </si>
  <si>
    <t>19400 THORP SCHOOL DISTRICT</t>
  </si>
  <si>
    <t>21237 TOLEDO SCHOOL DISTRICT</t>
  </si>
  <si>
    <t>24404 TONASKET SCHOOL DISTRICT</t>
  </si>
  <si>
    <t>39202 TOPPENISH SCHOOL DISTRICT</t>
  </si>
  <si>
    <t>36300 TOUCHET SCHOOL DISTRICT</t>
  </si>
  <si>
    <t>08130 TOUTLE LAKE SCHOOL DISTRICT</t>
  </si>
  <si>
    <t>20400 TROUT LAKE SCHOOL DISTRICT</t>
  </si>
  <si>
    <t>17406 TUKWILA SCHOOL DISTRICT</t>
  </si>
  <si>
    <t>34033 TUMWATER SCHOOL DISTRICT</t>
  </si>
  <si>
    <t>39002 UNION GAP SCHOOL DISTRICT</t>
  </si>
  <si>
    <t>27083 UNIVERSITY PLACE SCHOOL DISTRICT</t>
  </si>
  <si>
    <t>33070 VALLEY SCHOOL DISTRICT</t>
  </si>
  <si>
    <t>06037 VANCOUVER SCHOOL DISTRICT</t>
  </si>
  <si>
    <t>17402 VASHON ISLAND SCHOOL DISTRICT</t>
  </si>
  <si>
    <t>35200 WAHKIAKUM SCHOOL DISTRICT</t>
  </si>
  <si>
    <t>13073 WAHLUKE SCHOOL DISTRICT</t>
  </si>
  <si>
    <t>36401 WAITSBURG SCHOOL DISTRICT</t>
  </si>
  <si>
    <t>36140 WALLA WALLA PUBLIC SCHOOLS</t>
  </si>
  <si>
    <t>39207 WAPATO SCHOOL DISTRICT</t>
  </si>
  <si>
    <t>13146 WARDEN SCHOOL DISTRICT</t>
  </si>
  <si>
    <t>06112 WASHOUGAL SCHOOL DISTRICT</t>
  </si>
  <si>
    <t>01109 WASHTUCNA SCHOOL DISTRICT</t>
  </si>
  <si>
    <t>09209 WATERVILLE SCHOOL DISTRICT</t>
  </si>
  <si>
    <t>33049 WELLPINIT SCHOOL DISTRICT</t>
  </si>
  <si>
    <t>04246 WENATCHEE SCHOOL DISTRICT</t>
  </si>
  <si>
    <t>32363 WEST VALLEY SCHOOL DISTRICT (SPOKANE)</t>
  </si>
  <si>
    <t>39208 WEST VALLEY SCHOOL DISTRICT (YAKIMA)</t>
  </si>
  <si>
    <t>21303 WHITE PASS SCHOOL DISTRICT</t>
  </si>
  <si>
    <t>27416 WHITE RIVER SCHOOL DISTRICT</t>
  </si>
  <si>
    <t>20405 WHITE SALMON VALLEY SCHOOL DISTRICT</t>
  </si>
  <si>
    <t>22200 WILBUR SCHOOL DISTRICT</t>
  </si>
  <si>
    <t>25160 WILLAPA VALLEY SCHOOL DISTRICT</t>
  </si>
  <si>
    <t>13167 WILSON CREEK SCHOOL DISTRICT</t>
  </si>
  <si>
    <t>21232 WINLOCK SCHOOL DISTRICT</t>
  </si>
  <si>
    <t>14117 WISHKAH VALLEY SCHOOL DISTRICT</t>
  </si>
  <si>
    <t>20094 WISHRAM SCHOOL DISTRICT</t>
  </si>
  <si>
    <t>08404 WOODLAND SCHOOL DISTRICT</t>
  </si>
  <si>
    <t>39007 YAKIMA SCHOOL DISTRICT</t>
  </si>
  <si>
    <t>34002 YELM SCHOOL DISTRICT</t>
  </si>
  <si>
    <t>39205 ZILLAH SCHOOL DISTRICT</t>
  </si>
  <si>
    <t xml:space="preserve">Carryover methodology: </t>
  </si>
  <si>
    <t>Allowed Carryover</t>
  </si>
  <si>
    <t>Unspent</t>
  </si>
  <si>
    <t>Voc Enhancement</t>
  </si>
  <si>
    <t>17905</t>
  </si>
  <si>
    <t>17910</t>
  </si>
  <si>
    <t xml:space="preserve">RAINIER PREP </t>
  </si>
  <si>
    <t>SUMMIT: ATLAS</t>
  </si>
  <si>
    <t>used for</t>
  </si>
  <si>
    <t>05903</t>
  </si>
  <si>
    <t>05903 QUILEUTE TRIBAL SCHOOL DISTRICT</t>
  </si>
  <si>
    <t>QUILEUTE TRIBAL</t>
  </si>
  <si>
    <t>Fund Balance Reporting Tool Instructions</t>
  </si>
  <si>
    <t>Each sheet has its own instructions and guidance copied from the Accounting Manual.</t>
  </si>
  <si>
    <t xml:space="preserve">GL 872 Committed to Economic Stabilization </t>
  </si>
  <si>
    <r>
      <t xml:space="preserve">From any other sheet, click on </t>
    </r>
    <r>
      <rPr>
        <b/>
        <sz val="12"/>
        <color rgb="FF0000FF"/>
        <rFont val="Calibri"/>
        <family val="2"/>
        <scheme val="minor"/>
      </rPr>
      <t xml:space="preserve">(Return to summary sheet) </t>
    </r>
    <r>
      <rPr>
        <sz val="12"/>
        <color theme="1"/>
        <rFont val="Calibri"/>
        <family val="2"/>
        <scheme val="minor"/>
      </rPr>
      <t>to return to the "Fund Balance Summary" sheet.</t>
    </r>
  </si>
  <si>
    <t>It is recommended that you save a copy of this excel file for your own use.</t>
  </si>
  <si>
    <t>Curriculum (Activity 33)</t>
  </si>
  <si>
    <t>Program 29 Carryover</t>
  </si>
  <si>
    <t>Special Education–Other–Federal Program 29</t>
  </si>
  <si>
    <t>Expenditures, Program 29</t>
  </si>
  <si>
    <t>Add Current Year Federal Award (Revenue 5329)</t>
  </si>
  <si>
    <t>Quileute Tribal</t>
  </si>
  <si>
    <t>Summit Sierra Charter</t>
  </si>
  <si>
    <t>Rainier Prep Charter</t>
  </si>
  <si>
    <t>Summit Olympus Charter</t>
  </si>
  <si>
    <t>Pride Prep Charter</t>
  </si>
  <si>
    <t>Lummi Tribal</t>
  </si>
  <si>
    <t>O7HP</t>
  </si>
  <si>
    <t>HP LAP Total</t>
  </si>
  <si>
    <t>Regular LAP Total</t>
  </si>
  <si>
    <t>06701</t>
  </si>
  <si>
    <t>06701 ESA 112</t>
  </si>
  <si>
    <t>17910 GREEN DOT: RAINIER VALLEY</t>
  </si>
  <si>
    <t>17905 SUMMIT: ATLAS</t>
  </si>
  <si>
    <t>WA HE LUT</t>
  </si>
  <si>
    <t>34901</t>
  </si>
  <si>
    <t>34901 WA HE LUT</t>
  </si>
  <si>
    <t>LAP Program 55 High Poverty</t>
  </si>
  <si>
    <t>LAP Program 55 Total Carryover</t>
  </si>
  <si>
    <t>Program 55 High Poverty Carryover</t>
  </si>
  <si>
    <r>
      <t xml:space="preserve">Apportionment Reports by </t>
    </r>
    <r>
      <rPr>
        <u/>
        <sz val="10"/>
        <color rgb="FF000000"/>
        <rFont val="Calibri"/>
        <family val="2"/>
        <scheme val="minor"/>
      </rPr>
      <t>Office of Superintendent of Public Instruction</t>
    </r>
    <r>
      <rPr>
        <sz val="10"/>
        <color rgb="FF000000"/>
        <rFont val="Calibri"/>
        <family val="2"/>
        <scheme val="minor"/>
      </rPr>
      <t xml:space="preserve"> is licensed under a </t>
    </r>
    <r>
      <rPr>
        <u/>
        <sz val="10"/>
        <color rgb="FF000000"/>
        <rFont val="Calibri"/>
        <family val="2"/>
        <scheme val="minor"/>
      </rPr>
      <t>Creative Commons Attribution 4.0 International License</t>
    </r>
  </si>
  <si>
    <t>27901</t>
  </si>
  <si>
    <t>17911</t>
  </si>
  <si>
    <t>39901</t>
  </si>
  <si>
    <t>FED RESTRICTED</t>
  </si>
  <si>
    <t>SUMNER – BONNEY LAKE</t>
  </si>
  <si>
    <t>Expenditures - Revenue 7199</t>
  </si>
  <si>
    <t>Sub-Funds</t>
  </si>
  <si>
    <t>Total Assets &amp; Deferred Outflows of Resources</t>
  </si>
  <si>
    <t>General Fund Equity Accounts, by SUB-FUND</t>
  </si>
  <si>
    <t xml:space="preserve">GENERAL FUND EQUITY ACCOUNTS, BY SUB-FUND </t>
  </si>
  <si>
    <t xml:space="preserve">Districts are encouraged to track Fund Balance Equity, by Sub-Fund.  </t>
  </si>
  <si>
    <t xml:space="preserve">Columns L &amp; M are added together in column N. </t>
  </si>
  <si>
    <t>Column O compares column N to column B.</t>
  </si>
  <si>
    <t xml:space="preserve"> 075Ahp</t>
  </si>
  <si>
    <t>LAP Regular</t>
  </si>
  <si>
    <t>LAP HiPov</t>
  </si>
  <si>
    <t>27901 CHIEF LESCHI TRIBAL COMPACT</t>
  </si>
  <si>
    <t xml:space="preserve">LAP Program 55 Total Recovery </t>
  </si>
  <si>
    <t>Summit Public School: Atlas</t>
  </si>
  <si>
    <t>Recovery Rate</t>
  </si>
  <si>
    <t xml:space="preserve">Recovery </t>
  </si>
  <si>
    <t xml:space="preserve">GL 828 Restricted for Carryover of Food Service Revenue </t>
  </si>
  <si>
    <t>This account is provided as a means for accumulating and restricting ending fund balance that derives from net gains of the district's food service program. The excess of food service program revenue over total expenditures is recorded in this account. Amounts in this account may only be used for the benefit of the district's food service program.</t>
  </si>
  <si>
    <t>For more information, see the Food Service Program Guidance in Appendix B of the Accounting Manual for School Districts in Washington state.</t>
  </si>
  <si>
    <t>INSTRUCTIONS:</t>
  </si>
  <si>
    <t>The County–District number field will pre-populate from the Fund Balance Summary worksheet.</t>
  </si>
  <si>
    <t>In cells B15:B21, enter the following amounts (top to bottom):</t>
  </si>
  <si>
    <t>If you have a deficiency of revenues over expenditures, (that is, cell D29 is negative), you will need to print out a copy of the worksheet, and sign the certification. This certifies that the district used non-federal resources to cover the deficit in the food service account.</t>
  </si>
  <si>
    <r>
      <rPr>
        <sz val="11"/>
        <color theme="1"/>
        <rFont val="Wingdings"/>
        <charset val="2"/>
      </rPr>
      <t>l</t>
    </r>
    <r>
      <rPr>
        <sz val="11"/>
        <color theme="1"/>
        <rFont val="Calibri"/>
        <family val="2"/>
        <scheme val="minor"/>
      </rPr>
      <t xml:space="preserve"> Salaries and Benefits (any expenditures coded to Objects 2, 3, or 4.)</t>
    </r>
  </si>
  <si>
    <r>
      <rPr>
        <sz val="11"/>
        <color theme="1"/>
        <rFont val="Wingdings"/>
        <charset val="2"/>
      </rPr>
      <t>l</t>
    </r>
    <r>
      <rPr>
        <sz val="11"/>
        <color theme="1"/>
        <rFont val="Calibri"/>
        <family val="2"/>
        <scheme val="minor"/>
      </rPr>
      <t xml:space="preserve">  Non-Food Services (any expenditures coded to Object 7 EXCEPT those in Activity 42.)</t>
    </r>
  </si>
  <si>
    <r>
      <rPr>
        <sz val="11"/>
        <color theme="1"/>
        <rFont val="Wingdings"/>
        <charset val="2"/>
      </rPr>
      <t>l</t>
    </r>
    <r>
      <rPr>
        <sz val="11"/>
        <color theme="1"/>
        <rFont val="Calibri"/>
        <family val="2"/>
        <scheme val="minor"/>
      </rPr>
      <t xml:space="preserve">  Food Services (Activity 42, Object 7).</t>
    </r>
  </si>
  <si>
    <r>
      <rPr>
        <sz val="11"/>
        <color theme="1"/>
        <rFont val="Wingdings"/>
        <charset val="2"/>
      </rPr>
      <t>l</t>
    </r>
    <r>
      <rPr>
        <sz val="11"/>
        <color theme="1"/>
        <rFont val="Calibri"/>
        <family val="2"/>
        <scheme val="minor"/>
      </rPr>
      <t xml:space="preserve">  Travel and Debit Transfers (any expenditures coded to Object 0 or Object 8.)</t>
    </r>
  </si>
  <si>
    <r>
      <rPr>
        <sz val="11"/>
        <color theme="1"/>
        <rFont val="Wingdings"/>
        <charset val="2"/>
      </rPr>
      <t>l</t>
    </r>
    <r>
      <rPr>
        <sz val="11"/>
        <color theme="1"/>
        <rFont val="Calibri"/>
        <family val="2"/>
        <scheme val="minor"/>
      </rPr>
      <t xml:space="preserve">  Capital Outlay (any expenditure coded to Object 9.)</t>
    </r>
  </si>
  <si>
    <r>
      <rPr>
        <sz val="11"/>
        <color theme="1"/>
        <rFont val="Wingdings"/>
        <charset val="2"/>
      </rPr>
      <t>l</t>
    </r>
    <r>
      <rPr>
        <sz val="11"/>
        <color theme="1"/>
        <rFont val="Calibri"/>
        <family val="2"/>
        <scheme val="minor"/>
      </rPr>
      <t xml:space="preserve"> Non-Food Supplies (any expenditures coded to Object 5 EXCEPT those in Activity 42.)</t>
    </r>
  </si>
  <si>
    <r>
      <rPr>
        <sz val="11"/>
        <color theme="1"/>
        <rFont val="Wingdings"/>
        <charset val="2"/>
      </rPr>
      <t>l</t>
    </r>
    <r>
      <rPr>
        <sz val="11"/>
        <color theme="1"/>
        <rFont val="Calibri"/>
        <family val="2"/>
        <scheme val="minor"/>
      </rPr>
      <t xml:space="preserve"> Food Supplies (Activity 42, Object 5).</t>
    </r>
  </si>
  <si>
    <t>Check Column B to Column N. Should equal zero</t>
  </si>
  <si>
    <t xml:space="preserve">Activity 34 Professional Learning Days </t>
  </si>
  <si>
    <t>Activity 34 Professional Learning Days: Allocation Carryover</t>
  </si>
  <si>
    <t>LUMMI TRIBAL AGENCY</t>
  </si>
  <si>
    <t>SUMMIT ATLAS</t>
  </si>
  <si>
    <t>YAKAMA NATION TRIBAL</t>
  </si>
  <si>
    <t>CHIEF LESCHI TRIBAL</t>
  </si>
  <si>
    <t>SUMMIT OLYMPUS</t>
  </si>
  <si>
    <t xml:space="preserve">SUMMIT SIERRA </t>
  </si>
  <si>
    <t>CHIEF LESCHI</t>
  </si>
  <si>
    <r>
      <t xml:space="preserve">It is recommended that districts print a copy of the completed </t>
    </r>
    <r>
      <rPr>
        <b/>
        <i/>
        <sz val="14"/>
        <color theme="1"/>
        <rFont val="Calibri"/>
        <family val="2"/>
        <scheme val="minor"/>
      </rPr>
      <t>GL828 worksheet</t>
    </r>
    <r>
      <rPr>
        <b/>
        <i/>
        <sz val="11"/>
        <color theme="1"/>
        <rFont val="Calibri"/>
        <family val="2"/>
        <scheme val="minor"/>
      </rPr>
      <t>, if applicable. Sign it, date it, and keep a copy on file for review by Child Nutrition Services and/or the auditors.</t>
    </r>
  </si>
  <si>
    <t>LA CENTER</t>
  </si>
  <si>
    <t>39901  YAKAMA NATION TRIBAL</t>
  </si>
  <si>
    <t>INST CARRYOVER</t>
  </si>
  <si>
    <t>INST. 4156</t>
  </si>
  <si>
    <t>ACCT. 4156 &amp; 34</t>
  </si>
  <si>
    <t>Z603</t>
  </si>
  <si>
    <t>CTE 9-12 TOTAL</t>
  </si>
  <si>
    <t xml:space="preserve">Basic Ed </t>
  </si>
  <si>
    <t xml:space="preserve">Alloc </t>
  </si>
  <si>
    <t>BASIC ED</t>
  </si>
  <si>
    <t>Per Student</t>
  </si>
  <si>
    <t>per Student</t>
  </si>
  <si>
    <t>Z583</t>
  </si>
  <si>
    <t>CTE 7-8 TOTAL</t>
  </si>
  <si>
    <t>Allocation</t>
  </si>
  <si>
    <t>Lessor of [Allocation or Net Expd-Carryover]</t>
  </si>
  <si>
    <t>2018-19       PLD 34</t>
  </si>
  <si>
    <t>Paul Entry</t>
  </si>
  <si>
    <t>Add Current Year Activity 34 Allocation</t>
  </si>
  <si>
    <t>4156 &amp; 34</t>
  </si>
  <si>
    <t>ACCT. 4126</t>
  </si>
  <si>
    <t>2019-20       PLD 34</t>
  </si>
  <si>
    <r>
      <rPr>
        <b/>
        <u/>
        <sz val="14"/>
        <color theme="1"/>
        <rFont val="Calibri"/>
        <family val="2"/>
        <scheme val="minor"/>
      </rPr>
      <t>SHEET: FUND BALANCE SUMMARY</t>
    </r>
    <r>
      <rPr>
        <b/>
        <sz val="14"/>
        <color theme="1"/>
        <rFont val="Calibri"/>
        <family val="2"/>
        <scheme val="minor"/>
      </rPr>
      <t xml:space="preserve"> — </t>
    </r>
    <r>
      <rPr>
        <b/>
        <u/>
        <sz val="14"/>
        <color theme="1"/>
        <rFont val="Calibri"/>
        <family val="2"/>
        <scheme val="minor"/>
      </rPr>
      <t>COLUMNS L and M</t>
    </r>
    <r>
      <rPr>
        <b/>
        <sz val="14"/>
        <color theme="1"/>
        <rFont val="Calibri"/>
        <family val="2"/>
        <scheme val="minor"/>
      </rPr>
      <t xml:space="preserve">   </t>
    </r>
    <r>
      <rPr>
        <sz val="12"/>
        <color theme="1"/>
        <rFont val="Calibri"/>
        <family val="2"/>
        <scheme val="minor"/>
      </rPr>
      <t xml:space="preserve">     </t>
    </r>
  </si>
  <si>
    <t xml:space="preserve">Direct Expenditures, Activity 34 </t>
  </si>
  <si>
    <t>18901</t>
  </si>
  <si>
    <t>18901 CATALYST PUBLIC SCHOOLS</t>
  </si>
  <si>
    <t>17916</t>
  </si>
  <si>
    <t>17916 IMPACT SALISH SEA ELEMENTARY</t>
  </si>
  <si>
    <t>32903</t>
  </si>
  <si>
    <t>32903 LUMEN HIGH SCHOOL</t>
  </si>
  <si>
    <t>ASOTIN-ANATONE</t>
  </si>
  <si>
    <t>CATALYST</t>
  </si>
  <si>
    <t>COLUMBIA (WALLA)</t>
  </si>
  <si>
    <t>COULEE/HARTLINE</t>
  </si>
  <si>
    <t>ESA 112</t>
  </si>
  <si>
    <t>ESD 101</t>
  </si>
  <si>
    <t>ESD 105</t>
  </si>
  <si>
    <t>ESD 112</t>
  </si>
  <si>
    <t>ESD 113</t>
  </si>
  <si>
    <t>ESD 123</t>
  </si>
  <si>
    <t>RAINIER VALLEY LEADERSHIP ACADEMY</t>
  </si>
  <si>
    <t>IMPACT PUGET SOUND</t>
  </si>
  <si>
    <t>IMPACT SALISH SEA</t>
  </si>
  <si>
    <t>LUMEN</t>
  </si>
  <si>
    <t>PRIDE PREP</t>
  </si>
  <si>
    <t>QUINAULT</t>
  </si>
  <si>
    <t>RAINIER PREP</t>
  </si>
  <si>
    <t>SPOKANE INT'L</t>
  </si>
  <si>
    <t>SUMMIT: OLYMPUS</t>
  </si>
  <si>
    <t>SUMMIT: SIERRA</t>
  </si>
  <si>
    <t>YAKAMA</t>
  </si>
  <si>
    <t>IMPACT PUBLIC SCHOOLS</t>
  </si>
  <si>
    <t>ESD 171</t>
  </si>
  <si>
    <t>ESD 189</t>
  </si>
  <si>
    <t>ESD 114</t>
  </si>
  <si>
    <t>ESD 121</t>
  </si>
  <si>
    <t>419902</t>
  </si>
  <si>
    <t xml:space="preserve">Stabilization </t>
  </si>
  <si>
    <t>2019-20</t>
  </si>
  <si>
    <t>Funds Available</t>
  </si>
  <si>
    <t>2020-21       PLD 34</t>
  </si>
  <si>
    <t>Transpo Stabl</t>
  </si>
  <si>
    <t>F-196</t>
  </si>
  <si>
    <t>KIONA-BENTON</t>
  </si>
  <si>
    <t>QUILEUTE TRIBAL SCHOOL</t>
  </si>
  <si>
    <t>EVERGREEN - CLARK</t>
  </si>
  <si>
    <t>MCCLEARY</t>
  </si>
  <si>
    <t>SUMMIT:ATLAS</t>
  </si>
  <si>
    <t>BAINBRIDGE ISLAND</t>
  </si>
  <si>
    <t>CATALYST CHARTER</t>
  </si>
  <si>
    <t>REARDAN-EDWALL</t>
  </si>
  <si>
    <t>NASELLE-GRAYS RIVER</t>
  </si>
  <si>
    <t>ORCAS ISLAND</t>
  </si>
  <si>
    <t xml:space="preserve">SAN JUAN ISLAND       </t>
  </si>
  <si>
    <t>BURLINGTON-EDISON</t>
  </si>
  <si>
    <t>MOUNT VERNON</t>
  </si>
  <si>
    <t>STANWOOD-CAMANO</t>
  </si>
  <si>
    <t>EAST VALLEY - SPOKANE</t>
  </si>
  <si>
    <t>WEST VALLEY - SPOKANE</t>
  </si>
  <si>
    <t>SPOKANE INTL ACADEMY</t>
  </si>
  <si>
    <t>LUMENS HIGH SCHOOL</t>
  </si>
  <si>
    <t>EVERGREEN - STEVENS</t>
  </si>
  <si>
    <t>COLUMBIA - STEVENS</t>
  </si>
  <si>
    <t xml:space="preserve">COLUMBIA - WALLA WALLA        </t>
  </si>
  <si>
    <t xml:space="preserve">EAST VALLEY  - YAKIMA     </t>
  </si>
  <si>
    <t xml:space="preserve">WEST VALLEY - YAKIMA    </t>
  </si>
  <si>
    <t>2020-21</t>
  </si>
  <si>
    <t>IMPACT COMMENCEMENT BAY</t>
  </si>
  <si>
    <t>27902</t>
  </si>
  <si>
    <t>LUMMI</t>
  </si>
  <si>
    <t>MUCKLESHOOT</t>
  </si>
  <si>
    <t>PINNACLES PREP</t>
  </si>
  <si>
    <t>38901</t>
  </si>
  <si>
    <t>37902</t>
  </si>
  <si>
    <t>QUILEUTE</t>
  </si>
  <si>
    <t>SUQUAMISH</t>
  </si>
  <si>
    <t>WHATCOM INTERGENERATIONAL</t>
  </si>
  <si>
    <t>17917</t>
  </si>
  <si>
    <t>WHY NOT YOU</t>
  </si>
  <si>
    <t>157A</t>
  </si>
  <si>
    <t>20-21 PLD 34</t>
  </si>
  <si>
    <t>2021-22       PLD 34</t>
  </si>
  <si>
    <t>32801 ESD 101</t>
  </si>
  <si>
    <t>39801 ESD 105</t>
  </si>
  <si>
    <t>06801 ESD 112</t>
  </si>
  <si>
    <t>11801 ESD 123</t>
  </si>
  <si>
    <t>04801 ESD 171</t>
  </si>
  <si>
    <t>27902 IMPACT COMMENCEMENT BAY CHARTER</t>
  </si>
  <si>
    <t>17917 WHY NOT YOU CHARTER</t>
  </si>
  <si>
    <t>2020-21         PLD 34</t>
  </si>
  <si>
    <t>04901</t>
  </si>
  <si>
    <t>04901 PINNACLES PREP CHARTER</t>
  </si>
  <si>
    <t>37902 WHATCOM INTERGENERATIONAL CHARTER</t>
  </si>
  <si>
    <t>17911 IMPACT PUGET SOUND ELEMENTARY</t>
  </si>
  <si>
    <t>34801 ESD 113</t>
  </si>
  <si>
    <t>18801 ESD 114</t>
  </si>
  <si>
    <t>17801 ESD 121</t>
  </si>
  <si>
    <t>29801 ESD 189</t>
  </si>
  <si>
    <t>Activity 34 Total</t>
  </si>
  <si>
    <t>Washtucna School District</t>
  </si>
  <si>
    <t>Benge School District</t>
  </si>
  <si>
    <t>Othello School District</t>
  </si>
  <si>
    <t>Lind School District</t>
  </si>
  <si>
    <t>Ritzville School District</t>
  </si>
  <si>
    <t>Clarkston School District</t>
  </si>
  <si>
    <t>Asotin-Anatone School District</t>
  </si>
  <si>
    <t>Kennewick School District</t>
  </si>
  <si>
    <t>Paterson School District</t>
  </si>
  <si>
    <t>Kiona-Benton City School District</t>
  </si>
  <si>
    <t>Finley School District</t>
  </si>
  <si>
    <t>Prosser School District</t>
  </si>
  <si>
    <t>Richland School District</t>
  </si>
  <si>
    <t>Manson School District</t>
  </si>
  <si>
    <t>Stehekin School District</t>
  </si>
  <si>
    <t>Entiat School District</t>
  </si>
  <si>
    <t>Lake Chelan School District</t>
  </si>
  <si>
    <t>CASHMERE SCHOOL DISTRICT</t>
  </si>
  <si>
    <t>Cascade School District</t>
  </si>
  <si>
    <t>Wenatchee School District</t>
  </si>
  <si>
    <t>Port Angeles School District</t>
  </si>
  <si>
    <t>Crescent School District</t>
  </si>
  <si>
    <t>Sequim School District</t>
  </si>
  <si>
    <t>Cape Flattery School District</t>
  </si>
  <si>
    <t>Quillayute Valley School District</t>
  </si>
  <si>
    <t>Quileute Tribal School District</t>
  </si>
  <si>
    <t>Vancouver School District</t>
  </si>
  <si>
    <t>Hockinson School District</t>
  </si>
  <si>
    <t>La Center School District</t>
  </si>
  <si>
    <t>Green Mountain School District</t>
  </si>
  <si>
    <t>Washougal School District</t>
  </si>
  <si>
    <t>Evergreen School District (Clark)</t>
  </si>
  <si>
    <t>Camas School District</t>
  </si>
  <si>
    <t>Battle Ground School District</t>
  </si>
  <si>
    <t>Ridgefield School District</t>
  </si>
  <si>
    <t>Dayton School District</t>
  </si>
  <si>
    <t>Starbuck School District</t>
  </si>
  <si>
    <t>Longview School District</t>
  </si>
  <si>
    <t>Toutle Lake School District</t>
  </si>
  <si>
    <t>Castle Rock School District</t>
  </si>
  <si>
    <t>Kalama School District</t>
  </si>
  <si>
    <t>Woodland School District</t>
  </si>
  <si>
    <t>Kelso School District</t>
  </si>
  <si>
    <t>Orondo School District</t>
  </si>
  <si>
    <t>Bridgeport School District</t>
  </si>
  <si>
    <t>Palisades School District</t>
  </si>
  <si>
    <t>Eastmont School District</t>
  </si>
  <si>
    <t>Mansfield School District</t>
  </si>
  <si>
    <t>Waterville School District</t>
  </si>
  <si>
    <t>Keller School District</t>
  </si>
  <si>
    <t>Curlew School District</t>
  </si>
  <si>
    <t>Orient School District</t>
  </si>
  <si>
    <t>Inchelium School District</t>
  </si>
  <si>
    <t>Republic School District</t>
  </si>
  <si>
    <t>Pasco School District</t>
  </si>
  <si>
    <t>North Franklin School District</t>
  </si>
  <si>
    <t>Star School District No. 054</t>
  </si>
  <si>
    <t>Kahlotus School District</t>
  </si>
  <si>
    <t>Pomeroy School District</t>
  </si>
  <si>
    <t>Wahluke School District</t>
  </si>
  <si>
    <t>Quincy School District</t>
  </si>
  <si>
    <t>Warden School District</t>
  </si>
  <si>
    <t>Coulee-Hartline School District</t>
  </si>
  <si>
    <t>Soap Lake School District</t>
  </si>
  <si>
    <t>Royal School District</t>
  </si>
  <si>
    <t>Moses Lake School District</t>
  </si>
  <si>
    <t>Ephrata School District</t>
  </si>
  <si>
    <t>Wilson Creek School District</t>
  </si>
  <si>
    <t>Grand Coulee Dam School District</t>
  </si>
  <si>
    <t>Aberdeen School District</t>
  </si>
  <si>
    <t>Hoquiam School District</t>
  </si>
  <si>
    <t>North Beach School District</t>
  </si>
  <si>
    <t>McCleary School District</t>
  </si>
  <si>
    <t>Montesano School District</t>
  </si>
  <si>
    <t>Elma School District</t>
  </si>
  <si>
    <t>Taholah School District</t>
  </si>
  <si>
    <t>Lake Quinault School District</t>
  </si>
  <si>
    <t>Cosmopolis School District</t>
  </si>
  <si>
    <t>Satsop School District</t>
  </si>
  <si>
    <t>Wishkah Valley School District</t>
  </si>
  <si>
    <t>Ocosta School District</t>
  </si>
  <si>
    <t>Oakville School District</t>
  </si>
  <si>
    <t>Oak Harbor School District</t>
  </si>
  <si>
    <t>Coupeville School District</t>
  </si>
  <si>
    <t>South Whidbey School District</t>
  </si>
  <si>
    <t>Queets-Clearwater School District</t>
  </si>
  <si>
    <t>Brinnon School District</t>
  </si>
  <si>
    <t>Quilcene School District</t>
  </si>
  <si>
    <t>Chimacum School District</t>
  </si>
  <si>
    <t>Port Townsend School District</t>
  </si>
  <si>
    <t>Seattle Public Schools</t>
  </si>
  <si>
    <t>Federal Way School District</t>
  </si>
  <si>
    <t>Enumclaw School District</t>
  </si>
  <si>
    <t>Mercer Island School District</t>
  </si>
  <si>
    <t>Highline School District</t>
  </si>
  <si>
    <t>Vashon Island School District</t>
  </si>
  <si>
    <t>Renton School District</t>
  </si>
  <si>
    <t>Skykomish School District</t>
  </si>
  <si>
    <t>Bellevue School District</t>
  </si>
  <si>
    <t>Tukwila School District</t>
  </si>
  <si>
    <t>Riverview School District</t>
  </si>
  <si>
    <t>Auburn School District</t>
  </si>
  <si>
    <t>Tahoma School District</t>
  </si>
  <si>
    <t>Snoqualmie Valley School District</t>
  </si>
  <si>
    <t>Issaquah School District</t>
  </si>
  <si>
    <t>Shoreline School District</t>
  </si>
  <si>
    <t>Lake Washington School District</t>
  </si>
  <si>
    <t>Kent School District</t>
  </si>
  <si>
    <t>Northshore School District</t>
  </si>
  <si>
    <t>Muckleshoot Indian Tribe</t>
  </si>
  <si>
    <t>Bremerton School District</t>
  </si>
  <si>
    <t>Bainbridge Island School District</t>
  </si>
  <si>
    <t>North Kitsap School District</t>
  </si>
  <si>
    <t>Central Kitsap School District</t>
  </si>
  <si>
    <t>South Kitsap School District</t>
  </si>
  <si>
    <t>Suquamish Tribal Education Department</t>
  </si>
  <si>
    <t>Damman School District</t>
  </si>
  <si>
    <t>Easton School District</t>
  </si>
  <si>
    <t>Thorp School District</t>
  </si>
  <si>
    <t>Ellensburg School District</t>
  </si>
  <si>
    <t>Kittitas School District</t>
  </si>
  <si>
    <t>Cle Elum-Roslyn School District</t>
  </si>
  <si>
    <t>Wishram School District</t>
  </si>
  <si>
    <t>Bickleton School District</t>
  </si>
  <si>
    <t>Centerville School District</t>
  </si>
  <si>
    <t>Trout Lake School District</t>
  </si>
  <si>
    <t>Glenwood School District</t>
  </si>
  <si>
    <t>Klickitat School District</t>
  </si>
  <si>
    <t>Roosevelt School District</t>
  </si>
  <si>
    <t>Goldendale School District</t>
  </si>
  <si>
    <t>White Salmon Valley School District</t>
  </si>
  <si>
    <t>Lyle School District</t>
  </si>
  <si>
    <t>Napavine School District</t>
  </si>
  <si>
    <t>Evaline School District</t>
  </si>
  <si>
    <t>Mossyrock School District</t>
  </si>
  <si>
    <t>Morton School District</t>
  </si>
  <si>
    <t>Adna School District</t>
  </si>
  <si>
    <t>Winlock School District</t>
  </si>
  <si>
    <t>Boistfort School District</t>
  </si>
  <si>
    <t>Toledo School District</t>
  </si>
  <si>
    <t>Onalaska School District</t>
  </si>
  <si>
    <t>Pe Ell School District</t>
  </si>
  <si>
    <t>Chehalis School District</t>
  </si>
  <si>
    <t>White Pass School District</t>
  </si>
  <si>
    <t>Centralia School District</t>
  </si>
  <si>
    <t>Sprague School District</t>
  </si>
  <si>
    <t>Reardan-Edwall School District</t>
  </si>
  <si>
    <t>Almira School District</t>
  </si>
  <si>
    <t>Creston School District</t>
  </si>
  <si>
    <t>Odessa School District</t>
  </si>
  <si>
    <t>Wilbur School District</t>
  </si>
  <si>
    <t>Harrington School District</t>
  </si>
  <si>
    <t>Davenport School District</t>
  </si>
  <si>
    <t>Southside School District</t>
  </si>
  <si>
    <t>Grapeview School District</t>
  </si>
  <si>
    <t>Shelton School District</t>
  </si>
  <si>
    <t>Mary M Knight School District</t>
  </si>
  <si>
    <t>Pioneer School District</t>
  </si>
  <si>
    <t>North Mason School District</t>
  </si>
  <si>
    <t>Hood Canal School District</t>
  </si>
  <si>
    <t>Omak School District</t>
  </si>
  <si>
    <t>Okanogan School District</t>
  </si>
  <si>
    <t>Brewster School District</t>
  </si>
  <si>
    <t>Pateros School District</t>
  </si>
  <si>
    <t>Methow Valley School District</t>
  </si>
  <si>
    <t>Tonasket School District</t>
  </si>
  <si>
    <t>Oroville School District</t>
  </si>
  <si>
    <t>Ocean Beach School District</t>
  </si>
  <si>
    <t>Raymond School District</t>
  </si>
  <si>
    <t>South Bend School District</t>
  </si>
  <si>
    <t>Naselle-Grays River Valley School District</t>
  </si>
  <si>
    <t>Willapa Valley School District</t>
  </si>
  <si>
    <t>North River School District</t>
  </si>
  <si>
    <t>Newport School District</t>
  </si>
  <si>
    <t>Cusick School District</t>
  </si>
  <si>
    <t>Selkirk School District</t>
  </si>
  <si>
    <t>Steilacoom Hist. School District</t>
  </si>
  <si>
    <t>Puyallup School District</t>
  </si>
  <si>
    <t>Tacoma School District</t>
  </si>
  <si>
    <t>Carbonado School District</t>
  </si>
  <si>
    <t>University Place School District</t>
  </si>
  <si>
    <t>Dieringer School District</t>
  </si>
  <si>
    <t>Orting School District</t>
  </si>
  <si>
    <t>Clover Park School District</t>
  </si>
  <si>
    <t>Peninsula School District</t>
  </si>
  <si>
    <t>Franklin Pierce School District</t>
  </si>
  <si>
    <t>Bethel School District</t>
  </si>
  <si>
    <t>Eatonville School District</t>
  </si>
  <si>
    <t>White River School District</t>
  </si>
  <si>
    <t>Fife School District</t>
  </si>
  <si>
    <t>Chief Leschi Tribal Compact</t>
  </si>
  <si>
    <t>Shaw Island School District</t>
  </si>
  <si>
    <t>Orcas Island School District</t>
  </si>
  <si>
    <t>San Juan Island School District</t>
  </si>
  <si>
    <t>Concrete School District</t>
  </si>
  <si>
    <t>Burlington-Edison School District</t>
  </si>
  <si>
    <t>Sedro-Woolley School District</t>
  </si>
  <si>
    <t>Anacortes School District</t>
  </si>
  <si>
    <t>La Conner School District</t>
  </si>
  <si>
    <t>Conway School District</t>
  </si>
  <si>
    <t>Mount Vernon School District</t>
  </si>
  <si>
    <t>Skamania School District</t>
  </si>
  <si>
    <t>Mount Pleasant School District</t>
  </si>
  <si>
    <t>Mill A School District</t>
  </si>
  <si>
    <t>Stevenson-Carson School District</t>
  </si>
  <si>
    <t>Everett School District</t>
  </si>
  <si>
    <t>Lake Stevens School District</t>
  </si>
  <si>
    <t>Mukilteo School District</t>
  </si>
  <si>
    <t>Edmonds School District</t>
  </si>
  <si>
    <t>Arlington School District</t>
  </si>
  <si>
    <t>Marysville School District</t>
  </si>
  <si>
    <t>Index School District</t>
  </si>
  <si>
    <t>Monroe School District</t>
  </si>
  <si>
    <t>Snohomish School District</t>
  </si>
  <si>
    <t>Lakewood School District</t>
  </si>
  <si>
    <t>Sultan School District</t>
  </si>
  <si>
    <t>Darrington School District</t>
  </si>
  <si>
    <t>Granite Falls School District</t>
  </si>
  <si>
    <t>Stanwood-Camano School District</t>
  </si>
  <si>
    <t>Spokane School District</t>
  </si>
  <si>
    <t>Orchard Prairie School District</t>
  </si>
  <si>
    <t>Great Northern School District</t>
  </si>
  <si>
    <t>Nine Mile Falls School District</t>
  </si>
  <si>
    <t>Medical Lake School District</t>
  </si>
  <si>
    <t>Mead School District</t>
  </si>
  <si>
    <t>Central Valley School District</t>
  </si>
  <si>
    <t>Freeman School District</t>
  </si>
  <si>
    <t>Cheney School District</t>
  </si>
  <si>
    <t>East Valley School District (Spokane)</t>
  </si>
  <si>
    <t>Liberty School District</t>
  </si>
  <si>
    <t>West Valley School District (Spokane)</t>
  </si>
  <si>
    <t>Deer Park School District</t>
  </si>
  <si>
    <t>Riverside School District</t>
  </si>
  <si>
    <t>Onion Creek School District</t>
  </si>
  <si>
    <t>Chewelah School District</t>
  </si>
  <si>
    <t>Wellpinit School District</t>
  </si>
  <si>
    <t>Valley School District</t>
  </si>
  <si>
    <t>Colville School District</t>
  </si>
  <si>
    <t>Loon Lake School District</t>
  </si>
  <si>
    <t>Summit Valley School District</t>
  </si>
  <si>
    <t>Evergreen School District (Stevens)</t>
  </si>
  <si>
    <t>Columbia (Stevens) School District</t>
  </si>
  <si>
    <t>Mary Walker School District</t>
  </si>
  <si>
    <t>Northport School District</t>
  </si>
  <si>
    <t>Kettle Falls School District</t>
  </si>
  <si>
    <t>Yelm School District</t>
  </si>
  <si>
    <t>North Thurston Public Schools</t>
  </si>
  <si>
    <t>Tumwater School District</t>
  </si>
  <si>
    <t>Olympia School District</t>
  </si>
  <si>
    <t>Rainier School District</t>
  </si>
  <si>
    <t>Griffin School District</t>
  </si>
  <si>
    <t>Rochester School District</t>
  </si>
  <si>
    <t>Tenino School District</t>
  </si>
  <si>
    <t>WA HE LUT Indian School Agency</t>
  </si>
  <si>
    <t>Wahkiakum School District</t>
  </si>
  <si>
    <t>Dixie School District</t>
  </si>
  <si>
    <t>Walla Walla Public Schools</t>
  </si>
  <si>
    <t>College Place School District</t>
  </si>
  <si>
    <t>Touchet School District</t>
  </si>
  <si>
    <t>Columbia (Walla Walla) School District</t>
  </si>
  <si>
    <t>Waitsburg School District</t>
  </si>
  <si>
    <t>Prescott School District</t>
  </si>
  <si>
    <t>Bellingham School District</t>
  </si>
  <si>
    <t>Ferndale School District</t>
  </si>
  <si>
    <t>Blaine School District</t>
  </si>
  <si>
    <t>Lynden School District</t>
  </si>
  <si>
    <t>Meridian School District</t>
  </si>
  <si>
    <t>Nooksack Valley School District</t>
  </si>
  <si>
    <t>Mount Baker School District</t>
  </si>
  <si>
    <t>Lummi Tribal Agency</t>
  </si>
  <si>
    <t>LaCrosse School District</t>
  </si>
  <si>
    <t>Lamont School District</t>
  </si>
  <si>
    <t>Tekoa School District</t>
  </si>
  <si>
    <t>Pullman School District</t>
  </si>
  <si>
    <t>Colfax School District</t>
  </si>
  <si>
    <t>Palouse School District</t>
  </si>
  <si>
    <t>Garfield School District</t>
  </si>
  <si>
    <t>Steptoe School District</t>
  </si>
  <si>
    <t>Colton School District</t>
  </si>
  <si>
    <t>Endicott School District</t>
  </si>
  <si>
    <t>Rosalia School District</t>
  </si>
  <si>
    <t>St. John School District</t>
  </si>
  <si>
    <t>Oakesdale School District</t>
  </si>
  <si>
    <t>Union Gap School District</t>
  </si>
  <si>
    <t>Naches Valley School District</t>
  </si>
  <si>
    <t>Yakima School District</t>
  </si>
  <si>
    <t>East Valley School District (Yakima)</t>
  </si>
  <si>
    <t>Selah School District</t>
  </si>
  <si>
    <t>Mabton School District</t>
  </si>
  <si>
    <t>Grandview School District</t>
  </si>
  <si>
    <t>Sunnyside School District</t>
  </si>
  <si>
    <t>Toppenish School District</t>
  </si>
  <si>
    <t>Highland School District</t>
  </si>
  <si>
    <t>Granger School District</t>
  </si>
  <si>
    <t>Zillah School District</t>
  </si>
  <si>
    <t>Wapato School District</t>
  </si>
  <si>
    <t>West Valley School District (Yakima)</t>
  </si>
  <si>
    <t>Mount Adams School District</t>
  </si>
  <si>
    <t>Yakama Nation Tribal Compact</t>
  </si>
  <si>
    <t>Pinnacles Prep</t>
  </si>
  <si>
    <t>Summit Public School: Sierra</t>
  </si>
  <si>
    <t>Rainier Prep Charter School District</t>
  </si>
  <si>
    <t xml:space="preserve">Rainier Valley Leadership Academy </t>
  </si>
  <si>
    <t>Impact | Puget Sound Elementary</t>
  </si>
  <si>
    <t>Impact | Salish Sea Elementary</t>
  </si>
  <si>
    <t>Catalyst Public Schools</t>
  </si>
  <si>
    <t>Impact | Commencement Bay Elementary</t>
  </si>
  <si>
    <t>Summit Public School: Olympus</t>
  </si>
  <si>
    <t>Spokane International Academy</t>
  </si>
  <si>
    <t>Lumen Public School</t>
  </si>
  <si>
    <t>Whatcom Intergenerational High School</t>
  </si>
  <si>
    <t>2020-21 FBRT</t>
  </si>
  <si>
    <t xml:space="preserve">2021-22 FBRT </t>
  </si>
  <si>
    <t>2021-22</t>
  </si>
  <si>
    <t>2021-22          PLD 34</t>
  </si>
  <si>
    <t>2019-20 FBRT</t>
  </si>
  <si>
    <t>Rev 4155 PD
LAP</t>
  </si>
  <si>
    <t>Rev 4165 PD
TBIP</t>
  </si>
  <si>
    <t>Rev 4174 PD
HiCap</t>
  </si>
  <si>
    <t>Rev 4121 PD
SpEd</t>
  </si>
  <si>
    <t>Rev 3100 PD
Gen Apport</t>
  </si>
  <si>
    <t>ACCRUAL DISTRCTS: AMOUNT TO RECORD IN GL 630 FOR POTENTIAL RECOVERY</t>
  </si>
  <si>
    <t>Orig F/B tool</t>
  </si>
  <si>
    <t>Another calc</t>
  </si>
  <si>
    <t>Carryover/ Recovery Tool</t>
  </si>
  <si>
    <t xml:space="preserve">Business Managers should enter values in the yellow cells provided in columns L &amp; M. This exercise is intended to split the Equity Accounts by sub-funds. </t>
  </si>
  <si>
    <r>
      <rPr>
        <b/>
        <sz val="10"/>
        <color theme="1"/>
        <rFont val="Calibri"/>
        <family val="2"/>
        <scheme val="minor"/>
      </rPr>
      <t>Activity 34:</t>
    </r>
    <r>
      <rPr>
        <sz val="10"/>
        <color theme="1"/>
        <rFont val="Calibri"/>
        <family val="2"/>
        <scheme val="minor"/>
      </rPr>
      <t xml:space="preserve"> RCW 43.09.2856: School district audits: (3) The use of the state allocation provided for professional learning under RCW 28A.150.415 must be audited as part of the regular financial audits of school districts by the state auditor's office to ensure compliance with the limitations and conditions of RCW 28A.150.415.</t>
    </r>
  </si>
  <si>
    <r>
      <t xml:space="preserve">In </t>
    </r>
    <r>
      <rPr>
        <b/>
        <sz val="11"/>
        <color theme="1"/>
        <rFont val="Calibri"/>
        <family val="2"/>
        <scheme val="minor"/>
      </rPr>
      <t>CELL C22</t>
    </r>
    <r>
      <rPr>
        <sz val="11"/>
        <color theme="1"/>
        <rFont val="Calibri"/>
        <family val="2"/>
        <scheme val="minor"/>
      </rPr>
      <t xml:space="preserve">, enter the total amount recorded as Credit Transfers in Object Code 1.  </t>
    </r>
    <r>
      <rPr>
        <b/>
        <sz val="11"/>
        <color theme="1"/>
        <rFont val="Calibri"/>
        <family val="2"/>
        <scheme val="minor"/>
      </rPr>
      <t>Enter it as a negative number</t>
    </r>
    <r>
      <rPr>
        <sz val="11"/>
        <color theme="1"/>
        <rFont val="Calibri"/>
        <family val="2"/>
        <scheme val="minor"/>
      </rPr>
      <t>.</t>
    </r>
  </si>
  <si>
    <t>Applied Indirect Expenditures *</t>
  </si>
  <si>
    <t>1191PLD</t>
  </si>
  <si>
    <t>GL 873 Committed to Depreciation Sub-Fund Facility Maintenance</t>
  </si>
  <si>
    <t>Total Amount reported in GL 873</t>
  </si>
  <si>
    <t xml:space="preserve">GL 873 Depreciation Sub-Fund Facility Maintenance </t>
  </si>
  <si>
    <t>GL 823 Restricted for Transition to Kindergarten</t>
  </si>
  <si>
    <t>GL 823 Restricted for Carryover of Transition to Kindergarten Revenues</t>
  </si>
  <si>
    <t>PINNACHLE PREP CHARTER</t>
  </si>
  <si>
    <t>IMPACT COMM BAY CHARTER</t>
  </si>
  <si>
    <t>IMPACT TACOMA</t>
  </si>
  <si>
    <t>Calculations on this sheet are intended to mirror the CNS 1800 Report for each district.</t>
  </si>
  <si>
    <t>TRN 4199 Total bfr Adjust</t>
  </si>
  <si>
    <t>Sort</t>
  </si>
  <si>
    <t>2021-22         PLD 34</t>
  </si>
  <si>
    <t xml:space="preserve">2022-23 FBRT </t>
  </si>
  <si>
    <t>2022-23       PLD 34</t>
  </si>
  <si>
    <t>22-23 PLD 34</t>
  </si>
  <si>
    <t>2022-23</t>
  </si>
  <si>
    <t>In cells D7:D11, enter the amount of food service-related revenues that your district received during the year (anything recorded in a XX98 Revenue Code) with the exception of 619811 Supply Chain Assistance which is prepopulated in cell F10.</t>
  </si>
  <si>
    <t>Paid Lunches (Revenue 2298) and (Revenue 2998)</t>
  </si>
  <si>
    <r>
      <rPr>
        <b/>
        <sz val="12"/>
        <color theme="1"/>
        <rFont val="Calibri"/>
        <family val="2"/>
        <scheme val="minor"/>
      </rPr>
      <t>Enter</t>
    </r>
    <r>
      <rPr>
        <sz val="12"/>
        <color theme="1"/>
        <rFont val="Calibri"/>
        <family val="2"/>
        <scheme val="minor"/>
      </rPr>
      <t xml:space="preserve"> the district's total assets and deferred outflows or resources, by fund on </t>
    </r>
    <r>
      <rPr>
        <b/>
        <sz val="12"/>
        <color theme="1"/>
        <rFont val="Calibri"/>
        <family val="2"/>
        <scheme val="minor"/>
      </rPr>
      <t>line  5</t>
    </r>
    <r>
      <rPr>
        <sz val="12"/>
        <color theme="1"/>
        <rFont val="Calibri"/>
        <family val="2"/>
        <scheme val="minor"/>
      </rPr>
      <t>.</t>
    </r>
  </si>
  <si>
    <r>
      <rPr>
        <b/>
        <sz val="12"/>
        <color theme="1"/>
        <rFont val="Calibri"/>
        <family val="2"/>
        <scheme val="minor"/>
      </rPr>
      <t>Enter</t>
    </r>
    <r>
      <rPr>
        <sz val="12"/>
        <color theme="1"/>
        <rFont val="Calibri"/>
        <family val="2"/>
        <scheme val="minor"/>
      </rPr>
      <t xml:space="preserve"> the district's total liabilities and deferred inflows of resources, by fund on</t>
    </r>
    <r>
      <rPr>
        <b/>
        <sz val="12"/>
        <color theme="1"/>
        <rFont val="Calibri"/>
        <family val="2"/>
        <scheme val="minor"/>
      </rPr>
      <t xml:space="preserve"> line 6</t>
    </r>
    <r>
      <rPr>
        <sz val="12"/>
        <color theme="1"/>
        <rFont val="Calibri"/>
        <family val="2"/>
        <scheme val="minor"/>
      </rPr>
      <t>.</t>
    </r>
  </si>
  <si>
    <t>Washtucna</t>
  </si>
  <si>
    <t>Othello</t>
  </si>
  <si>
    <t>Lind</t>
  </si>
  <si>
    <t>Ritzville</t>
  </si>
  <si>
    <t>Clarkston</t>
  </si>
  <si>
    <t>Asotin-Anatone</t>
  </si>
  <si>
    <t>Kennewick</t>
  </si>
  <si>
    <t>Paterson</t>
  </si>
  <si>
    <t>Kiona Benton</t>
  </si>
  <si>
    <t>Finley</t>
  </si>
  <si>
    <t>Prosser</t>
  </si>
  <si>
    <t>Richland</t>
  </si>
  <si>
    <t>Manson</t>
  </si>
  <si>
    <t>Entiat</t>
  </si>
  <si>
    <t>Lake Chelan</t>
  </si>
  <si>
    <t>Cashmere</t>
  </si>
  <si>
    <t>Cascade</t>
  </si>
  <si>
    <t>Wenatchee</t>
  </si>
  <si>
    <t>Pinnacle Prep Charter</t>
  </si>
  <si>
    <t>Port Angeles</t>
  </si>
  <si>
    <t>Crescent</t>
  </si>
  <si>
    <t>Sequim</t>
  </si>
  <si>
    <t>Cape Flattery</t>
  </si>
  <si>
    <t>Quillayute Valley</t>
  </si>
  <si>
    <t>Vancouver</t>
  </si>
  <si>
    <t>Hockinson</t>
  </si>
  <si>
    <t>Lacenter</t>
  </si>
  <si>
    <t>Green Mountain</t>
  </si>
  <si>
    <t>Washougal</t>
  </si>
  <si>
    <t>Evergreen (Clark)</t>
  </si>
  <si>
    <t>Camas</t>
  </si>
  <si>
    <t>Battle Ground</t>
  </si>
  <si>
    <t>Ridgefield</t>
  </si>
  <si>
    <t>Dayton</t>
  </si>
  <si>
    <t>Starbuck</t>
  </si>
  <si>
    <t>Longview</t>
  </si>
  <si>
    <t>Castle Rock</t>
  </si>
  <si>
    <t>Kalama</t>
  </si>
  <si>
    <t>Woodland</t>
  </si>
  <si>
    <t>Kelso</t>
  </si>
  <si>
    <t>Orondo</t>
  </si>
  <si>
    <t>Bridgeport</t>
  </si>
  <si>
    <t>Palisades</t>
  </si>
  <si>
    <t>Eastmont</t>
  </si>
  <si>
    <t>Mansfield</t>
  </si>
  <si>
    <t>Waterville</t>
  </si>
  <si>
    <t>Keller</t>
  </si>
  <si>
    <t>Curlew</t>
  </si>
  <si>
    <t>Orient</t>
  </si>
  <si>
    <t>Inchelium</t>
  </si>
  <si>
    <t>Republic</t>
  </si>
  <si>
    <t>Pasco</t>
  </si>
  <si>
    <t>North Franklin</t>
  </si>
  <si>
    <t>Kahlotus</t>
  </si>
  <si>
    <t>Pomeroy</t>
  </si>
  <si>
    <t>Wahluke</t>
  </si>
  <si>
    <t>Quincy</t>
  </si>
  <si>
    <t>Warden</t>
  </si>
  <si>
    <t>Coulee/Hartline</t>
  </si>
  <si>
    <t>Soap Lake</t>
  </si>
  <si>
    <t>Royal</t>
  </si>
  <si>
    <t>Moses Lake</t>
  </si>
  <si>
    <t>Ephrata</t>
  </si>
  <si>
    <t>Wilson Creek</t>
  </si>
  <si>
    <t>Grand Coulee Dam</t>
  </si>
  <si>
    <t>Aberdeen</t>
  </si>
  <si>
    <t>Hoquiam</t>
  </si>
  <si>
    <t>North Beach</t>
  </si>
  <si>
    <t>Mc Cleary</t>
  </si>
  <si>
    <t>Montesano</t>
  </si>
  <si>
    <t>Elma</t>
  </si>
  <si>
    <t>Taholah</t>
  </si>
  <si>
    <t>Quinault</t>
  </si>
  <si>
    <t>Cosmopolis</t>
  </si>
  <si>
    <t>Satsop</t>
  </si>
  <si>
    <t>Wishkah Valley</t>
  </si>
  <si>
    <t>Ocosta</t>
  </si>
  <si>
    <t>Oakville</t>
  </si>
  <si>
    <t>Oak Harbor</t>
  </si>
  <si>
    <t>Coupeville</t>
  </si>
  <si>
    <t>South Whidbey</t>
  </si>
  <si>
    <t>Queets-Clearwater</t>
  </si>
  <si>
    <t>Brinnon</t>
  </si>
  <si>
    <t>Quilcene</t>
  </si>
  <si>
    <t>Chimacum</t>
  </si>
  <si>
    <t>Port Townsend</t>
  </si>
  <si>
    <t>Seattle</t>
  </si>
  <si>
    <t>Federal Way</t>
  </si>
  <si>
    <t>Enumclaw</t>
  </si>
  <si>
    <t>Mercer Island</t>
  </si>
  <si>
    <t>Highline</t>
  </si>
  <si>
    <t>Vashon Island</t>
  </si>
  <si>
    <t>Renton</t>
  </si>
  <si>
    <t>Skykomish</t>
  </si>
  <si>
    <t>Bellevue</t>
  </si>
  <si>
    <t>Tukwila</t>
  </si>
  <si>
    <t>Riverview</t>
  </si>
  <si>
    <t>Auburn</t>
  </si>
  <si>
    <t>Tahoma</t>
  </si>
  <si>
    <t>Snoqualmie Valley</t>
  </si>
  <si>
    <t>Issaquah</t>
  </si>
  <si>
    <t>Shoreline</t>
  </si>
  <si>
    <t>Lake Washington</t>
  </si>
  <si>
    <t>Kent</t>
  </si>
  <si>
    <t>Northshore</t>
  </si>
  <si>
    <t>Summit Atlas Charter</t>
  </si>
  <si>
    <t>Impact Salish Sea Charter</t>
  </si>
  <si>
    <t>Why Not You Charter</t>
  </si>
  <si>
    <t>Bremerton</t>
  </si>
  <si>
    <t>Bainbridge</t>
  </si>
  <si>
    <t>North Kitsap</t>
  </si>
  <si>
    <t>Central Kitsap</t>
  </si>
  <si>
    <t>South Kitsap</t>
  </si>
  <si>
    <t>Catalyst Charter</t>
  </si>
  <si>
    <t>Easton</t>
  </si>
  <si>
    <t>Thorp</t>
  </si>
  <si>
    <t>Ellensburg</t>
  </si>
  <si>
    <t>Kittitas</t>
  </si>
  <si>
    <t>Cle Elum-Roslyn</t>
  </si>
  <si>
    <t>Wishram</t>
  </si>
  <si>
    <t>Centerville</t>
  </si>
  <si>
    <t>Glenwood</t>
  </si>
  <si>
    <t>Klickitat</t>
  </si>
  <si>
    <t>Goldendale</t>
  </si>
  <si>
    <t>White Salmon</t>
  </si>
  <si>
    <t>Napavine</t>
  </si>
  <si>
    <t>Mossyrock</t>
  </si>
  <si>
    <t>Morton</t>
  </si>
  <si>
    <t>Adna</t>
  </si>
  <si>
    <t>Winlock</t>
  </si>
  <si>
    <t>Boistfort</t>
  </si>
  <si>
    <t>Toledo</t>
  </si>
  <si>
    <t>Onalaska</t>
  </si>
  <si>
    <t>Pe Ell</t>
  </si>
  <si>
    <t>Chehalis</t>
  </si>
  <si>
    <t>White Pass</t>
  </si>
  <si>
    <t>Centralia</t>
  </si>
  <si>
    <t>Sprague</t>
  </si>
  <si>
    <t>Reardan</t>
  </si>
  <si>
    <t>Almira</t>
  </si>
  <si>
    <t>Creston</t>
  </si>
  <si>
    <t>Odessa</t>
  </si>
  <si>
    <t>Wilbur</t>
  </si>
  <si>
    <t>Harrington</t>
  </si>
  <si>
    <t>Davenport</t>
  </si>
  <si>
    <t>Southside</t>
  </si>
  <si>
    <t>Grapeview</t>
  </si>
  <si>
    <t>Shelton</t>
  </si>
  <si>
    <t>Mary M Knight</t>
  </si>
  <si>
    <t>Pioneer</t>
  </si>
  <si>
    <t>North Mason</t>
  </si>
  <si>
    <t>Hood Canal</t>
  </si>
  <si>
    <t>Nespelem</t>
  </si>
  <si>
    <t>Omak</t>
  </si>
  <si>
    <t>Okanogan</t>
  </si>
  <si>
    <t>Brewster</t>
  </si>
  <si>
    <t>Pateros</t>
  </si>
  <si>
    <t>Methow Valley</t>
  </si>
  <si>
    <t>Tonasket</t>
  </si>
  <si>
    <t>Oroville</t>
  </si>
  <si>
    <t>Ocean Beach</t>
  </si>
  <si>
    <t>Raymond</t>
  </si>
  <si>
    <t>South Bend</t>
  </si>
  <si>
    <t>Naselle Grays Riv</t>
  </si>
  <si>
    <t>Willapa Valley</t>
  </si>
  <si>
    <t>North River</t>
  </si>
  <si>
    <t>Newport</t>
  </si>
  <si>
    <t>Cusick</t>
  </si>
  <si>
    <t>Selkirk</t>
  </si>
  <si>
    <t>Steilacoom Hist.</t>
  </si>
  <si>
    <t>Puyallup</t>
  </si>
  <si>
    <t>Tacoma</t>
  </si>
  <si>
    <t>Carbonado</t>
  </si>
  <si>
    <t>University Place</t>
  </si>
  <si>
    <t>Sumner</t>
  </si>
  <si>
    <t>Dieringer</t>
  </si>
  <si>
    <t>Orting</t>
  </si>
  <si>
    <t>Clover Park</t>
  </si>
  <si>
    <t>Peninsula</t>
  </si>
  <si>
    <t>Franklin Pierce</t>
  </si>
  <si>
    <t>Bethel</t>
  </si>
  <si>
    <t>Eatonville</t>
  </si>
  <si>
    <t>White River</t>
  </si>
  <si>
    <t>Fife</t>
  </si>
  <si>
    <t>Impact CB Charter</t>
  </si>
  <si>
    <t>Orcas</t>
  </si>
  <si>
    <t>Lopez</t>
  </si>
  <si>
    <t>San Juan</t>
  </si>
  <si>
    <t>Concrete</t>
  </si>
  <si>
    <t>Burlington Edison</t>
  </si>
  <si>
    <t>Sedro Woolley</t>
  </si>
  <si>
    <t>Anacortes</t>
  </si>
  <si>
    <t>La Conner</t>
  </si>
  <si>
    <t>Conway</t>
  </si>
  <si>
    <t>Mt Vernon</t>
  </si>
  <si>
    <t>Skamania</t>
  </si>
  <si>
    <t>Mill A</t>
  </si>
  <si>
    <t>Stevenson-Carson</t>
  </si>
  <si>
    <t>Everett</t>
  </si>
  <si>
    <t>Lake Stevens</t>
  </si>
  <si>
    <t>Mukilteo</t>
  </si>
  <si>
    <t>Edmonds</t>
  </si>
  <si>
    <t>Arlington</t>
  </si>
  <si>
    <t>Marysville</t>
  </si>
  <si>
    <t>Index</t>
  </si>
  <si>
    <t>Monroe</t>
  </si>
  <si>
    <t>Snohomish</t>
  </si>
  <si>
    <t>Lakewood</t>
  </si>
  <si>
    <t>Sultan</t>
  </si>
  <si>
    <t>Darrington</t>
  </si>
  <si>
    <t>Granite Falls</t>
  </si>
  <si>
    <t>Stanwood</t>
  </si>
  <si>
    <t>Spokane</t>
  </si>
  <si>
    <t>Great Northern</t>
  </si>
  <si>
    <t>Nine Mile Falls</t>
  </si>
  <si>
    <t>Medical Lake</t>
  </si>
  <si>
    <t>Mead</t>
  </si>
  <si>
    <t>Central Valley</t>
  </si>
  <si>
    <t>Freeman</t>
  </si>
  <si>
    <t>Cheney</t>
  </si>
  <si>
    <t>East Valley (Spok</t>
  </si>
  <si>
    <t>Liberty</t>
  </si>
  <si>
    <t>West Valley (Spok</t>
  </si>
  <si>
    <t>Deer Park</t>
  </si>
  <si>
    <t>Riverside</t>
  </si>
  <si>
    <t>Spokane Int'l Charter</t>
  </si>
  <si>
    <t>Lumen Charter</t>
  </si>
  <si>
    <t>Onion Creek</t>
  </si>
  <si>
    <t>Chewelah</t>
  </si>
  <si>
    <t>Wellpinit</t>
  </si>
  <si>
    <t>Valley</t>
  </si>
  <si>
    <t>Colville</t>
  </si>
  <si>
    <t>Loon Lake</t>
  </si>
  <si>
    <t>Summit Valley</t>
  </si>
  <si>
    <t>Evergreen (Stev)</t>
  </si>
  <si>
    <t>Columbia (Stev)</t>
  </si>
  <si>
    <t>Mary Walker</t>
  </si>
  <si>
    <t>Northport</t>
  </si>
  <si>
    <t>Kettle Falls</t>
  </si>
  <si>
    <t>Yelm</t>
  </si>
  <si>
    <t>North Thurston</t>
  </si>
  <si>
    <t>Tumwater</t>
  </si>
  <si>
    <t>Olympia</t>
  </si>
  <si>
    <t>Rainier</t>
  </si>
  <si>
    <t>Griffin</t>
  </si>
  <si>
    <t>Rochester</t>
  </si>
  <si>
    <t>Tenino</t>
  </si>
  <si>
    <t>Wa He Lut Tribal</t>
  </si>
  <si>
    <t>Wahkiakum</t>
  </si>
  <si>
    <t>Dixie</t>
  </si>
  <si>
    <t>Walla Walla</t>
  </si>
  <si>
    <t>College Place</t>
  </si>
  <si>
    <t>Touchet</t>
  </si>
  <si>
    <t>Columbia (Walla)</t>
  </si>
  <si>
    <t>Waitsburg</t>
  </si>
  <si>
    <t>Prescott</t>
  </si>
  <si>
    <t>Bellingham</t>
  </si>
  <si>
    <t>Ferndale</t>
  </si>
  <si>
    <t>Blaine</t>
  </si>
  <si>
    <t>Lynden</t>
  </si>
  <si>
    <t>Meridian</t>
  </si>
  <si>
    <t>Nooksack Valley</t>
  </si>
  <si>
    <t>Mount Baker</t>
  </si>
  <si>
    <t>Lamont</t>
  </si>
  <si>
    <t>Tekoa</t>
  </si>
  <si>
    <t>Pullman</t>
  </si>
  <si>
    <t>Colfax</t>
  </si>
  <si>
    <t>Palouse</t>
  </si>
  <si>
    <t>Garfield</t>
  </si>
  <si>
    <t>Colton</t>
  </si>
  <si>
    <t>Endicott</t>
  </si>
  <si>
    <t>Rosalia</t>
  </si>
  <si>
    <t>St John</t>
  </si>
  <si>
    <t>Union Gap</t>
  </si>
  <si>
    <t>Naches Valley</t>
  </si>
  <si>
    <t>Yakima</t>
  </si>
  <si>
    <t>East Valley (Yak)</t>
  </si>
  <si>
    <t>Selah</t>
  </si>
  <si>
    <t>Mabton</t>
  </si>
  <si>
    <t>Grandview</t>
  </si>
  <si>
    <t>Sunnyside</t>
  </si>
  <si>
    <t>Toppenish</t>
  </si>
  <si>
    <t>Highland</t>
  </si>
  <si>
    <t>Granger</t>
  </si>
  <si>
    <t>Zillah</t>
  </si>
  <si>
    <t>Wapato</t>
  </si>
  <si>
    <t>West Valley (Yak)</t>
  </si>
  <si>
    <t>Mount Adams</t>
  </si>
  <si>
    <t>Program Per Pupil Allocation</t>
  </si>
  <si>
    <t>If the annual expenditures are greater than Total Available resources, by category, then carryover equals zero.</t>
  </si>
  <si>
    <t>Prior Year Carryover: Beginning Balance GL 823</t>
  </si>
  <si>
    <t>Current Year Program Allocation State 4109</t>
  </si>
  <si>
    <t>Current Year Program Allocation Federal 6109</t>
  </si>
  <si>
    <t>Available Resources less Annual Expenditures</t>
  </si>
  <si>
    <t>Districts should input amounts into the green highlighted cells</t>
  </si>
  <si>
    <t>IMPACT BLACK RIVER</t>
  </si>
  <si>
    <t>17919</t>
  </si>
  <si>
    <t>PASCHAL SHERMAN</t>
  </si>
  <si>
    <t>24915</t>
  </si>
  <si>
    <t>ROOTED VANCOUVER</t>
  </si>
  <si>
    <t>06901</t>
  </si>
  <si>
    <t>2023-24</t>
  </si>
  <si>
    <t>Benge</t>
  </si>
  <si>
    <t>Stehekin</t>
  </si>
  <si>
    <t>Toutle Lake</t>
  </si>
  <si>
    <t>Star</t>
  </si>
  <si>
    <t>Muckleshoot Tribal</t>
  </si>
  <si>
    <t>Damman</t>
  </si>
  <si>
    <t>Bickleton</t>
  </si>
  <si>
    <t>Trout Lake</t>
  </si>
  <si>
    <t>Roosevelt</t>
  </si>
  <si>
    <t>Lyle</t>
  </si>
  <si>
    <t>Evaline</t>
  </si>
  <si>
    <t>Chief Leschi Tribal</t>
  </si>
  <si>
    <t>Shaw</t>
  </si>
  <si>
    <t>Mount Pleasant</t>
  </si>
  <si>
    <t>Orchard Prairie</t>
  </si>
  <si>
    <t>Lacrosse Joint</t>
  </si>
  <si>
    <t>Steptoe</t>
  </si>
  <si>
    <t>Oakesdale</t>
  </si>
  <si>
    <t>Pullman Mont Charter</t>
  </si>
  <si>
    <t>Yakama Nation Tribal</t>
  </si>
  <si>
    <t xml:space="preserve">2023-24 FBRT </t>
  </si>
  <si>
    <t>23-24 PLD 34</t>
  </si>
  <si>
    <t>2023-24       PLD 34</t>
  </si>
  <si>
    <t>17919 IMPACT BLACK RIVER CHARTER</t>
  </si>
  <si>
    <t>24915 PASCHAL SHERMAN SCHOOL DISTRICT</t>
  </si>
  <si>
    <t>06901 ROOTED VANCOUVER SCHOOL DISTRICT</t>
  </si>
  <si>
    <t>GL 823 Restricted for Carryover of Transition to Kindergarten Resources</t>
  </si>
  <si>
    <t>TTK Totals</t>
  </si>
  <si>
    <t>A</t>
  </si>
  <si>
    <t>P.Y. Carryover:  Beginning Balance GL 823</t>
  </si>
  <si>
    <t>Σ Row A</t>
  </si>
  <si>
    <t>B</t>
  </si>
  <si>
    <t>1191 TK</t>
  </si>
  <si>
    <t>P.Y. 1191 TK</t>
  </si>
  <si>
    <t>C</t>
  </si>
  <si>
    <t>D</t>
  </si>
  <si>
    <t>= (B * C)</t>
  </si>
  <si>
    <t>Σ Row D</t>
  </si>
  <si>
    <t>E</t>
  </si>
  <si>
    <t>Σ Row E</t>
  </si>
  <si>
    <t>F</t>
  </si>
  <si>
    <t>Σ Row F</t>
  </si>
  <si>
    <t>G</t>
  </si>
  <si>
    <t>A+E+F</t>
  </si>
  <si>
    <t>A+D</t>
  </si>
  <si>
    <t>Σ Row G</t>
  </si>
  <si>
    <t>H</t>
  </si>
  <si>
    <t>I</t>
  </si>
  <si>
    <t>J</t>
  </si>
  <si>
    <t>Resources less Annual Expenditures</t>
  </si>
  <si>
    <t>G - H</t>
  </si>
  <si>
    <t>G – I</t>
  </si>
  <si>
    <t>If  ROW J is a negative number, then Carryover equals zero</t>
  </si>
  <si>
    <t>K</t>
  </si>
  <si>
    <t>=if (+J &gt; 0)</t>
  </si>
  <si>
    <t>Σ Row K</t>
  </si>
  <si>
    <t>Districts enter amounts in the GREEN highlighted cells.</t>
  </si>
  <si>
    <t>Illustration: where to find district-specific data.</t>
  </si>
  <si>
    <t>Σ Rows H + I</t>
  </si>
  <si>
    <t>1251H TBIP</t>
  </si>
  <si>
    <t>Direct Expenditures in Program 09 (Sub-Fund 1)</t>
  </si>
  <si>
    <t>Prog 09: All Sub-Fund 1</t>
  </si>
  <si>
    <t>Program 09 - TK</t>
  </si>
  <si>
    <t>TK in Prog 55 LAP</t>
  </si>
  <si>
    <t>TK in Prog 55 LAP HP</t>
  </si>
  <si>
    <t>TK in Prog 65 TBIP</t>
  </si>
  <si>
    <t>Current Year TK FTE, by Program</t>
  </si>
  <si>
    <t>Available TK Resources by Program</t>
  </si>
  <si>
    <t>TK Expenditures included in Programs 55 &amp; 65:</t>
  </si>
  <si>
    <t>TK TOTAL</t>
  </si>
  <si>
    <t>Total TK Expenditures</t>
  </si>
  <si>
    <t>State Resources in Programs 55 &amp; 65 for TK</t>
  </si>
  <si>
    <t>NOTE:  The federal expenditures incurred  (using Revenue 6109 Resources) are required to be reported on the SEFA.</t>
  </si>
  <si>
    <t>Only for use by Second Class Districts with fewer than 2000 students</t>
  </si>
  <si>
    <t>Loan-Deficits and Balance Forwards for the last four years.</t>
  </si>
  <si>
    <t>prior year loan-deficits and balance carryforward amounts</t>
  </si>
  <si>
    <t>check figure</t>
  </si>
  <si>
    <t>New totals</t>
  </si>
  <si>
    <r>
      <t xml:space="preserve">Annual amounts identified as </t>
    </r>
    <r>
      <rPr>
        <b/>
        <u/>
        <sz val="11"/>
        <color theme="1"/>
        <rFont val="Calibri"/>
        <family val="2"/>
        <scheme val="minor"/>
      </rPr>
      <t>deficits are considered loans</t>
    </r>
    <r>
      <rPr>
        <sz val="11"/>
        <color theme="1"/>
        <rFont val="Calibri"/>
        <family val="2"/>
        <scheme val="minor"/>
      </rPr>
      <t xml:space="preserve"> of the General Fund's other non-federal resources to support the FSA. Annual Income and Prior Year net balance carryover funds are carried over indefinitely until used in subsequent fiscal periods or can be used to pay back the prior year loan of the General Fund's non-federal resources. Prior Year loan-deficits are carried over for</t>
    </r>
    <r>
      <rPr>
        <b/>
        <sz val="14"/>
        <color rgb="FFC00000"/>
        <rFont val="Calibri"/>
        <family val="2"/>
        <scheme val="minor"/>
      </rPr>
      <t xml:space="preserve"> </t>
    </r>
    <r>
      <rPr>
        <sz val="11"/>
        <rFont val="Calibri"/>
        <family val="2"/>
        <scheme val="minor"/>
      </rPr>
      <t>a maximum of five years.</t>
    </r>
    <r>
      <rPr>
        <sz val="11"/>
        <color theme="1"/>
        <rFont val="Calibri"/>
        <family val="2"/>
        <scheme val="minor"/>
      </rPr>
      <t xml:space="preserve"> </t>
    </r>
  </si>
  <si>
    <t>OrganizationName</t>
  </si>
  <si>
    <t>4155hppd
Total LAP HiPov PD</t>
  </si>
  <si>
    <t>STATE SUMMARY</t>
  </si>
  <si>
    <t>Rooted School Vancouver</t>
  </si>
  <si>
    <t>Why Not You Academy (formerly Cascade: Midway charter)</t>
  </si>
  <si>
    <t>Impact | Black River Elementary</t>
  </si>
  <si>
    <t xml:space="preserve">Nespelem School District  </t>
  </si>
  <si>
    <t>Paschal Sherman Indian School</t>
  </si>
  <si>
    <t>Sumner-Bonney Lake School District</t>
  </si>
  <si>
    <t xml:space="preserve">Innovation Spokane Charter School District </t>
  </si>
  <si>
    <t>2024-25 FBRT</t>
  </si>
  <si>
    <t>24-25 PLD 34</t>
  </si>
  <si>
    <t>2024-25      PLD 34</t>
  </si>
  <si>
    <t>Different ways to calculate CTE</t>
  </si>
  <si>
    <t>ESD</t>
  </si>
  <si>
    <t>101</t>
  </si>
  <si>
    <t>123</t>
  </si>
  <si>
    <t>171</t>
  </si>
  <si>
    <t>900</t>
  </si>
  <si>
    <t>114</t>
  </si>
  <si>
    <t>112</t>
  </si>
  <si>
    <t>105</t>
  </si>
  <si>
    <t>113</t>
  </si>
  <si>
    <t>189</t>
  </si>
  <si>
    <t>121</t>
  </si>
  <si>
    <t>August Allocations</t>
  </si>
  <si>
    <t>Current Year TK Carryover, BY PROGRAM</t>
  </si>
  <si>
    <t>GL 823 Restricted Carryover for Program 09</t>
  </si>
  <si>
    <t>TK carryover related to LAP or TBIP should be included in GL 821, if any.</t>
  </si>
  <si>
    <t>C.Y Carryover by Program:</t>
  </si>
  <si>
    <t>Carryover: Program 09 Restricted Fund Balance for GL 823 — ONLY</t>
  </si>
  <si>
    <t>Expenditures (Source/Use Code 8)</t>
  </si>
  <si>
    <r>
      <t>FY</t>
    </r>
    <r>
      <rPr>
        <b/>
        <sz val="11"/>
        <color theme="1"/>
        <rFont val="Calibri"/>
        <family val="2"/>
        <scheme val="minor"/>
      </rPr>
      <t xml:space="preserve"> 2024-2025</t>
    </r>
    <r>
      <rPr>
        <sz val="11"/>
        <color theme="1"/>
        <rFont val="Calibri"/>
        <family val="2"/>
        <scheme val="minor"/>
      </rPr>
      <t xml:space="preserve"> Federal Indirect Rates and State Recovery Rates</t>
    </r>
  </si>
  <si>
    <t>INDIRECT COST LIMITS AND RECOVERIES</t>
  </si>
  <si>
    <t>Alpha</t>
  </si>
  <si>
    <t>sort</t>
  </si>
  <si>
    <t>OSPI</t>
  </si>
  <si>
    <t>Statewide Average</t>
  </si>
  <si>
    <t>Impact Renton Charter</t>
  </si>
  <si>
    <t>Impact Charter</t>
  </si>
  <si>
    <t>Paschal Sherman Tribal</t>
  </si>
  <si>
    <t>Rainer Valley Leadership Academy</t>
  </si>
  <si>
    <t>909</t>
  </si>
  <si>
    <t>Rooted Charter</t>
  </si>
  <si>
    <t>Suquamish Tribal</t>
  </si>
  <si>
    <t>Whatcom Interg'l Charter</t>
  </si>
  <si>
    <t>2024-25</t>
  </si>
  <si>
    <t>Good 24-25</t>
  </si>
  <si>
    <r>
      <t xml:space="preserve">2022-23 Indirect Rates used for the </t>
    </r>
    <r>
      <rPr>
        <b/>
        <sz val="11"/>
        <color theme="1"/>
        <rFont val="Calibri"/>
        <family val="2"/>
        <scheme val="minor"/>
      </rPr>
      <t>2024-2025 Financials</t>
    </r>
  </si>
  <si>
    <t>Load 2023-24 Data here</t>
  </si>
  <si>
    <t xml:space="preserve">LACROSSE JOINT      </t>
  </si>
  <si>
    <t>MUCKLESHOOT INDIAN TRIBE</t>
  </si>
  <si>
    <t xml:space="preserve">OAKESDALE           </t>
  </si>
  <si>
    <t xml:space="preserve">Paschal Sherman </t>
  </si>
  <si>
    <t>GREEN DOT-RAINIER VALLEY</t>
  </si>
  <si>
    <t>Shaw Island</t>
  </si>
  <si>
    <t xml:space="preserve">Star </t>
  </si>
  <si>
    <t>WA HE LUT TRIBAL SCHOOL</t>
  </si>
  <si>
    <t>Whatcom Intergenerational</t>
  </si>
  <si>
    <t>CASCADE PUBLIC SCHOOL</t>
  </si>
  <si>
    <t>23-24</t>
  </si>
  <si>
    <t>to come off</t>
  </si>
  <si>
    <t>New 2020 thru 2022-23 amount with 2019 netted</t>
  </si>
  <si>
    <t>w/ 23-24</t>
  </si>
  <si>
    <t xml:space="preserve">three year </t>
  </si>
  <si>
    <t>This is the 2024-25 tool</t>
  </si>
  <si>
    <t>Federal Payment (Revenue 6X98 except 6998)</t>
  </si>
  <si>
    <t xml:space="preserve">Food - Supplies </t>
  </si>
  <si>
    <t>FY 2024–2025</t>
  </si>
  <si>
    <t>This tool is provided to assist districts in properly coding their ending fund balances for the 2024–2025 school year.</t>
  </si>
  <si>
    <t>MOVE PRIOR FISCAL YEAR INFORMATION HERE:</t>
  </si>
  <si>
    <t>The last fiscal year data is netted against the three subsequent years (unless the negative amount has nothing to net against.)</t>
  </si>
  <si>
    <t>18303 BAINBRIDGE SCHOOL DISTRICT</t>
  </si>
  <si>
    <t>29100 BURLINGTON EDISON SCHOOL DISTRICT</t>
  </si>
  <si>
    <t>18901 CATALYST PUBLIC SCHOOLS CHARTER</t>
  </si>
  <si>
    <t>36400 COLUMBIA (WALLA) SCHOOL DISTRICT</t>
  </si>
  <si>
    <t>13151 COULEE/HARTLINE SCHOOL DISTRICT</t>
  </si>
  <si>
    <t>32361 EAST VALLEY SCHOOL DISTRICT</t>
  </si>
  <si>
    <t>39090 EAST VALLEY (YAKIMA) SCHOOL DISTRICT</t>
  </si>
  <si>
    <t>34801 CAPITAL REGION ESD 113</t>
  </si>
  <si>
    <t>18801 OLYMPIC ESD 114</t>
  </si>
  <si>
    <t>17801 PUGET SOUND ESD 121</t>
  </si>
  <si>
    <t>29801 NORTHWEST ESD 189</t>
  </si>
  <si>
    <t>06114 EVERGREEN (CLARK) SCHOOL DISTRICT</t>
  </si>
  <si>
    <t>33205 EVERGREEN (STEVENS) SCHOOL DISTRICT</t>
  </si>
  <si>
    <t>17911 IMPACT PUGET SOUND CHARTER</t>
  </si>
  <si>
    <t>17916 IMPACT SALISH SEA CHARTER</t>
  </si>
  <si>
    <t>27902 IMPACT TACOMA CHARTER</t>
  </si>
  <si>
    <t>03052 KIONA BENTON SCHOOL DISTRICT</t>
  </si>
  <si>
    <t>06101 LACENTER SCHOOL DISTRICT</t>
  </si>
  <si>
    <t>38126 LACROSSE JOINT SCHOOL DISTRICT</t>
  </si>
  <si>
    <t>32903 LUMEN CHARTER</t>
  </si>
  <si>
    <t>37903 LUMMI TRIBAL COMPACT</t>
  </si>
  <si>
    <t>14065 MC CLEARY SCHOOL DISTRICT</t>
  </si>
  <si>
    <t>29320 MT VERNON SCHOOL DISTRICT</t>
  </si>
  <si>
    <t>17903 MUCKLESHOOT TRIBAL COMPACT</t>
  </si>
  <si>
    <t>25155 NASELLE GRAYS RIVER SCHOOL DISTRICT</t>
  </si>
  <si>
    <t>34003 NORTH THURSTON SCHOOL DISTRICT</t>
  </si>
  <si>
    <t>28137 ORCAS SCHOOL DISTRICT</t>
  </si>
  <si>
    <t>32907 PRIDE PREP SCHOOL DISTRICT</t>
  </si>
  <si>
    <t>05903 QUILEUTE TRIBAL COMPACT</t>
  </si>
  <si>
    <t>14097 QUINAULT SCHOOL DISTRICT</t>
  </si>
  <si>
    <t>17908 RAINIER PREP CHARTER</t>
  </si>
  <si>
    <t>17910 RAINIER VALLEY LEADERSHIP ACADEMY CHARTER</t>
  </si>
  <si>
    <t>22009 REARDAN SCHOOL DISTRICT</t>
  </si>
  <si>
    <t>28149 SAN JUAN SCHOOL DISTRICT</t>
  </si>
  <si>
    <t>17001 SEATTLE SCHOOL DISTRICT</t>
  </si>
  <si>
    <t>29101 SEDRO WOOLLEY SCHOOL DISTRICT</t>
  </si>
  <si>
    <t>28010 SHAW SCHOOL DISTRICT</t>
  </si>
  <si>
    <t>32901 SPOKANE INT'L CHARTER</t>
  </si>
  <si>
    <t>38322 ST JOHN SCHOOL DISTRICT</t>
  </si>
  <si>
    <t>31401 STANWOOD SCHOOL DISTRICT</t>
  </si>
  <si>
    <t>11054 STAR SCHOOL DISTRICT</t>
  </si>
  <si>
    <t>17905 SUMMIT: ATLAS CHARTER</t>
  </si>
  <si>
    <t>27905 SUMMIT: OLYMPUS CHARTER</t>
  </si>
  <si>
    <t>17902 SUMMIT: SIERRA CHARTER</t>
  </si>
  <si>
    <t>18902 SUQUAMISH TRIBAL COMPACT</t>
  </si>
  <si>
    <t>34901 WA HE LUT TRIBAL COMPACT</t>
  </si>
  <si>
    <t>36140 WALLA WALLA SCHOOL DISTRICT</t>
  </si>
  <si>
    <t>32363 WEST VALLEY (SPOKANE) SCHOOL DISTRICT</t>
  </si>
  <si>
    <t>39208 WEST VALLEY (YAKIMA) SCHOOL DISTRICT</t>
  </si>
  <si>
    <t>20405 WHITE SALMON SCHOOL DISTRICT</t>
  </si>
  <si>
    <t>39901 YAKAMA SCHOOL DISTRICT</t>
  </si>
  <si>
    <t>Lopez Island School District</t>
  </si>
  <si>
    <t>25-26 PLD 34</t>
  </si>
  <si>
    <t>2025-26     PLD 34</t>
  </si>
  <si>
    <t>2025-26 FBRT</t>
  </si>
  <si>
    <t>Cashmere School District</t>
  </si>
  <si>
    <t>Star School District</t>
  </si>
  <si>
    <t>Why Not You Academy (fmr: Cascade–Midway)</t>
  </si>
  <si>
    <t>Lopez School District</t>
  </si>
  <si>
    <t>Innovation Spokane Charter School</t>
  </si>
  <si>
    <t>SCHOOL  DISTRICT (24-25 Rosetta)</t>
  </si>
  <si>
    <t>It is netted against subequent years (unless there is no offsets).</t>
  </si>
  <si>
    <t>Report 1800 A</t>
  </si>
  <si>
    <t>Public Schools Operating USDA Meal Programs</t>
  </si>
  <si>
    <t>Revenues and Expenditures</t>
  </si>
  <si>
    <t>2023–24</t>
  </si>
  <si>
    <t>Public School Name</t>
  </si>
  <si>
    <t>Food</t>
  </si>
  <si>
    <t>Labor</t>
  </si>
  <si>
    <t>Expenditures Supplies</t>
  </si>
  <si>
    <t>Other</t>
  </si>
  <si>
    <t>Credit Transfers</t>
  </si>
  <si>
    <t>Indirect</t>
  </si>
  <si>
    <t>Total Expd w/o Indirects</t>
  </si>
  <si>
    <t>Revenues Less Expenditures</t>
  </si>
  <si>
    <t>FSMC rev</t>
  </si>
  <si>
    <t>Quileute Tribal School</t>
  </si>
  <si>
    <t>Kalama *</t>
  </si>
  <si>
    <t>Bridgeport *</t>
  </si>
  <si>
    <t>Oak Harbor *</t>
  </si>
  <si>
    <t>RVLA Charter</t>
  </si>
  <si>
    <t>Impact Puget Sound Charter</t>
  </si>
  <si>
    <t>Tonasket *</t>
  </si>
  <si>
    <t>Impact Comm Bay Charter</t>
  </si>
  <si>
    <t>Lakewood *</t>
  </si>
  <si>
    <t>East Valley (Spokane)</t>
  </si>
  <si>
    <t>West Valley (Spokane)</t>
  </si>
  <si>
    <t>Evergreen (Stevenson)</t>
  </si>
  <si>
    <t>Columbia (Stevenson)</t>
  </si>
  <si>
    <t>Rochester *</t>
  </si>
  <si>
    <t>Wa He Lut</t>
  </si>
  <si>
    <t>East Valley (Yakima)</t>
  </si>
  <si>
    <t>West Valley (Yakima)</t>
  </si>
  <si>
    <t>Total Carryover</t>
  </si>
  <si>
    <t>Total Recovery</t>
  </si>
  <si>
    <t>To Prog 31</t>
  </si>
  <si>
    <t>To Prog 34</t>
  </si>
  <si>
    <t>CTE Programs 31 &amp; 34 Combined Carryover and Recovery Amounts. Districts apply percentages on how Carryover and Recovery is applied to programs for next year. The Σ in each section should equal 100%. Percentages are included in the F-196.</t>
  </si>
  <si>
    <t>Σ = 100%</t>
  </si>
  <si>
    <t>Transfer to CPF</t>
  </si>
  <si>
    <r>
      <rPr>
        <b/>
        <sz val="11"/>
        <color theme="1"/>
        <rFont val="Calibri"/>
        <family val="2"/>
        <scheme val="minor"/>
      </rPr>
      <t>REVENUE 5329 IMPACT AID Section 7003(d)</t>
    </r>
    <r>
      <rPr>
        <sz val="11"/>
        <color theme="1"/>
        <rFont val="Calibri"/>
        <family val="2"/>
        <scheme val="minor"/>
      </rPr>
      <t>: Payments for Children with Disabilities provide additional assistance to school districts that educate federally connected children who are eligible for services under the Individuals with Disabilities Act (IDEA). These awards are in addition to Basic Support Payments and IDEA resources provided on behalf of these children. A school district that receives these specific Impact Aid resources MUST use them for the increased costs of educating federally connected children with disabilities.</t>
    </r>
  </si>
  <si>
    <t>TK—FTE identified as Special Education is part of the 3-5 preschool group. TK resource allocated to Special Education are identified as state resources and not included in the GL 823 equity account.  RCWs: 28A.150.220; 28A.155.020; 28A155.070</t>
  </si>
  <si>
    <t>23-24 FSMC 1505 ISSUES</t>
  </si>
  <si>
    <t>Paul.Stone@k12.wa.us.</t>
  </si>
  <si>
    <t>For more information, please contact Paul Stone, Supervisor of School District Account, by email at:</t>
  </si>
  <si>
    <r>
      <rPr>
        <b/>
        <sz val="12"/>
        <color theme="1"/>
        <rFont val="Calibri"/>
        <family val="2"/>
        <scheme val="minor"/>
      </rPr>
      <t>Line 7 will calculate</t>
    </r>
    <r>
      <rPr>
        <sz val="12"/>
        <color theme="1"/>
        <rFont val="Calibri"/>
        <family val="2"/>
        <scheme val="minor"/>
      </rPr>
      <t xml:space="preserve"> the total Fund Balance available for each fund.</t>
    </r>
  </si>
  <si>
    <t>The use of this tool is optional. However, Fund Balance equity must be categorized by classifications required by GASB Statement 54 and the Accounting Manual.</t>
  </si>
  <si>
    <r>
      <t>In Column A, the GL account numbers and names are</t>
    </r>
    <r>
      <rPr>
        <sz val="12"/>
        <color rgb="FF0000FF"/>
        <rFont val="Calibri"/>
        <family val="2"/>
        <scheme val="minor"/>
      </rPr>
      <t xml:space="preserve"> </t>
    </r>
    <r>
      <rPr>
        <b/>
        <u/>
        <sz val="12"/>
        <color rgb="FF0000FF"/>
        <rFont val="Calibri"/>
        <family val="2"/>
        <scheme val="minor"/>
      </rPr>
      <t>hyperlinked</t>
    </r>
    <r>
      <rPr>
        <sz val="12"/>
        <color theme="1"/>
        <rFont val="Calibri"/>
        <family val="2"/>
        <scheme val="minor"/>
      </rPr>
      <t xml:space="preserve"> to the appropriate sheets. Click on the name to go to that sheet.</t>
    </r>
  </si>
  <si>
    <r>
      <rPr>
        <b/>
        <u/>
        <sz val="14"/>
        <color theme="1"/>
        <rFont val="Segoe UI"/>
        <family val="2"/>
      </rPr>
      <t>GENERAL FUND EQUITY ACCOUNTS, BY SUB-FUND</t>
    </r>
    <r>
      <rPr>
        <b/>
        <sz val="14"/>
        <color theme="1"/>
        <rFont val="Segoe UI"/>
        <family val="2"/>
      </rPr>
      <t xml:space="preserve">: </t>
    </r>
    <r>
      <rPr>
        <sz val="14"/>
        <color theme="1"/>
        <rFont val="Segoe UI"/>
        <family val="2"/>
      </rPr>
      <t xml:space="preserve">Districts are encouraged to track Fund Balance Equity by Sub-Fund. In the </t>
    </r>
    <r>
      <rPr>
        <b/>
        <sz val="14"/>
        <color rgb="FFC00000"/>
        <rFont val="Segoe UI"/>
        <family val="2"/>
      </rPr>
      <t xml:space="preserve">yellow </t>
    </r>
    <r>
      <rPr>
        <sz val="14"/>
        <color theme="1"/>
        <rFont val="Segoe UI"/>
        <family val="2"/>
      </rPr>
      <t xml:space="preserve">cells provided in </t>
    </r>
    <r>
      <rPr>
        <b/>
        <sz val="14"/>
        <color rgb="FFC00000"/>
        <rFont val="Segoe UI"/>
        <family val="2"/>
      </rPr>
      <t>columns L &amp; M</t>
    </r>
    <r>
      <rPr>
        <sz val="14"/>
        <color theme="1"/>
        <rFont val="Segoe UI"/>
        <family val="2"/>
      </rPr>
      <t xml:space="preserve">, enter values, segregated by Sub-Fund, associated with the corresponding General Ledger account values in column B. Columns L &amp; M are added together in column N. Column O compares column N to Column B.  </t>
    </r>
    <r>
      <rPr>
        <b/>
        <sz val="14"/>
        <color theme="1"/>
        <rFont val="Segoe UI"/>
        <family val="2"/>
      </rPr>
      <t xml:space="preserve">The amounts calculated in columns L &amp; M, at Row 57, are intended to represent your </t>
    </r>
    <r>
      <rPr>
        <b/>
        <sz val="14"/>
        <color rgb="FFC00000"/>
        <rFont val="Segoe UI"/>
        <family val="2"/>
      </rPr>
      <t>ENDING</t>
    </r>
    <r>
      <rPr>
        <b/>
        <sz val="14"/>
        <color theme="1"/>
        <rFont val="Segoe UI"/>
        <family val="2"/>
      </rPr>
      <t xml:space="preserve"> Fund Balance, by Sub-Fund. This worksheet, and supporting work-tabs, can be used to support amounts provided in the supplemental F-196 report: Fund Balance, by Sub-Fund.</t>
    </r>
  </si>
  <si>
    <t xml:space="preserve">The amounts calculated in Columns L &amp; M at Row 57 represent the General Fund ending Fund Balance, by Sub-Fund. This worksheet can be used to support amounts provided in the supplemental F-196 report: Fund Balance by Sub-Fund. </t>
  </si>
  <si>
    <t>GL 868 CTE Carryover/Redirection Proceeds</t>
  </si>
  <si>
    <r>
      <rPr>
        <b/>
        <u/>
        <sz val="11"/>
        <color theme="1"/>
        <rFont val="Calibri"/>
        <family val="2"/>
        <scheme val="minor"/>
      </rPr>
      <t>Annual Addition</t>
    </r>
    <r>
      <rPr>
        <sz val="11"/>
        <color theme="1"/>
        <rFont val="Calibri"/>
        <family val="2"/>
        <scheme val="minor"/>
      </rPr>
      <t>: CTE Program Carryover Transferred from the General Fund (Source/Use Code 8)</t>
    </r>
  </si>
  <si>
    <t>GL 868 Restricted from CTE Carryover Resources</t>
  </si>
  <si>
    <t>Districts may not need to utilize every General Ledger Account Code presented here. If a particular GL code does not apply to your district, you are not required to use it.</t>
  </si>
  <si>
    <r>
      <t xml:space="preserve">The </t>
    </r>
    <r>
      <rPr>
        <b/>
        <u/>
        <sz val="12"/>
        <color theme="1"/>
        <rFont val="Calibri"/>
        <family val="2"/>
        <scheme val="minor"/>
      </rPr>
      <t>Fund Balance Summary</t>
    </r>
    <r>
      <rPr>
        <sz val="12"/>
        <color theme="1"/>
        <rFont val="Calibri"/>
        <family val="2"/>
        <scheme val="minor"/>
      </rPr>
      <t xml:space="preserve"> worksheet summarizes all the behind-the-scenes data entered on the other sheets.</t>
    </r>
  </si>
  <si>
    <r>
      <t>In the large yellow cell [</t>
    </r>
    <r>
      <rPr>
        <b/>
        <sz val="14"/>
        <color theme="1"/>
        <rFont val="Calibri"/>
        <family val="2"/>
        <scheme val="minor"/>
      </rPr>
      <t>A-B2</t>
    </r>
    <r>
      <rPr>
        <sz val="12"/>
        <color theme="1"/>
        <rFont val="Calibri"/>
        <family val="2"/>
        <scheme val="minor"/>
      </rPr>
      <t xml:space="preserve">], a drop-down list of district names appears in alphabetical order. </t>
    </r>
  </si>
  <si>
    <r>
      <t xml:space="preserve">General Fund Only, </t>
    </r>
    <r>
      <rPr>
        <b/>
        <sz val="11"/>
        <color rgb="FFC00000"/>
        <rFont val="Calibri"/>
        <family val="2"/>
        <scheme val="minor"/>
      </rPr>
      <t>Cash Basis Districts Only</t>
    </r>
  </si>
  <si>
    <t>Program 45</t>
  </si>
  <si>
    <t>Program 46</t>
  </si>
  <si>
    <t>Program 47</t>
  </si>
  <si>
    <t>General Fund, Programs 45, 46, &amp; 47</t>
  </si>
  <si>
    <t>Expenditures by Programs: 45, 46, &amp; 47</t>
  </si>
  <si>
    <t>Professional Learning-State (Activity 34)</t>
  </si>
  <si>
    <t>Pupil Safety (Activity 35)</t>
  </si>
  <si>
    <t>Pupil Management (Activity 25)</t>
  </si>
  <si>
    <t>Annual Program Activity: Net Resources or (Deficiency), by Program</t>
  </si>
  <si>
    <t>Beginning Restricted Fund Balance in the CPF:</t>
  </si>
  <si>
    <t xml:space="preserve">Ending Restricted Fund Balance in the General Fund: </t>
  </si>
  <si>
    <t>Beginning Restricted Fund Balance in the General Fund</t>
  </si>
  <si>
    <t>Ending Restricted Fund Balance in the CPF:</t>
  </si>
  <si>
    <t>Restricted Fund Balance cannot be less than zero.</t>
  </si>
  <si>
    <t xml:space="preserve">GL 825 Restricted for Skills Center </t>
  </si>
  <si>
    <t xml:space="preserve">This Account is used by districts that are the host district and fiscal agent for a </t>
  </si>
  <si>
    <t>General Fund, Capital Project: Skills Center Host Districts or Branch Campuses only.</t>
  </si>
  <si>
    <t>career and technical education skills center to separate the resources belonging to the skills</t>
  </si>
  <si>
    <t>center from those of the school district.</t>
  </si>
  <si>
    <t xml:space="preserve">In the General Fund, this GL Account is used to record the excess of skills center resources </t>
  </si>
  <si>
    <t xml:space="preserve">over related expenditures. The resources are restricted to pay for skills center programs and </t>
  </si>
  <si>
    <t>are not available to be used for general expenditures of the district.</t>
  </si>
  <si>
    <t xml:space="preserve">In the Capital Projects Fund, this GL Account is used to record amounts the host district has </t>
  </si>
  <si>
    <t xml:space="preserve">collected for the purpose of covering capital expenditures for the skills center. It is equal </t>
  </si>
  <si>
    <t xml:space="preserve">to the excess of resources received, including payments from participating districts or </t>
  </si>
  <si>
    <t xml:space="preserve">grant awards, over related capital expenditures. </t>
  </si>
  <si>
    <t>Instructions</t>
  </si>
  <si>
    <t>If the district has a prior year restricted fund balance, place the prior year amounts in the</t>
  </si>
  <si>
    <t>For the Capital Projects Fund use cell [ E48 ]</t>
  </si>
  <si>
    <t xml:space="preserve">For General Fund Programs 45, 46, &amp; 47, cell range [ A8 : D39 ], enter resources received for </t>
  </si>
  <si>
    <t>the skills center in the appropriate category beginning with general fund apportionment</t>
  </si>
  <si>
    <t>in cell [ B9 ]. Enter expenditures in the corresponding program columns, by Activity Code.</t>
  </si>
  <si>
    <t xml:space="preserve">In the Capital Projects Fund, cell range [ A47 : E51 ], enter amounts received for capital  </t>
  </si>
  <si>
    <t xml:space="preserve">improvement and amounts expended in the appropriate cells. </t>
  </si>
  <si>
    <t>Old Instructions…</t>
  </si>
  <si>
    <t xml:space="preserve">appropriate cells.  For the General Fund use cells [ B6, C6, and/or D6 ]. </t>
  </si>
  <si>
    <t>For 2024-2025</t>
  </si>
  <si>
    <t>2024-25              PLD 34</t>
  </si>
  <si>
    <t>SCHOOL  DISTRICT (24-25)</t>
  </si>
  <si>
    <t>From Jackie McDonald  September 29, 2025</t>
  </si>
  <si>
    <t>CTE Prog 31</t>
  </si>
  <si>
    <t>CTE Prog 34</t>
  </si>
  <si>
    <t>Skill Ctr Prog 45</t>
  </si>
  <si>
    <t>TK Prog 09</t>
  </si>
  <si>
    <r>
      <t xml:space="preserve">Last Updated: </t>
    </r>
    <r>
      <rPr>
        <b/>
        <sz val="12"/>
        <color theme="1"/>
        <rFont val="Calibri"/>
        <family val="2"/>
        <scheme val="minor"/>
      </rPr>
      <t>October 1, 2025</t>
    </r>
    <r>
      <rPr>
        <sz val="12"/>
        <color theme="1"/>
        <rFont val="Calibri"/>
        <family val="2"/>
        <scheme val="minor"/>
      </rPr>
      <t xml:space="preserve">. 2024–2025 allocations are updated through August 2025 for the </t>
    </r>
    <r>
      <rPr>
        <u/>
        <sz val="12"/>
        <color theme="1"/>
        <rFont val="Calibri"/>
        <family val="2"/>
        <scheme val="minor"/>
      </rPr>
      <t>GL 821 Restricted</t>
    </r>
    <r>
      <rPr>
        <sz val="12"/>
        <color theme="1"/>
        <rFont val="Calibri"/>
        <family val="2"/>
        <scheme val="minor"/>
      </rPr>
      <t xml:space="preserve"> worksheet.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</si>
</sst>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_(&quot;$&quot;* #,##0.00_);[Red]_(&quot;$&quot;* \(#,##0.00\);_(&quot;$&quot;* &quot;-&quot;??_);_(@_)"/>
    <numFmt numFmtId="165" formatCode="_(* #,##0.00_);_(* \(#,##0.00\);_(* &quot;-&quot;_);_(@_)"/>
    <numFmt numFmtId="166" formatCode="_(&quot;$&quot;* #,##0_);_(&quot;$&quot;* \(#,##0\);_(&quot;$&quot;* &quot;-&quot;??_);_(@_)"/>
    <numFmt numFmtId="167" formatCode="_(* #,##0_);_(* \(#,##0\);_(* &quot;-&quot;??_);_(@_)"/>
    <numFmt numFmtId="168" formatCode="_(* #,##0.0000_);_(* \(#,##0.0000\);_(* &quot;-&quot;_);_(@_)"/>
    <numFmt numFmtId="169" formatCode="_(* #,##0.0000_);_(* \(#,##0.0000\);_(* &quot;-&quot;??_);_(@_)"/>
    <numFmt numFmtId="170" formatCode="_(* #,##0.0000000_);_(* \(#,##0.0000000\);_(* &quot;-&quot;??_);_(@_)"/>
  </numFmts>
  <fonts count="110">
    <font>
      <sz val="11"/>
      <color theme="1"/>
      <name val="Calibri"/>
      <family val="2"/>
      <scheme val="minor"/>
    </font>
    <font>
      <b/>
      <sz val="11"/>
      <color theme="1"/>
      <name val="Calibri"/>
      <family val="2"/>
      <scheme val="minor"/>
    </font>
    <font>
      <sz val="11"/>
      <color theme="1"/>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sz val="11"/>
      <name val="Calibri"/>
      <family val="2"/>
      <scheme val="minor"/>
    </font>
    <font>
      <u/>
      <sz val="11"/>
      <color theme="10"/>
      <name val="Calibri"/>
      <family val="2"/>
    </font>
    <font>
      <u val="doubleAccounting"/>
      <sz val="11"/>
      <color theme="1"/>
      <name val="Calibri"/>
      <family val="2"/>
      <scheme val="minor"/>
    </font>
    <font>
      <b/>
      <u val="doubleAccounting"/>
      <sz val="11"/>
      <color theme="1"/>
      <name val="Calibri"/>
      <family val="2"/>
      <scheme val="minor"/>
    </font>
    <font>
      <b/>
      <i/>
      <sz val="11"/>
      <color theme="1"/>
      <name val="Calibri"/>
      <family val="2"/>
      <scheme val="minor"/>
    </font>
    <font>
      <i/>
      <sz val="11"/>
      <color theme="1"/>
      <name val="Calibri"/>
      <family val="2"/>
      <scheme val="minor"/>
    </font>
    <font>
      <sz val="10"/>
      <color theme="1"/>
      <name val="Calibri"/>
      <family val="2"/>
      <scheme val="minor"/>
    </font>
    <font>
      <b/>
      <sz val="11"/>
      <name val="Calibri"/>
      <family val="2"/>
      <scheme val="minor"/>
    </font>
    <font>
      <sz val="9"/>
      <name val="Arial"/>
      <family val="2"/>
    </font>
    <font>
      <sz val="10"/>
      <color indexed="8"/>
      <name val="Arial"/>
      <family val="2"/>
    </font>
    <font>
      <sz val="11"/>
      <color indexed="8"/>
      <name val="Calibri"/>
      <family val="2"/>
    </font>
    <font>
      <sz val="10"/>
      <name val="Arial"/>
      <family val="2"/>
    </font>
    <font>
      <u val="singleAccounting"/>
      <sz val="11"/>
      <color theme="1"/>
      <name val="Calibri"/>
      <family val="2"/>
      <scheme val="minor"/>
    </font>
    <font>
      <u val="doubleAccounting"/>
      <sz val="11"/>
      <name val="Calibri"/>
      <family val="2"/>
      <scheme val="minor"/>
    </font>
    <font>
      <b/>
      <u/>
      <sz val="11"/>
      <color theme="1"/>
      <name val="Calibri"/>
      <family val="2"/>
      <scheme val="minor"/>
    </font>
    <font>
      <b/>
      <i/>
      <u val="doubleAccounting"/>
      <sz val="11"/>
      <color theme="0"/>
      <name val="Calibri"/>
      <family val="2"/>
      <scheme val="minor"/>
    </font>
    <font>
      <sz val="9"/>
      <color indexed="81"/>
      <name val="Tahoma"/>
      <family val="2"/>
    </font>
    <font>
      <b/>
      <sz val="9"/>
      <color indexed="81"/>
      <name val="Tahoma"/>
      <family val="2"/>
    </font>
    <font>
      <b/>
      <sz val="10"/>
      <color theme="3" tint="-0.249977111117893"/>
      <name val="Calibri"/>
      <family val="2"/>
      <scheme val="minor"/>
    </font>
    <font>
      <sz val="10"/>
      <name val="Calibri"/>
      <family val="2"/>
      <scheme val="minor"/>
    </font>
    <font>
      <sz val="10"/>
      <color indexed="8"/>
      <name val="MS Sans Serif"/>
      <family val="2"/>
    </font>
    <font>
      <sz val="10"/>
      <name val="Geneva"/>
      <family val="2"/>
    </font>
    <font>
      <b/>
      <u val="singleAccounting"/>
      <sz val="11"/>
      <color theme="1"/>
      <name val="Calibri"/>
      <family val="2"/>
      <scheme val="minor"/>
    </font>
    <font>
      <b/>
      <sz val="11"/>
      <color rgb="FFFF0000"/>
      <name val="Calibri"/>
      <family val="2"/>
      <scheme val="minor"/>
    </font>
    <font>
      <u val="singleAccounting"/>
      <sz val="11"/>
      <name val="Calibri"/>
      <family val="2"/>
      <scheme val="minor"/>
    </font>
    <font>
      <b/>
      <sz val="14"/>
      <color theme="1"/>
      <name val="Copperplate Gothic Bold"/>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Geneva"/>
    </font>
    <font>
      <sz val="10"/>
      <name val="MS Sans Serif"/>
      <family val="2"/>
    </font>
    <font>
      <u/>
      <sz val="10"/>
      <color indexed="12"/>
      <name val="Arial"/>
      <family val="2"/>
    </font>
    <font>
      <sz val="10"/>
      <name val="Arial"/>
      <family val="2"/>
    </font>
    <font>
      <sz val="11"/>
      <color theme="1"/>
      <name val="Calibri"/>
      <family val="2"/>
    </font>
    <font>
      <b/>
      <sz val="12"/>
      <color theme="1"/>
      <name val="Calibri"/>
      <family val="2"/>
      <scheme val="minor"/>
    </font>
    <font>
      <b/>
      <sz val="16"/>
      <color theme="1"/>
      <name val="Calibri"/>
      <family val="2"/>
      <scheme val="minor"/>
    </font>
    <font>
      <b/>
      <sz val="12"/>
      <color theme="3" tint="-0.249977111117893"/>
      <name val="Calibri"/>
      <family val="2"/>
      <scheme val="minor"/>
    </font>
    <font>
      <b/>
      <sz val="11"/>
      <name val="Calibri"/>
      <family val="2"/>
    </font>
    <font>
      <sz val="12"/>
      <color theme="1"/>
      <name val="Calibri"/>
      <family val="2"/>
      <scheme val="minor"/>
    </font>
    <font>
      <u/>
      <sz val="12"/>
      <color theme="10"/>
      <name val="Calibri"/>
      <family val="2"/>
      <scheme val="minor"/>
    </font>
    <font>
      <sz val="12"/>
      <color rgb="FFFF0000"/>
      <name val="Calibri"/>
      <family val="2"/>
      <scheme val="minor"/>
    </font>
    <font>
      <sz val="12"/>
      <name val="Calibri"/>
      <family val="2"/>
      <scheme val="minor"/>
    </font>
    <font>
      <u/>
      <sz val="12"/>
      <color rgb="FF0000FF"/>
      <name val="Calibri"/>
      <family val="2"/>
      <scheme val="minor"/>
    </font>
    <font>
      <sz val="12"/>
      <color rgb="FF3639B8"/>
      <name val="Calibri"/>
      <family val="2"/>
      <scheme val="minor"/>
    </font>
    <font>
      <b/>
      <i/>
      <sz val="11"/>
      <color rgb="FF000000"/>
      <name val="Calibri"/>
      <family val="2"/>
      <scheme val="minor"/>
    </font>
    <font>
      <sz val="11"/>
      <color rgb="FF000000"/>
      <name val="Calibri"/>
      <family val="2"/>
      <scheme val="minor"/>
    </font>
    <font>
      <i/>
      <sz val="11"/>
      <color rgb="FF000000"/>
      <name val="Calibri"/>
      <family val="2"/>
      <scheme val="minor"/>
    </font>
    <font>
      <u/>
      <sz val="12"/>
      <color theme="1"/>
      <name val="Calibri"/>
      <family val="2"/>
      <scheme val="minor"/>
    </font>
    <font>
      <b/>
      <u/>
      <sz val="12"/>
      <color theme="1"/>
      <name val="Calibri"/>
      <family val="2"/>
      <scheme val="minor"/>
    </font>
    <font>
      <u/>
      <sz val="11"/>
      <color rgb="FF0000FF"/>
      <name val="Calibri"/>
      <family val="2"/>
    </font>
    <font>
      <b/>
      <sz val="12"/>
      <color rgb="FF0000FF"/>
      <name val="Calibri"/>
      <family val="2"/>
      <scheme val="minor"/>
    </font>
    <font>
      <sz val="12"/>
      <color rgb="FF0000FF"/>
      <name val="Calibri"/>
      <family val="2"/>
      <scheme val="minor"/>
    </font>
    <font>
      <b/>
      <u/>
      <sz val="12"/>
      <color rgb="FF0000FF"/>
      <name val="Calibri"/>
      <family val="2"/>
      <scheme val="minor"/>
    </font>
    <font>
      <sz val="11"/>
      <color indexed="8"/>
      <name val="Calibri"/>
      <family val="2"/>
      <scheme val="minor"/>
    </font>
    <font>
      <sz val="10"/>
      <color rgb="FF000000"/>
      <name val="Calibri"/>
      <family val="2"/>
      <scheme val="minor"/>
    </font>
    <font>
      <u/>
      <sz val="10"/>
      <color rgb="FF000000"/>
      <name val="Calibri"/>
      <family val="2"/>
      <scheme val="minor"/>
    </font>
    <font>
      <sz val="10"/>
      <name val="Arial MT"/>
    </font>
    <font>
      <sz val="11"/>
      <color theme="1"/>
      <name val="Wingdings"/>
      <charset val="2"/>
    </font>
    <font>
      <i/>
      <strike/>
      <sz val="11"/>
      <color theme="1"/>
      <name val="Calibri"/>
      <family val="2"/>
      <scheme val="minor"/>
    </font>
    <font>
      <sz val="14"/>
      <color theme="1"/>
      <name val="Segoe UI"/>
      <family val="2"/>
    </font>
    <font>
      <b/>
      <u/>
      <sz val="14"/>
      <color theme="1"/>
      <name val="Segoe UI"/>
      <family val="2"/>
    </font>
    <font>
      <b/>
      <sz val="14"/>
      <color theme="1"/>
      <name val="Segoe UI"/>
      <family val="2"/>
    </font>
    <font>
      <b/>
      <sz val="14"/>
      <color rgb="FFC00000"/>
      <name val="Segoe UI"/>
      <family val="2"/>
    </font>
    <font>
      <b/>
      <sz val="8"/>
      <color theme="1"/>
      <name val="Calibri"/>
      <family val="2"/>
      <scheme val="minor"/>
    </font>
    <font>
      <b/>
      <sz val="14"/>
      <color theme="1"/>
      <name val="Calibri"/>
      <family val="2"/>
      <scheme val="minor"/>
    </font>
    <font>
      <b/>
      <i/>
      <sz val="14"/>
      <color theme="1"/>
      <name val="Calibri"/>
      <family val="2"/>
      <scheme val="minor"/>
    </font>
    <font>
      <b/>
      <u/>
      <sz val="14"/>
      <color theme="1"/>
      <name val="Calibri"/>
      <family val="2"/>
      <scheme val="minor"/>
    </font>
    <font>
      <b/>
      <sz val="12"/>
      <color theme="1"/>
      <name val="Segoe UI"/>
      <family val="2"/>
    </font>
    <font>
      <b/>
      <sz val="16"/>
      <color theme="1"/>
      <name val="Segoe UI"/>
      <family val="2"/>
    </font>
    <font>
      <b/>
      <sz val="11"/>
      <color rgb="FFC00000"/>
      <name val="Calibri"/>
      <family val="2"/>
      <scheme val="minor"/>
    </font>
    <font>
      <sz val="11"/>
      <color theme="8" tint="-0.249977111117893"/>
      <name val="Calibri"/>
      <family val="2"/>
      <scheme val="minor"/>
    </font>
    <font>
      <sz val="10"/>
      <name val="Arial"/>
      <family val="2"/>
    </font>
    <font>
      <b/>
      <sz val="10"/>
      <color theme="1"/>
      <name val="Calibri"/>
      <family val="2"/>
      <scheme val="minor"/>
    </font>
    <font>
      <b/>
      <sz val="14"/>
      <color rgb="FFC00000"/>
      <name val="Calibri"/>
      <family val="2"/>
      <scheme val="minor"/>
    </font>
    <font>
      <b/>
      <sz val="11"/>
      <color theme="1"/>
      <name val="Arial"/>
      <family val="2"/>
    </font>
    <font>
      <sz val="11"/>
      <color theme="1"/>
      <name val="Segoe UI"/>
      <family val="2"/>
    </font>
    <font>
      <b/>
      <sz val="12"/>
      <color rgb="FFC00000"/>
      <name val="Calibri"/>
      <family val="2"/>
      <scheme val="minor"/>
    </font>
    <font>
      <b/>
      <i/>
      <sz val="12"/>
      <color theme="1"/>
      <name val="Calibri"/>
      <family val="2"/>
      <scheme val="minor"/>
    </font>
    <font>
      <b/>
      <sz val="12"/>
      <name val="Calibri"/>
      <family val="2"/>
      <scheme val="minor"/>
    </font>
    <font>
      <b/>
      <u val="doubleAccounting"/>
      <sz val="12"/>
      <name val="Calibri"/>
      <family val="2"/>
      <scheme val="minor"/>
    </font>
    <font>
      <b/>
      <u val="doubleAccounting"/>
      <sz val="14"/>
      <name val="Calibri"/>
      <family val="2"/>
      <scheme val="minor"/>
    </font>
    <font>
      <b/>
      <u val="singleAccounting"/>
      <sz val="12"/>
      <name val="Calibri"/>
      <family val="2"/>
      <scheme val="minor"/>
    </font>
    <font>
      <i/>
      <sz val="10"/>
      <color theme="1"/>
      <name val="Calibri"/>
      <family val="2"/>
      <scheme val="minor"/>
    </font>
    <font>
      <i/>
      <sz val="11"/>
      <name val="Calibri"/>
      <family val="2"/>
      <scheme val="minor"/>
    </font>
    <font>
      <b/>
      <i/>
      <u val="doubleAccounting"/>
      <sz val="11"/>
      <name val="Calibri"/>
      <family val="2"/>
      <scheme val="minor"/>
    </font>
    <font>
      <i/>
      <sz val="10"/>
      <name val="Calibri"/>
      <family val="2"/>
      <scheme val="minor"/>
    </font>
    <font>
      <b/>
      <i/>
      <sz val="11"/>
      <name val="Calibri"/>
      <family val="2"/>
      <scheme val="minor"/>
    </font>
    <font>
      <b/>
      <i/>
      <sz val="9"/>
      <name val="Calibri"/>
      <family val="2"/>
      <scheme val="minor"/>
    </font>
    <font>
      <sz val="11"/>
      <name val="Calibri"/>
      <family val="2"/>
    </font>
    <font>
      <sz val="11"/>
      <color rgb="FF000000"/>
      <name val="Calibri"/>
      <family val="2"/>
    </font>
    <font>
      <sz val="10"/>
      <color theme="1"/>
      <name val="Segoe UI"/>
      <family val="2"/>
    </font>
    <font>
      <sz val="10"/>
      <name val="Segoe UI"/>
      <family val="2"/>
    </font>
    <font>
      <b/>
      <sz val="12"/>
      <name val="Arial"/>
      <family val="2"/>
    </font>
    <font>
      <sz val="10"/>
      <color theme="1"/>
      <name val="Calibri"/>
      <family val="2"/>
    </font>
    <font>
      <b/>
      <u/>
      <sz val="11"/>
      <color rgb="FF000000"/>
      <name val="Calibri"/>
      <family val="2"/>
      <scheme val="minor"/>
    </font>
  </fonts>
  <fills count="94">
    <fill>
      <patternFill patternType="none"/>
    </fill>
    <fill>
      <patternFill patternType="gray125"/>
    </fill>
    <fill>
      <patternFill patternType="solid">
        <fgColor rgb="FFF2F2F2"/>
      </patternFill>
    </fill>
    <fill>
      <patternFill patternType="solid">
        <fgColor theme="7" tint="0.59999389629810485"/>
        <bgColor indexed="65"/>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rgb="FF00206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DEAD"/>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rgb="FFFFC0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CCFFCC"/>
        <bgColor indexed="64"/>
      </patternFill>
    </fill>
    <fill>
      <patternFill patternType="solid">
        <fgColor rgb="FFFFCCFF"/>
        <bgColor indexed="64"/>
      </patternFill>
    </fill>
    <fill>
      <patternFill patternType="solid">
        <fgColor rgb="FFFFE1FF"/>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D8BF5"/>
        <bgColor indexed="0"/>
      </patternFill>
    </fill>
    <fill>
      <patternFill patternType="solid">
        <fgColor theme="2" tint="-0.249977111117893"/>
        <bgColor indexed="64"/>
      </patternFill>
    </fill>
    <fill>
      <patternFill patternType="solid">
        <fgColor rgb="FFFFE1FF"/>
        <bgColor indexed="0"/>
      </patternFill>
    </fill>
    <fill>
      <patternFill patternType="solid">
        <fgColor theme="5" tint="0.59999389629810485"/>
        <bgColor indexed="64"/>
      </patternFill>
    </fill>
    <fill>
      <patternFill patternType="lightGray">
        <fgColor theme="2" tint="-9.9948118533890809E-2"/>
        <bgColor theme="2" tint="-9.9948118533890809E-2"/>
      </patternFill>
    </fill>
    <fill>
      <patternFill patternType="lightGray">
        <fgColor theme="2" tint="-9.9948118533890809E-2"/>
        <bgColor rgb="FFCCFFCC"/>
      </patternFill>
    </fill>
    <fill>
      <patternFill patternType="solid">
        <fgColor rgb="FFFFFFFF"/>
        <bgColor rgb="FF000000"/>
      </patternFill>
    </fill>
    <fill>
      <patternFill patternType="solid">
        <fgColor rgb="FF99FFCC"/>
        <bgColor rgb="FF000000"/>
      </patternFill>
    </fill>
    <fill>
      <patternFill patternType="solid">
        <fgColor rgb="FFFF0000"/>
        <bgColor indexed="64"/>
      </patternFill>
    </fill>
    <fill>
      <patternFill patternType="solid">
        <fgColor rgb="FFE9F54D"/>
        <bgColor indexed="64"/>
      </patternFill>
    </fill>
    <fill>
      <patternFill patternType="gray0625">
        <fgColor theme="0" tint="-0.24994659260841701"/>
        <bgColor theme="0"/>
      </patternFill>
    </fill>
    <fill>
      <patternFill patternType="gray0625">
        <fgColor theme="0" tint="-0.24994659260841701"/>
        <bgColor rgb="FFCCFFCC"/>
      </patternFill>
    </fill>
    <fill>
      <patternFill patternType="solid">
        <fgColor theme="9" tint="0.79998168889431442"/>
        <bgColor indexed="64"/>
      </patternFill>
    </fill>
    <fill>
      <patternFill patternType="solid">
        <fgColor rgb="FFCCFF99"/>
        <bgColor indexed="64"/>
      </patternFill>
    </fill>
    <fill>
      <patternFill patternType="solid">
        <fgColor rgb="FFB8EEF6"/>
        <bgColor indexed="64"/>
      </patternFill>
    </fill>
    <fill>
      <patternFill patternType="solid">
        <fgColor rgb="FF66FF33"/>
        <bgColor indexed="64"/>
      </patternFill>
    </fill>
    <fill>
      <patternFill patternType="solid">
        <fgColor theme="2"/>
        <bgColor indexed="64"/>
      </patternFill>
    </fill>
    <fill>
      <patternFill patternType="gray0625"/>
    </fill>
    <fill>
      <patternFill patternType="gray0625">
        <bgColor theme="4" tint="0.59999389629810485"/>
      </patternFill>
    </fill>
    <fill>
      <patternFill patternType="gray0625">
        <bgColor rgb="FFFFFF00"/>
      </patternFill>
    </fill>
    <fill>
      <patternFill patternType="gray0625">
        <bgColor theme="6" tint="0.79998168889431442"/>
      </patternFill>
    </fill>
    <fill>
      <patternFill patternType="gray0625">
        <bgColor rgb="FFFFCCFF"/>
      </patternFill>
    </fill>
    <fill>
      <patternFill patternType="gray0625">
        <bgColor theme="4" tint="0.79998168889431442"/>
      </patternFill>
    </fill>
    <fill>
      <patternFill patternType="solid">
        <fgColor rgb="FFC9F1FF"/>
        <bgColor indexed="64"/>
      </patternFill>
    </fill>
    <fill>
      <patternFill patternType="solid">
        <fgColor rgb="FF4FD1FF"/>
        <bgColor indexed="64"/>
      </patternFill>
    </fill>
    <fill>
      <patternFill patternType="solid">
        <fgColor rgb="FFD88BFF"/>
        <bgColor indexed="64"/>
      </patternFill>
    </fill>
    <fill>
      <patternFill patternType="solid">
        <fgColor rgb="FFFFDDFF"/>
        <bgColor indexed="64"/>
      </patternFill>
    </fill>
    <fill>
      <patternFill patternType="solid">
        <fgColor rgb="FF8CB5AB"/>
        <bgColor rgb="FF000000"/>
      </patternFill>
    </fill>
    <fill>
      <patternFill patternType="solid">
        <fgColor rgb="FFFFFF00"/>
        <bgColor rgb="FF000000"/>
      </patternFill>
    </fill>
    <fill>
      <patternFill patternType="solid">
        <fgColor rgb="FFFFDDFF"/>
        <bgColor rgb="FF000000"/>
      </patternFill>
    </fill>
    <fill>
      <patternFill patternType="solid">
        <fgColor rgb="FF00FF00"/>
        <bgColor indexed="64"/>
      </patternFill>
    </fill>
    <fill>
      <patternFill patternType="solid">
        <fgColor rgb="FFCCFF66"/>
        <bgColor indexed="64"/>
      </patternFill>
    </fill>
    <fill>
      <patternFill patternType="solid">
        <fgColor rgb="FFFFA3A3"/>
        <bgColor indexed="64"/>
      </patternFill>
    </fill>
    <fill>
      <patternFill patternType="lightGray"/>
    </fill>
    <fill>
      <patternFill patternType="lightGray">
        <bgColor rgb="FFCCFF99"/>
      </patternFill>
    </fill>
    <fill>
      <patternFill patternType="solid">
        <fgColor theme="0" tint="-0.34998626667073579"/>
        <bgColor indexed="64"/>
      </patternFill>
    </fill>
  </fills>
  <borders count="5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top/>
      <bottom/>
      <diagonal/>
    </border>
    <border>
      <left/>
      <right style="thin">
        <color rgb="FFB2B2B2"/>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8"/>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rgb="FFD0CECE"/>
      </left>
      <right style="thin">
        <color rgb="FFD0CECE"/>
      </right>
      <top/>
      <bottom style="thin">
        <color rgb="FFD0CECE"/>
      </bottom>
      <diagonal/>
    </border>
    <border>
      <left style="thin">
        <color rgb="FFD0CECE"/>
      </left>
      <right style="thin">
        <color rgb="FFD0CECE"/>
      </right>
      <top style="thin">
        <color rgb="FFD0CECE"/>
      </top>
      <bottom style="thin">
        <color rgb="FFD0CECE"/>
      </bottom>
      <diagonal/>
    </border>
    <border>
      <left/>
      <right/>
      <top style="thin">
        <color indexed="64"/>
      </top>
      <bottom/>
      <diagonal/>
    </border>
  </borders>
  <cellStyleXfs count="5342">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2" borderId="1" applyNumberFormat="0" applyAlignment="0" applyProtection="0"/>
    <xf numFmtId="0" fontId="2" fillId="3" borderId="0" applyNumberFormat="0" applyBorder="0" applyAlignment="0" applyProtection="0"/>
    <xf numFmtId="0" fontId="7" fillId="0" borderId="0" applyNumberFormat="0" applyFill="0" applyBorder="0" applyAlignment="0" applyProtection="0">
      <alignment vertical="top"/>
      <protection locked="0"/>
    </xf>
    <xf numFmtId="0" fontId="17" fillId="0" borderId="0"/>
    <xf numFmtId="43" fontId="17" fillId="0" borderId="0" applyFont="0" applyFill="0" applyBorder="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43" fontId="2"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17" fillId="0" borderId="0"/>
    <xf numFmtId="0" fontId="17" fillId="0" borderId="0"/>
    <xf numFmtId="0" fontId="26" fillId="0" borderId="0"/>
    <xf numFmtId="0" fontId="26" fillId="0" borderId="0"/>
    <xf numFmtId="0" fontId="17"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9" fontId="27" fillId="0" borderId="0" applyFont="0" applyFill="0" applyBorder="0" applyAlignment="0" applyProtection="0"/>
    <xf numFmtId="0" fontId="15" fillId="0" borderId="0"/>
    <xf numFmtId="0" fontId="32" fillId="0" borderId="0" applyNumberFormat="0" applyFill="0" applyBorder="0" applyAlignment="0" applyProtection="0"/>
    <xf numFmtId="0" fontId="33" fillId="0" borderId="18" applyNumberFormat="0" applyFill="0" applyAlignment="0" applyProtection="0"/>
    <xf numFmtId="0" fontId="34" fillId="0" borderId="19" applyNumberFormat="0" applyFill="0" applyAlignment="0" applyProtection="0"/>
    <xf numFmtId="0" fontId="35" fillId="0" borderId="20" applyNumberFormat="0" applyFill="0" applyAlignment="0" applyProtection="0"/>
    <xf numFmtId="0" fontId="35" fillId="0" borderId="0" applyNumberFormat="0" applyFill="0" applyBorder="0" applyAlignment="0" applyProtection="0"/>
    <xf numFmtId="0" fontId="36" fillId="31" borderId="0" applyNumberFormat="0" applyBorder="0" applyAlignment="0" applyProtection="0"/>
    <xf numFmtId="0" fontId="37" fillId="32" borderId="0" applyNumberFormat="0" applyBorder="0" applyAlignment="0" applyProtection="0"/>
    <xf numFmtId="0" fontId="38" fillId="33" borderId="0" applyNumberFormat="0" applyBorder="0" applyAlignment="0" applyProtection="0"/>
    <xf numFmtId="0" fontId="39" fillId="34" borderId="21" applyNumberFormat="0" applyAlignment="0" applyProtection="0"/>
    <xf numFmtId="0" fontId="40" fillId="2" borderId="21" applyNumberFormat="0" applyAlignment="0" applyProtection="0"/>
    <xf numFmtId="0" fontId="41" fillId="0" borderId="22" applyNumberFormat="0" applyFill="0" applyAlignment="0" applyProtection="0"/>
    <xf numFmtId="0" fontId="4" fillId="35" borderId="23" applyNumberFormat="0" applyAlignment="0" applyProtection="0"/>
    <xf numFmtId="0" fontId="5" fillId="0" borderId="0" applyNumberFormat="0" applyFill="0" applyBorder="0" applyAlignment="0" applyProtection="0"/>
    <xf numFmtId="0" fontId="42" fillId="0" borderId="0" applyNumberFormat="0" applyFill="0" applyBorder="0" applyAlignment="0" applyProtection="0"/>
    <xf numFmtId="0" fontId="1" fillId="0" borderId="24" applyNumberFormat="0" applyFill="0" applyAlignment="0" applyProtection="0"/>
    <xf numFmtId="0" fontId="43" fillId="3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2" fillId="2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3" fillId="47" borderId="0" applyNumberFormat="0" applyBorder="0" applyAlignment="0" applyProtection="0"/>
    <xf numFmtId="0" fontId="15" fillId="0" borderId="0"/>
    <xf numFmtId="0" fontId="44" fillId="0" borderId="0"/>
    <xf numFmtId="40" fontId="27"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43" fontId="17" fillId="0" borderId="0" applyFont="0" applyFill="0" applyBorder="0" applyAlignment="0" applyProtection="0"/>
    <xf numFmtId="43" fontId="26" fillId="0" borderId="0" applyFont="0" applyFill="0" applyBorder="0" applyAlignment="0" applyProtection="0"/>
    <xf numFmtId="44" fontId="27" fillId="0" borderId="0" applyFont="0" applyFill="0" applyBorder="0" applyAlignment="0" applyProtection="0"/>
    <xf numFmtId="0" fontId="45" fillId="0" borderId="0"/>
    <xf numFmtId="0" fontId="45" fillId="0" borderId="0"/>
    <xf numFmtId="0" fontId="44"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9" fontId="26" fillId="0" borderId="0" applyFont="0" applyFill="0" applyBorder="0" applyAlignment="0" applyProtection="0"/>
    <xf numFmtId="9" fontId="26" fillId="0" borderId="0" applyFont="0" applyFill="0" applyBorder="0" applyAlignment="0" applyProtection="0"/>
    <xf numFmtId="0" fontId="46" fillId="0" borderId="0" applyNumberFormat="0" applyFill="0" applyBorder="0" applyAlignment="0" applyProtection="0">
      <alignment vertical="top"/>
      <protection locked="0"/>
    </xf>
    <xf numFmtId="0" fontId="2" fillId="0" borderId="0"/>
    <xf numFmtId="0" fontId="17" fillId="0" borderId="0"/>
    <xf numFmtId="44" fontId="17" fillId="0" borderId="0" applyFont="0" applyFill="0" applyBorder="0" applyAlignment="0" applyProtection="0"/>
    <xf numFmtId="9" fontId="17"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7" fillId="0" borderId="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17"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44" fillId="0" borderId="0"/>
    <xf numFmtId="40" fontId="2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7"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47" fillId="0" borderId="0"/>
    <xf numFmtId="0" fontId="2" fillId="0" borderId="0"/>
    <xf numFmtId="0" fontId="2" fillId="0" borderId="0"/>
    <xf numFmtId="0" fontId="27" fillId="0" borderId="0"/>
    <xf numFmtId="0" fontId="27" fillId="0" borderId="0"/>
    <xf numFmtId="0" fontId="27" fillId="0" borderId="0"/>
    <xf numFmtId="0" fontId="17" fillId="0" borderId="0"/>
    <xf numFmtId="43" fontId="48" fillId="0" borderId="0" applyFont="0" applyFill="0" applyBorder="0" applyAlignment="0" applyProtection="0"/>
    <xf numFmtId="0" fontId="48"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0" borderId="0"/>
    <xf numFmtId="0" fontId="2" fillId="15" borderId="6" applyNumberFormat="0" applyFont="0" applyAlignment="0" applyProtection="0"/>
    <xf numFmtId="0" fontId="2" fillId="15" borderId="6" applyNumberFormat="0" applyFont="0" applyAlignment="0" applyProtection="0"/>
    <xf numFmtId="43" fontId="2" fillId="0" borderId="0" applyFont="0" applyFill="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43" fontId="26" fillId="0" borderId="0" applyFont="0" applyFill="0" applyBorder="0" applyAlignment="0" applyProtection="0"/>
    <xf numFmtId="44" fontId="2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0" fontId="2" fillId="15" borderId="6" applyNumberFormat="0" applyFont="0" applyAlignment="0" applyProtection="0"/>
    <xf numFmtId="9" fontId="2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 fillId="0" borderId="0"/>
    <xf numFmtId="0" fontId="71" fillId="0" borderId="0"/>
    <xf numFmtId="0" fontId="2" fillId="0" borderId="0"/>
    <xf numFmtId="0" fontId="2" fillId="0" borderId="0"/>
    <xf numFmtId="0" fontId="86" fillId="0" borderId="0"/>
    <xf numFmtId="0" fontId="2" fillId="0" borderId="0"/>
    <xf numFmtId="0" fontId="2" fillId="0" borderId="0"/>
    <xf numFmtId="0" fontId="2" fillId="0" borderId="0"/>
  </cellStyleXfs>
  <cellXfs count="744">
    <xf numFmtId="0" fontId="0" fillId="0" borderId="0" xfId="0"/>
    <xf numFmtId="44" fontId="0" fillId="4" borderId="0" xfId="1" applyFont="1" applyFill="1"/>
    <xf numFmtId="44" fontId="0" fillId="0" borderId="0" xfId="1" applyFont="1"/>
    <xf numFmtId="44" fontId="0" fillId="5" borderId="0" xfId="1" applyFont="1" applyFill="1"/>
    <xf numFmtId="0" fontId="0" fillId="0" borderId="0" xfId="0" applyAlignment="1">
      <alignment horizontal="left" indent="1"/>
    </xf>
    <xf numFmtId="44" fontId="0" fillId="0" borderId="0" xfId="0" applyNumberFormat="1"/>
    <xf numFmtId="0" fontId="7" fillId="0" borderId="0" xfId="5" applyAlignment="1" applyProtection="1"/>
    <xf numFmtId="0" fontId="1" fillId="0" borderId="0" xfId="0" applyFont="1"/>
    <xf numFmtId="44" fontId="9" fillId="0" borderId="0" xfId="1" applyFont="1"/>
    <xf numFmtId="44" fontId="3" fillId="2" borderId="1" xfId="3" applyNumberFormat="1"/>
    <xf numFmtId="0" fontId="10" fillId="0" borderId="0" xfId="0" applyFont="1"/>
    <xf numFmtId="0" fontId="11" fillId="0" borderId="0" xfId="0" applyFont="1"/>
    <xf numFmtId="10" fontId="0" fillId="0" borderId="0" xfId="0" applyNumberFormat="1"/>
    <xf numFmtId="44" fontId="2" fillId="3" borderId="0" xfId="4" applyNumberFormat="1"/>
    <xf numFmtId="44" fontId="0" fillId="4" borderId="0" xfId="0" applyNumberFormat="1" applyFill="1"/>
    <xf numFmtId="44" fontId="8" fillId="3" borderId="0" xfId="4" applyNumberFormat="1" applyFont="1"/>
    <xf numFmtId="44" fontId="4" fillId="7" borderId="0" xfId="1" applyFont="1" applyFill="1"/>
    <xf numFmtId="0" fontId="11" fillId="0" borderId="0" xfId="0" applyFont="1" applyAlignment="1">
      <alignment vertical="center" wrapText="1"/>
    </xf>
    <xf numFmtId="44" fontId="0" fillId="6" borderId="0" xfId="1" applyFont="1" applyFill="1"/>
    <xf numFmtId="44" fontId="1" fillId="8" borderId="0" xfId="1" applyFont="1" applyFill="1"/>
    <xf numFmtId="44" fontId="1" fillId="6" borderId="0" xfId="1" applyFont="1" applyFill="1"/>
    <xf numFmtId="44" fontId="1" fillId="0" borderId="0" xfId="1" applyFont="1"/>
    <xf numFmtId="0" fontId="0" fillId="8" borderId="0" xfId="0" applyFill="1"/>
    <xf numFmtId="44" fontId="13" fillId="4" borderId="0" xfId="1" applyFont="1" applyFill="1"/>
    <xf numFmtId="0" fontId="14" fillId="0" borderId="0" xfId="0" applyFont="1" applyAlignment="1">
      <alignment horizontal="center"/>
    </xf>
    <xf numFmtId="0" fontId="14" fillId="0" borderId="0" xfId="0" applyFont="1"/>
    <xf numFmtId="10" fontId="0" fillId="11" borderId="0" xfId="0" applyNumberFormat="1" applyFill="1"/>
    <xf numFmtId="44" fontId="19" fillId="13" borderId="0" xfId="4" applyNumberFormat="1" applyFont="1" applyFill="1"/>
    <xf numFmtId="44" fontId="0" fillId="12" borderId="0" xfId="1" applyFont="1" applyFill="1"/>
    <xf numFmtId="44" fontId="8" fillId="13" borderId="0" xfId="4" applyNumberFormat="1" applyFont="1" applyFill="1"/>
    <xf numFmtId="44" fontId="8" fillId="13" borderId="0" xfId="1" applyFont="1" applyFill="1"/>
    <xf numFmtId="0" fontId="20" fillId="0" borderId="0" xfId="0" applyFont="1"/>
    <xf numFmtId="44" fontId="21" fillId="14" borderId="0" xfId="1" applyFont="1" applyFill="1"/>
    <xf numFmtId="0" fontId="0" fillId="0" borderId="0" xfId="0" applyAlignment="1">
      <alignment vertical="center"/>
    </xf>
    <xf numFmtId="49" fontId="0" fillId="4" borderId="0" xfId="0" applyNumberFormat="1" applyFill="1"/>
    <xf numFmtId="0" fontId="11" fillId="0" borderId="9" xfId="0" applyFont="1" applyBorder="1"/>
    <xf numFmtId="0" fontId="0" fillId="0" borderId="10" xfId="0" applyBorder="1"/>
    <xf numFmtId="0" fontId="0" fillId="0" borderId="11" xfId="0" applyBorder="1"/>
    <xf numFmtId="44" fontId="0" fillId="4" borderId="12" xfId="1" applyFont="1" applyFill="1" applyBorder="1"/>
    <xf numFmtId="10" fontId="0" fillId="4" borderId="12" xfId="0" applyNumberFormat="1" applyFill="1" applyBorder="1"/>
    <xf numFmtId="44" fontId="0" fillId="0" borderId="12" xfId="0" applyNumberFormat="1" applyBorder="1"/>
    <xf numFmtId="0" fontId="0" fillId="0" borderId="13" xfId="0" applyBorder="1"/>
    <xf numFmtId="10" fontId="0" fillId="0" borderId="14" xfId="2" applyNumberFormat="1" applyFont="1" applyBorder="1"/>
    <xf numFmtId="9" fontId="0" fillId="4" borderId="12" xfId="0" applyNumberFormat="1" applyFill="1" applyBorder="1"/>
    <xf numFmtId="44" fontId="0" fillId="4" borderId="14" xfId="1" applyFont="1" applyFill="1" applyBorder="1"/>
    <xf numFmtId="0" fontId="12" fillId="0" borderId="0" xfId="0" applyFont="1"/>
    <xf numFmtId="49" fontId="0" fillId="27" borderId="0" xfId="0" applyNumberFormat="1" applyFill="1"/>
    <xf numFmtId="0" fontId="1" fillId="0" borderId="0" xfId="0" applyFont="1" applyAlignment="1">
      <alignment vertical="center"/>
    </xf>
    <xf numFmtId="43" fontId="0" fillId="0" borderId="0" xfId="9" applyFont="1"/>
    <xf numFmtId="0" fontId="0" fillId="0" borderId="0" xfId="0" applyAlignment="1">
      <alignment horizontal="center" wrapText="1"/>
    </xf>
    <xf numFmtId="44" fontId="18" fillId="0" borderId="0" xfId="0" applyNumberFormat="1" applyFont="1"/>
    <xf numFmtId="10" fontId="0" fillId="0" borderId="0" xfId="2" applyNumberFormat="1" applyFont="1"/>
    <xf numFmtId="44" fontId="28" fillId="0" borderId="0" xfId="1" applyFont="1"/>
    <xf numFmtId="0" fontId="0" fillId="0" borderId="0" xfId="0" applyAlignment="1">
      <alignment vertical="center" wrapText="1"/>
    </xf>
    <xf numFmtId="44" fontId="9" fillId="0" borderId="0" xfId="0" applyNumberFormat="1" applyFont="1"/>
    <xf numFmtId="44" fontId="29" fillId="0" borderId="0" xfId="1" applyFont="1"/>
    <xf numFmtId="43" fontId="0" fillId="4" borderId="0" xfId="9" applyFont="1" applyFill="1"/>
    <xf numFmtId="43" fontId="18" fillId="4" borderId="0" xfId="9" applyFont="1" applyFill="1"/>
    <xf numFmtId="0" fontId="0" fillId="0" borderId="0" xfId="0" applyAlignment="1">
      <alignment horizontal="left"/>
    </xf>
    <xf numFmtId="44" fontId="18" fillId="4" borderId="0" xfId="1" applyFont="1" applyFill="1"/>
    <xf numFmtId="44" fontId="18" fillId="12" borderId="0" xfId="1" applyFont="1" applyFill="1"/>
    <xf numFmtId="44" fontId="9" fillId="28" borderId="0" xfId="1" applyFont="1" applyFill="1"/>
    <xf numFmtId="44" fontId="0" fillId="0" borderId="0" xfId="1" applyFont="1" applyFill="1"/>
    <xf numFmtId="0" fontId="11" fillId="0" borderId="17" xfId="0" applyFont="1" applyBorder="1"/>
    <xf numFmtId="44" fontId="11" fillId="29" borderId="0" xfId="1" applyFont="1" applyFill="1"/>
    <xf numFmtId="44" fontId="1" fillId="0" borderId="0" xfId="1" applyFont="1" applyFill="1"/>
    <xf numFmtId="0" fontId="0" fillId="0" borderId="0" xfId="0" applyAlignment="1">
      <alignment horizontal="center" vertical="center"/>
    </xf>
    <xf numFmtId="49" fontId="0" fillId="4" borderId="0" xfId="0" applyNumberFormat="1" applyFill="1" applyAlignment="1">
      <alignment horizontal="center" vertical="center"/>
    </xf>
    <xf numFmtId="0" fontId="25" fillId="0" borderId="0" xfId="0" applyFont="1" applyAlignment="1">
      <alignment horizontal="center"/>
    </xf>
    <xf numFmtId="0" fontId="24" fillId="49" borderId="0" xfId="0" applyFont="1" applyFill="1" applyAlignment="1">
      <alignment horizontal="center" vertical="center"/>
    </xf>
    <xf numFmtId="0" fontId="24" fillId="49" borderId="0" xfId="0" applyFont="1" applyFill="1" applyAlignment="1">
      <alignment vertical="center"/>
    </xf>
    <xf numFmtId="0" fontId="24" fillId="0" borderId="0" xfId="0" applyFont="1"/>
    <xf numFmtId="10" fontId="29" fillId="0" borderId="0" xfId="2" applyNumberFormat="1" applyFont="1"/>
    <xf numFmtId="0" fontId="6" fillId="0" borderId="0" xfId="0" applyFont="1"/>
    <xf numFmtId="0" fontId="6" fillId="0" borderId="0" xfId="0" applyFont="1" applyAlignment="1">
      <alignment horizontal="center"/>
    </xf>
    <xf numFmtId="0" fontId="49" fillId="0" borderId="0" xfId="0" applyFont="1"/>
    <xf numFmtId="44" fontId="18" fillId="5" borderId="0" xfId="4" applyNumberFormat="1" applyFont="1" applyFill="1"/>
    <xf numFmtId="0" fontId="51" fillId="11" borderId="0" xfId="0" applyFont="1" applyFill="1" applyAlignment="1">
      <alignment horizontal="center"/>
    </xf>
    <xf numFmtId="40" fontId="1" fillId="0" borderId="0" xfId="0" applyNumberFormat="1" applyFont="1"/>
    <xf numFmtId="0" fontId="0" fillId="4" borderId="0" xfId="0" applyFill="1"/>
    <xf numFmtId="0" fontId="53" fillId="0" borderId="0" xfId="0" applyFont="1"/>
    <xf numFmtId="44" fontId="53" fillId="4" borderId="0" xfId="1" applyFont="1" applyFill="1"/>
    <xf numFmtId="44" fontId="53" fillId="5" borderId="0" xfId="1" applyFont="1" applyFill="1"/>
    <xf numFmtId="44" fontId="53" fillId="0" borderId="0" xfId="1" applyFont="1"/>
    <xf numFmtId="44" fontId="53" fillId="9" borderId="0" xfId="1" applyFont="1" applyFill="1"/>
    <xf numFmtId="0" fontId="54" fillId="0" borderId="0" xfId="5" applyFont="1" applyAlignment="1" applyProtection="1">
      <alignment horizontal="left" indent="1"/>
    </xf>
    <xf numFmtId="44" fontId="55" fillId="0" borderId="0" xfId="1" applyFont="1"/>
    <xf numFmtId="44" fontId="56" fillId="9" borderId="0" xfId="1" applyFont="1" applyFill="1"/>
    <xf numFmtId="0" fontId="53" fillId="0" borderId="0" xfId="0" applyFont="1" applyAlignment="1">
      <alignment horizontal="left" indent="1"/>
    </xf>
    <xf numFmtId="44" fontId="53" fillId="0" borderId="0" xfId="1" applyFont="1" applyFill="1"/>
    <xf numFmtId="44" fontId="53" fillId="12" borderId="0" xfId="1" applyFont="1" applyFill="1"/>
    <xf numFmtId="44" fontId="56" fillId="12" borderId="0" xfId="1" applyFont="1" applyFill="1"/>
    <xf numFmtId="0" fontId="57" fillId="0" borderId="0" xfId="5" applyFont="1" applyAlignment="1" applyProtection="1">
      <alignment horizontal="left" indent="1"/>
    </xf>
    <xf numFmtId="0" fontId="53" fillId="0" borderId="0" xfId="0" applyFont="1" applyAlignment="1">
      <alignment horizontal="left"/>
    </xf>
    <xf numFmtId="0" fontId="57" fillId="0" borderId="0" xfId="5" applyFont="1" applyFill="1" applyAlignment="1" applyProtection="1">
      <alignment horizontal="left" indent="1"/>
    </xf>
    <xf numFmtId="0" fontId="58" fillId="0" borderId="0" xfId="0" applyFont="1"/>
    <xf numFmtId="0" fontId="56" fillId="0" borderId="0" xfId="0" applyFont="1" applyAlignment="1">
      <alignment horizontal="left" indent="1"/>
    </xf>
    <xf numFmtId="44" fontId="56" fillId="0" borderId="0" xfId="1" applyFont="1" applyFill="1"/>
    <xf numFmtId="44" fontId="56" fillId="4" borderId="0" xfId="1" applyFont="1" applyFill="1"/>
    <xf numFmtId="164" fontId="53" fillId="9" borderId="0" xfId="1" applyNumberFormat="1" applyFont="1" applyFill="1"/>
    <xf numFmtId="164" fontId="53" fillId="12" borderId="0" xfId="1" applyNumberFormat="1" applyFont="1" applyFill="1"/>
    <xf numFmtId="44" fontId="53" fillId="9" borderId="0" xfId="0" applyNumberFormat="1" applyFont="1" applyFill="1"/>
    <xf numFmtId="164" fontId="53" fillId="9" borderId="0" xfId="0" applyNumberFormat="1" applyFont="1" applyFill="1"/>
    <xf numFmtId="0" fontId="59" fillId="0" borderId="0" xfId="0" applyFont="1" applyAlignment="1">
      <alignment horizontal="center" vertical="center"/>
    </xf>
    <xf numFmtId="0" fontId="60" fillId="0" borderId="0" xfId="0" applyFont="1"/>
    <xf numFmtId="0" fontId="61" fillId="0" borderId="0" xfId="0" applyFont="1" applyAlignment="1">
      <alignment horizontal="center" vertical="center"/>
    </xf>
    <xf numFmtId="0" fontId="60" fillId="0" borderId="0" xfId="0" applyFont="1" applyAlignment="1">
      <alignment horizontal="left" vertical="center"/>
    </xf>
    <xf numFmtId="0" fontId="31" fillId="0" borderId="0" xfId="0" applyFont="1"/>
    <xf numFmtId="0" fontId="64" fillId="0" borderId="0" xfId="5" applyFont="1" applyAlignment="1" applyProtection="1"/>
    <xf numFmtId="44" fontId="19" fillId="0" borderId="0" xfId="4" applyNumberFormat="1" applyFont="1" applyFill="1"/>
    <xf numFmtId="44" fontId="0" fillId="48" borderId="0" xfId="1" applyFont="1" applyFill="1"/>
    <xf numFmtId="44" fontId="19" fillId="4" borderId="0" xfId="1" applyFont="1" applyFill="1"/>
    <xf numFmtId="0" fontId="11" fillId="48" borderId="0" xfId="0" applyFont="1" applyFill="1"/>
    <xf numFmtId="0" fontId="6" fillId="0" borderId="0" xfId="3927" applyFont="1"/>
    <xf numFmtId="49" fontId="0" fillId="0" borderId="0" xfId="0" applyNumberFormat="1" applyAlignment="1">
      <alignment horizontal="center"/>
    </xf>
    <xf numFmtId="44" fontId="0" fillId="51" borderId="0" xfId="1" applyFont="1" applyFill="1"/>
    <xf numFmtId="0" fontId="69" fillId="0" borderId="0" xfId="0" applyFont="1"/>
    <xf numFmtId="0" fontId="25" fillId="0" borderId="0" xfId="0" applyFont="1"/>
    <xf numFmtId="0" fontId="53" fillId="0" borderId="38" xfId="0" applyFont="1" applyBorder="1" applyAlignment="1">
      <alignment horizontal="center" vertical="center"/>
    </xf>
    <xf numFmtId="0" fontId="53" fillId="0" borderId="39" xfId="0" applyFont="1" applyBorder="1" applyAlignment="1">
      <alignment horizontal="center" vertical="center"/>
    </xf>
    <xf numFmtId="166" fontId="53" fillId="0" borderId="35" xfId="1" applyNumberFormat="1" applyFont="1" applyBorder="1"/>
    <xf numFmtId="166" fontId="53" fillId="0" borderId="36" xfId="1" applyNumberFormat="1" applyFont="1" applyBorder="1"/>
    <xf numFmtId="166" fontId="53" fillId="0" borderId="37" xfId="1" applyNumberFormat="1" applyFont="1" applyBorder="1"/>
    <xf numFmtId="166" fontId="53" fillId="0" borderId="26" xfId="1" applyNumberFormat="1" applyFont="1" applyBorder="1"/>
    <xf numFmtId="166" fontId="53" fillId="0" borderId="0" xfId="1" applyNumberFormat="1" applyFont="1" applyBorder="1"/>
    <xf numFmtId="166" fontId="53" fillId="0" borderId="27" xfId="1" applyNumberFormat="1" applyFont="1" applyBorder="1"/>
    <xf numFmtId="166" fontId="53" fillId="0" borderId="26" xfId="1" applyNumberFormat="1" applyFont="1" applyFill="1" applyBorder="1"/>
    <xf numFmtId="166" fontId="53" fillId="0" borderId="0" xfId="1" applyNumberFormat="1" applyFont="1" applyFill="1" applyBorder="1"/>
    <xf numFmtId="166" fontId="53" fillId="52" borderId="26" xfId="1" applyNumberFormat="1" applyFont="1" applyFill="1" applyBorder="1"/>
    <xf numFmtId="166" fontId="53" fillId="52" borderId="0" xfId="1" applyNumberFormat="1" applyFont="1" applyFill="1" applyBorder="1"/>
    <xf numFmtId="166" fontId="53" fillId="9" borderId="0" xfId="1" applyNumberFormat="1" applyFont="1" applyFill="1" applyBorder="1"/>
    <xf numFmtId="166" fontId="53" fillId="4" borderId="26" xfId="1" applyNumberFormat="1" applyFont="1" applyFill="1" applyBorder="1"/>
    <xf numFmtId="166" fontId="53" fillId="4" borderId="0" xfId="1" applyNumberFormat="1" applyFont="1" applyFill="1" applyBorder="1"/>
    <xf numFmtId="166" fontId="53" fillId="30" borderId="28" xfId="1" applyNumberFormat="1" applyFont="1" applyFill="1" applyBorder="1"/>
    <xf numFmtId="166" fontId="53" fillId="30" borderId="29" xfId="1" applyNumberFormat="1" applyFont="1" applyFill="1" applyBorder="1"/>
    <xf numFmtId="166" fontId="53" fillId="9" borderId="29" xfId="1" applyNumberFormat="1" applyFont="1" applyFill="1" applyBorder="1"/>
    <xf numFmtId="44" fontId="19" fillId="12" borderId="0" xfId="4" applyNumberFormat="1" applyFont="1" applyFill="1"/>
    <xf numFmtId="44" fontId="0" fillId="13" borderId="0" xfId="1" applyFont="1" applyFill="1"/>
    <xf numFmtId="44" fontId="0" fillId="12" borderId="2" xfId="1" applyFont="1" applyFill="1" applyBorder="1"/>
    <xf numFmtId="0" fontId="6" fillId="0" borderId="0" xfId="0" applyFont="1" applyAlignment="1">
      <alignment horizontal="left"/>
    </xf>
    <xf numFmtId="44" fontId="13" fillId="13" borderId="40" xfId="0" quotePrefix="1" applyNumberFormat="1" applyFont="1" applyFill="1" applyBorder="1"/>
    <xf numFmtId="0" fontId="1" fillId="0" borderId="0" xfId="0" applyFont="1" applyAlignment="1">
      <alignment horizontal="center" vertical="center" wrapText="1"/>
    </xf>
    <xf numFmtId="166" fontId="53" fillId="12" borderId="27" xfId="1" applyNumberFormat="1" applyFont="1" applyFill="1" applyBorder="1"/>
    <xf numFmtId="166" fontId="53" fillId="12" borderId="30" xfId="1" applyNumberFormat="1" applyFont="1" applyFill="1" applyBorder="1"/>
    <xf numFmtId="0" fontId="1" fillId="0" borderId="0" xfId="0" applyFont="1" applyAlignment="1">
      <alignment horizontal="left" indent="1"/>
    </xf>
    <xf numFmtId="0" fontId="73" fillId="0" borderId="0" xfId="0" applyFont="1" applyAlignment="1">
      <alignment horizontal="left" indent="1"/>
    </xf>
    <xf numFmtId="44" fontId="0" fillId="56" borderId="0" xfId="1" applyFont="1" applyFill="1"/>
    <xf numFmtId="44" fontId="0" fillId="56" borderId="2" xfId="1" applyFont="1" applyFill="1" applyBorder="1"/>
    <xf numFmtId="0" fontId="0" fillId="56" borderId="0" xfId="0" applyFill="1"/>
    <xf numFmtId="0" fontId="0" fillId="8" borderId="0" xfId="0" applyFill="1" applyAlignment="1">
      <alignment horizontal="right"/>
    </xf>
    <xf numFmtId="44" fontId="1" fillId="8" borderId="0" xfId="0" applyNumberFormat="1" applyFont="1" applyFill="1"/>
    <xf numFmtId="0" fontId="10" fillId="0" borderId="0" xfId="0" applyFont="1" applyAlignment="1">
      <alignment horizontal="center"/>
    </xf>
    <xf numFmtId="0" fontId="11" fillId="56" borderId="0" xfId="0" applyFont="1" applyFill="1"/>
    <xf numFmtId="44" fontId="18" fillId="5" borderId="0" xfId="1" applyFont="1" applyFill="1"/>
    <xf numFmtId="0" fontId="79" fillId="30" borderId="0" xfId="0" quotePrefix="1" applyFont="1" applyFill="1" applyAlignment="1">
      <alignment horizontal="center" vertical="center"/>
    </xf>
    <xf numFmtId="0" fontId="79" fillId="0" borderId="0" xfId="0" applyFont="1" applyAlignment="1">
      <alignment horizontal="right"/>
    </xf>
    <xf numFmtId="0" fontId="16" fillId="58" borderId="25" xfId="80" applyFont="1" applyFill="1" applyBorder="1" applyAlignment="1">
      <alignment horizontal="center" vertical="center" wrapText="1"/>
    </xf>
    <xf numFmtId="0" fontId="79" fillId="0" borderId="34" xfId="0" applyFont="1" applyBorder="1" applyAlignment="1">
      <alignment horizontal="center" vertical="center"/>
    </xf>
    <xf numFmtId="0" fontId="79" fillId="0" borderId="7" xfId="0" applyFont="1" applyBorder="1" applyAlignment="1">
      <alignment horizontal="center" vertical="center"/>
    </xf>
    <xf numFmtId="0" fontId="12" fillId="0" borderId="0" xfId="0" applyFont="1" applyAlignment="1">
      <alignment horizontal="center" vertical="center"/>
    </xf>
    <xf numFmtId="0" fontId="0" fillId="53" borderId="0" xfId="0" applyFill="1"/>
    <xf numFmtId="49" fontId="12" fillId="0" borderId="0" xfId="0" applyNumberFormat="1" applyFont="1" applyAlignment="1">
      <alignment horizontal="center"/>
    </xf>
    <xf numFmtId="0" fontId="10" fillId="56" borderId="0" xfId="0" applyFont="1" applyFill="1"/>
    <xf numFmtId="44" fontId="6" fillId="0" borderId="0" xfId="5335" quotePrefix="1" applyNumberFormat="1" applyFont="1" applyAlignment="1">
      <alignment horizontal="right"/>
    </xf>
    <xf numFmtId="0" fontId="6" fillId="0" borderId="0" xfId="3921" applyFont="1" applyAlignment="1">
      <alignment horizontal="center" vertical="center"/>
    </xf>
    <xf numFmtId="0" fontId="2" fillId="0" borderId="0" xfId="0" applyFont="1"/>
    <xf numFmtId="0" fontId="85" fillId="0" borderId="0" xfId="3921" applyFont="1" applyAlignment="1">
      <alignment horizontal="center" vertical="center"/>
    </xf>
    <xf numFmtId="0" fontId="2" fillId="0" borderId="0" xfId="0" applyFont="1" applyAlignment="1">
      <alignment horizontal="center" vertical="center"/>
    </xf>
    <xf numFmtId="167" fontId="2" fillId="0" borderId="0" xfId="9" applyNumberFormat="1" applyFont="1"/>
    <xf numFmtId="167" fontId="6" fillId="0" borderId="0" xfId="0" applyNumberFormat="1" applyFont="1"/>
    <xf numFmtId="167" fontId="2" fillId="0" borderId="0" xfId="5337" applyNumberFormat="1"/>
    <xf numFmtId="167" fontId="2" fillId="0" borderId="0" xfId="0" applyNumberFormat="1" applyFont="1"/>
    <xf numFmtId="0" fontId="6" fillId="29" borderId="0" xfId="0" applyFont="1" applyFill="1"/>
    <xf numFmtId="0" fontId="6" fillId="0" borderId="0" xfId="0" quotePrefix="1" applyFont="1"/>
    <xf numFmtId="0" fontId="2" fillId="29" borderId="0" xfId="3920" applyFill="1"/>
    <xf numFmtId="0" fontId="6" fillId="0" borderId="0" xfId="3920" applyFont="1"/>
    <xf numFmtId="0" fontId="84" fillId="48" borderId="0" xfId="0" applyFont="1" applyFill="1" applyAlignment="1">
      <alignment horizontal="center" vertical="center"/>
    </xf>
    <xf numFmtId="0" fontId="2" fillId="48" borderId="0" xfId="0" applyFont="1" applyFill="1" applyAlignment="1">
      <alignment horizontal="center" vertical="center"/>
    </xf>
    <xf numFmtId="167" fontId="6" fillId="0" borderId="0" xfId="9" applyNumberFormat="1" applyFont="1" applyFill="1"/>
    <xf numFmtId="167" fontId="68" fillId="0" borderId="0" xfId="9" applyNumberFormat="1" applyFont="1" applyFill="1"/>
    <xf numFmtId="167" fontId="2" fillId="0" borderId="0" xfId="9" applyNumberFormat="1" applyFont="1" applyFill="1"/>
    <xf numFmtId="43" fontId="0" fillId="4" borderId="0" xfId="9" applyFont="1" applyFill="1" applyAlignment="1">
      <alignment horizontal="center" vertical="center" wrapText="1"/>
    </xf>
    <xf numFmtId="167" fontId="2" fillId="4" borderId="0" xfId="9" applyNumberFormat="1" applyFont="1" applyFill="1"/>
    <xf numFmtId="0" fontId="53" fillId="50" borderId="11" xfId="0" applyFont="1" applyFill="1" applyBorder="1" applyAlignment="1">
      <alignment vertical="center" wrapText="1"/>
    </xf>
    <xf numFmtId="0" fontId="49" fillId="50" borderId="33" xfId="0" applyFont="1" applyFill="1" applyBorder="1" applyAlignment="1">
      <alignment vertical="center" wrapText="1"/>
    </xf>
    <xf numFmtId="0" fontId="10" fillId="55" borderId="41" xfId="0" applyFont="1" applyFill="1" applyBorder="1" applyAlignment="1">
      <alignment vertical="center" wrapText="1"/>
    </xf>
    <xf numFmtId="0" fontId="53" fillId="48" borderId="41" xfId="0" applyFont="1" applyFill="1" applyBorder="1" applyAlignment="1">
      <alignment vertical="center" wrapText="1"/>
    </xf>
    <xf numFmtId="0" fontId="53" fillId="4" borderId="41" xfId="0" applyFont="1" applyFill="1" applyBorder="1" applyAlignment="1">
      <alignment vertical="center" wrapText="1"/>
    </xf>
    <xf numFmtId="0" fontId="81" fillId="50" borderId="41" xfId="0" applyFont="1" applyFill="1" applyBorder="1" applyAlignment="1">
      <alignment vertical="center" wrapText="1"/>
    </xf>
    <xf numFmtId="0" fontId="50" fillId="50" borderId="34" xfId="0" applyFont="1" applyFill="1" applyBorder="1" applyAlignment="1">
      <alignment vertical="center" wrapText="1"/>
    </xf>
    <xf numFmtId="0" fontId="53" fillId="50" borderId="41" xfId="0" applyFont="1" applyFill="1" applyBorder="1" applyAlignment="1">
      <alignment horizontal="left" vertical="center" wrapText="1"/>
    </xf>
    <xf numFmtId="0" fontId="53" fillId="50" borderId="42" xfId="0" applyFont="1" applyFill="1" applyBorder="1" applyAlignment="1">
      <alignment horizontal="left" vertical="center" wrapText="1"/>
    </xf>
    <xf numFmtId="0" fontId="0" fillId="55" borderId="0" xfId="0" applyFill="1"/>
    <xf numFmtId="0" fontId="52" fillId="60" borderId="31" xfId="41" applyFont="1" applyFill="1" applyBorder="1" applyAlignment="1">
      <alignment horizontal="left" vertical="center"/>
    </xf>
    <xf numFmtId="0" fontId="52" fillId="60" borderId="8" xfId="41" applyFont="1" applyFill="1" applyBorder="1" applyAlignment="1">
      <alignment horizontal="left" vertical="center"/>
    </xf>
    <xf numFmtId="0" fontId="13" fillId="55" borderId="8" xfId="0" applyFont="1" applyFill="1" applyBorder="1"/>
    <xf numFmtId="0" fontId="0" fillId="61" borderId="0" xfId="0" applyFill="1"/>
    <xf numFmtId="0" fontId="2" fillId="0" borderId="0" xfId="0" applyFont="1" applyAlignment="1">
      <alignment horizontal="center"/>
    </xf>
    <xf numFmtId="0" fontId="6" fillId="57" borderId="0" xfId="0" applyFont="1" applyFill="1"/>
    <xf numFmtId="167" fontId="0" fillId="0" borderId="0" xfId="9" applyNumberFormat="1" applyFont="1"/>
    <xf numFmtId="0" fontId="6" fillId="55" borderId="0" xfId="0" applyFont="1" applyFill="1"/>
    <xf numFmtId="0" fontId="6" fillId="55" borderId="0" xfId="0" quotePrefix="1" applyFont="1" applyFill="1" applyAlignment="1">
      <alignment horizontal="left"/>
    </xf>
    <xf numFmtId="0" fontId="6" fillId="30" borderId="0" xfId="0" applyFont="1" applyFill="1"/>
    <xf numFmtId="43" fontId="0" fillId="0" borderId="0" xfId="9" applyFont="1" applyFill="1"/>
    <xf numFmtId="0" fontId="2" fillId="53" borderId="0" xfId="0" applyFont="1" applyFill="1" applyAlignment="1">
      <alignment horizontal="center" vertical="center" wrapText="1"/>
    </xf>
    <xf numFmtId="167" fontId="0" fillId="4" borderId="0" xfId="9" applyNumberFormat="1" applyFont="1" applyFill="1"/>
    <xf numFmtId="0" fontId="0" fillId="0" borderId="0" xfId="0" applyAlignment="1">
      <alignment wrapText="1"/>
    </xf>
    <xf numFmtId="0" fontId="11" fillId="0" borderId="0" xfId="0" applyFont="1" applyAlignment="1">
      <alignment wrapText="1"/>
    </xf>
    <xf numFmtId="44" fontId="0" fillId="0" borderId="0" xfId="1" applyFont="1" applyAlignment="1">
      <alignment wrapText="1"/>
    </xf>
    <xf numFmtId="44" fontId="0" fillId="15" borderId="6" xfId="8" applyNumberFormat="1" applyFont="1" applyAlignment="1">
      <alignment vertical="center"/>
    </xf>
    <xf numFmtId="43" fontId="0" fillId="13" borderId="32" xfId="9" quotePrefix="1" applyFont="1" applyFill="1" applyBorder="1" applyAlignment="1">
      <alignment vertical="center"/>
    </xf>
    <xf numFmtId="44" fontId="0" fillId="0" borderId="0" xfId="1" applyFont="1" applyAlignment="1">
      <alignment vertical="center"/>
    </xf>
    <xf numFmtId="44" fontId="0" fillId="62" borderId="11" xfId="1" applyFont="1" applyFill="1" applyBorder="1"/>
    <xf numFmtId="0" fontId="0" fillId="62" borderId="0" xfId="0" applyFill="1"/>
    <xf numFmtId="0" fontId="0" fillId="62" borderId="12" xfId="0" applyFill="1" applyBorder="1"/>
    <xf numFmtId="43" fontId="19" fillId="62" borderId="11" xfId="9" applyFont="1" applyFill="1" applyBorder="1"/>
    <xf numFmtId="44" fontId="19" fillId="62" borderId="11" xfId="4" applyNumberFormat="1" applyFont="1" applyFill="1" applyBorder="1"/>
    <xf numFmtId="44" fontId="19" fillId="62" borderId="0" xfId="4" applyNumberFormat="1" applyFont="1" applyFill="1" applyBorder="1"/>
    <xf numFmtId="44" fontId="19" fillId="62" borderId="12" xfId="4" applyNumberFormat="1" applyFont="1" applyFill="1" applyBorder="1"/>
    <xf numFmtId="0" fontId="0" fillId="62" borderId="11" xfId="0" applyFill="1" applyBorder="1"/>
    <xf numFmtId="0" fontId="0" fillId="62" borderId="2" xfId="0" applyFill="1" applyBorder="1" applyAlignment="1">
      <alignment horizontal="center" vertical="center"/>
    </xf>
    <xf numFmtId="0" fontId="0" fillId="0" borderId="12" xfId="0" applyBorder="1"/>
    <xf numFmtId="0" fontId="0" fillId="63" borderId="2" xfId="0" applyFill="1" applyBorder="1" applyAlignment="1">
      <alignment horizontal="center" wrapText="1"/>
    </xf>
    <xf numFmtId="44" fontId="2" fillId="0" borderId="0" xfId="1" applyFont="1" applyFill="1" applyAlignment="1">
      <alignment vertical="top"/>
    </xf>
    <xf numFmtId="0" fontId="0" fillId="0" borderId="0" xfId="0" applyAlignment="1">
      <alignment vertical="top"/>
    </xf>
    <xf numFmtId="0" fontId="0" fillId="0" borderId="17" xfId="0" applyBorder="1"/>
    <xf numFmtId="0" fontId="29" fillId="56" borderId="0" xfId="0" applyFont="1" applyFill="1"/>
    <xf numFmtId="0" fontId="0" fillId="56" borderId="0" xfId="0" applyFill="1" applyAlignment="1">
      <alignment vertical="center"/>
    </xf>
    <xf numFmtId="0" fontId="7" fillId="0" borderId="0" xfId="5" applyFill="1" applyAlignment="1" applyProtection="1">
      <alignment horizontal="left" indent="1"/>
    </xf>
    <xf numFmtId="0" fontId="88" fillId="0" borderId="0" xfId="0" applyFont="1"/>
    <xf numFmtId="0" fontId="6" fillId="64" borderId="0" xfId="0" quotePrefix="1" applyFont="1" applyFill="1" applyAlignment="1">
      <alignment horizontal="center" vertical="center"/>
    </xf>
    <xf numFmtId="38" fontId="17" fillId="0" borderId="0" xfId="0" applyNumberFormat="1" applyFont="1"/>
    <xf numFmtId="0" fontId="6" fillId="64" borderId="0" xfId="0" quotePrefix="1" applyFont="1" applyFill="1" applyAlignment="1">
      <alignment horizontal="left" vertical="top"/>
    </xf>
    <xf numFmtId="0" fontId="6" fillId="65" borderId="0" xfId="0" quotePrefix="1" applyFont="1" applyFill="1" applyAlignment="1">
      <alignment horizontal="center" vertical="center"/>
    </xf>
    <xf numFmtId="0" fontId="6" fillId="64" borderId="0" xfId="0" quotePrefix="1" applyFont="1" applyFill="1" applyAlignment="1">
      <alignment horizontal="left" vertical="center"/>
    </xf>
    <xf numFmtId="0" fontId="25" fillId="0" borderId="0" xfId="246" applyFont="1"/>
    <xf numFmtId="0" fontId="6" fillId="0" borderId="0" xfId="246" applyFont="1"/>
    <xf numFmtId="0" fontId="0" fillId="0" borderId="0" xfId="0" quotePrefix="1" applyAlignment="1">
      <alignment horizontal="left"/>
    </xf>
    <xf numFmtId="0" fontId="6" fillId="0" borderId="0" xfId="246" quotePrefix="1" applyFont="1"/>
    <xf numFmtId="0" fontId="2" fillId="0" borderId="0" xfId="5337" applyAlignment="1">
      <alignment horizontal="center" vertical="center" wrapText="1"/>
    </xf>
    <xf numFmtId="0" fontId="2" fillId="0" borderId="0" xfId="5337" applyAlignment="1">
      <alignment horizontal="center" vertical="center"/>
    </xf>
    <xf numFmtId="167" fontId="0" fillId="0" borderId="0" xfId="0" applyNumberFormat="1"/>
    <xf numFmtId="0" fontId="89" fillId="0" borderId="0" xfId="0" applyFont="1"/>
    <xf numFmtId="0" fontId="53" fillId="4" borderId="41" xfId="0" applyFont="1" applyFill="1" applyBorder="1" applyAlignment="1">
      <alignment horizontal="left" vertical="center" wrapText="1"/>
    </xf>
    <xf numFmtId="0" fontId="62" fillId="68" borderId="38" xfId="0" applyFont="1" applyFill="1" applyBorder="1" applyAlignment="1">
      <alignment vertical="center" wrapText="1"/>
    </xf>
    <xf numFmtId="0" fontId="63" fillId="68" borderId="43" xfId="0" applyFont="1" applyFill="1" applyBorder="1" applyAlignment="1">
      <alignment vertical="center" wrapText="1"/>
    </xf>
    <xf numFmtId="0" fontId="53" fillId="68" borderId="44" xfId="0" applyFont="1" applyFill="1" applyBorder="1" applyAlignment="1">
      <alignment horizontal="left" vertical="center" wrapText="1"/>
    </xf>
    <xf numFmtId="0" fontId="53" fillId="68" borderId="45" xfId="0" applyFont="1" applyFill="1" applyBorder="1" applyAlignment="1">
      <alignment horizontal="left" vertical="center" wrapText="1"/>
    </xf>
    <xf numFmtId="0" fontId="53" fillId="68" borderId="43" xfId="0" applyFont="1" applyFill="1" applyBorder="1" applyAlignment="1">
      <alignment horizontal="left" vertical="center" wrapText="1"/>
    </xf>
    <xf numFmtId="0" fontId="49" fillId="69" borderId="46" xfId="0" applyFont="1" applyFill="1" applyBorder="1" applyAlignment="1">
      <alignment vertical="center" wrapText="1"/>
    </xf>
    <xf numFmtId="0" fontId="10" fillId="54" borderId="0" xfId="0" applyFont="1" applyFill="1" applyAlignment="1">
      <alignment horizontal="centerContinuous" vertical="center" wrapText="1"/>
    </xf>
    <xf numFmtId="0" fontId="0" fillId="54" borderId="0" xfId="0" applyFill="1" applyAlignment="1">
      <alignment horizontal="centerContinuous" vertical="center"/>
    </xf>
    <xf numFmtId="166" fontId="0" fillId="0" borderId="0" xfId="0" applyNumberFormat="1"/>
    <xf numFmtId="40" fontId="12" fillId="0" borderId="0" xfId="0" applyNumberFormat="1" applyFont="1"/>
    <xf numFmtId="0" fontId="90" fillId="0" borderId="0" xfId="0" applyFont="1"/>
    <xf numFmtId="0" fontId="7" fillId="0" borderId="0" xfId="5" applyAlignment="1" applyProtection="1">
      <alignment horizontal="left" indent="1"/>
    </xf>
    <xf numFmtId="0" fontId="7" fillId="0" borderId="0" xfId="5" applyFill="1" applyAlignment="1" applyProtection="1"/>
    <xf numFmtId="0" fontId="91" fillId="0" borderId="0" xfId="0" applyFont="1"/>
    <xf numFmtId="44" fontId="91" fillId="0" borderId="0" xfId="1" applyFont="1" applyFill="1"/>
    <xf numFmtId="0" fontId="92" fillId="0" borderId="0" xfId="0" applyFont="1"/>
    <xf numFmtId="0" fontId="93" fillId="0" borderId="0" xfId="0" applyFont="1"/>
    <xf numFmtId="44" fontId="53" fillId="0" borderId="0" xfId="1" applyFont="1" applyFill="1" applyBorder="1"/>
    <xf numFmtId="44" fontId="95" fillId="0" borderId="38" xfId="4" applyNumberFormat="1" applyFont="1" applyFill="1" applyBorder="1" applyAlignment="1">
      <alignment horizontal="center"/>
    </xf>
    <xf numFmtId="44" fontId="93" fillId="0" borderId="45" xfId="1" applyFont="1" applyFill="1" applyBorder="1"/>
    <xf numFmtId="44" fontId="94" fillId="0" borderId="45" xfId="4" applyNumberFormat="1" applyFont="1" applyFill="1" applyBorder="1"/>
    <xf numFmtId="0" fontId="93" fillId="0" borderId="45" xfId="0" applyFont="1" applyBorder="1"/>
    <xf numFmtId="44" fontId="96" fillId="0" borderId="45" xfId="1" applyFont="1" applyFill="1" applyBorder="1"/>
    <xf numFmtId="44" fontId="56" fillId="0" borderId="0" xfId="1" applyFont="1" applyFill="1" applyBorder="1"/>
    <xf numFmtId="0" fontId="0" fillId="0" borderId="45" xfId="0" applyBorder="1"/>
    <xf numFmtId="0" fontId="56" fillId="0" borderId="0" xfId="0" applyFont="1" applyAlignment="1">
      <alignment horizontal="left" vertical="center" readingOrder="1"/>
    </xf>
    <xf numFmtId="44" fontId="56" fillId="9" borderId="2" xfId="1" applyFont="1" applyFill="1" applyBorder="1"/>
    <xf numFmtId="44" fontId="53" fillId="9" borderId="2" xfId="0" applyNumberFormat="1" applyFont="1" applyFill="1" applyBorder="1"/>
    <xf numFmtId="44" fontId="93" fillId="55" borderId="45" xfId="1" applyFont="1" applyFill="1" applyBorder="1"/>
    <xf numFmtId="0" fontId="49" fillId="0" borderId="0" xfId="0" applyFont="1" applyAlignment="1">
      <alignment vertical="center"/>
    </xf>
    <xf numFmtId="0" fontId="85" fillId="0" borderId="0" xfId="3921" applyFont="1"/>
    <xf numFmtId="0" fontId="6" fillId="0" borderId="0" xfId="3921" applyFont="1"/>
    <xf numFmtId="43" fontId="6" fillId="0" borderId="0" xfId="3921" applyNumberFormat="1" applyFont="1"/>
    <xf numFmtId="0" fontId="6" fillId="5" borderId="0" xfId="0" quotePrefix="1" applyFont="1" applyFill="1" applyAlignment="1">
      <alignment horizontal="center"/>
    </xf>
    <xf numFmtId="0" fontId="6" fillId="5" borderId="0" xfId="0" applyFont="1" applyFill="1" applyAlignment="1">
      <alignment horizontal="center"/>
    </xf>
    <xf numFmtId="0" fontId="6" fillId="5" borderId="0" xfId="0" applyFont="1" applyFill="1"/>
    <xf numFmtId="0" fontId="6" fillId="8" borderId="0" xfId="0" applyFont="1" applyFill="1"/>
    <xf numFmtId="0" fontId="6" fillId="0" borderId="0" xfId="0" applyFont="1" applyAlignment="1">
      <alignment vertical="top"/>
    </xf>
    <xf numFmtId="41" fontId="6" fillId="0" borderId="0" xfId="0" applyNumberFormat="1" applyFont="1"/>
    <xf numFmtId="41" fontId="6" fillId="0" borderId="0" xfId="7" applyNumberFormat="1" applyFont="1"/>
    <xf numFmtId="165" fontId="6" fillId="0" borderId="0" xfId="7" applyNumberFormat="1" applyFont="1"/>
    <xf numFmtId="0" fontId="6" fillId="29" borderId="0" xfId="246" applyFont="1" applyFill="1"/>
    <xf numFmtId="0" fontId="6" fillId="29" borderId="0" xfId="246" quotePrefix="1" applyFont="1" applyFill="1"/>
    <xf numFmtId="0" fontId="25" fillId="0" borderId="0" xfId="0" applyFont="1" applyAlignment="1">
      <alignment vertical="top"/>
    </xf>
    <xf numFmtId="49" fontId="13" fillId="10" borderId="33" xfId="0" applyNumberFormat="1" applyFont="1" applyFill="1" applyBorder="1" applyAlignment="1">
      <alignment horizontal="center"/>
    </xf>
    <xf numFmtId="0" fontId="13" fillId="10" borderId="2" xfId="0" applyFont="1" applyFill="1" applyBorder="1" applyAlignment="1">
      <alignment horizontal="center"/>
    </xf>
    <xf numFmtId="0" fontId="13" fillId="10" borderId="0" xfId="0" applyFont="1" applyFill="1" applyAlignment="1">
      <alignment horizontal="center" vertical="center"/>
    </xf>
    <xf numFmtId="0" fontId="13" fillId="10" borderId="0" xfId="0" applyFont="1" applyFill="1" applyAlignment="1">
      <alignment horizontal="center"/>
    </xf>
    <xf numFmtId="49" fontId="6" fillId="0" borderId="0" xfId="0" applyNumberFormat="1" applyFont="1" applyAlignment="1">
      <alignment horizontal="left"/>
    </xf>
    <xf numFmtId="49" fontId="0" fillId="48" borderId="0" xfId="0" applyNumberFormat="1" applyFill="1" applyAlignment="1">
      <alignment horizontal="left" vertical="center"/>
    </xf>
    <xf numFmtId="0" fontId="0" fillId="48" borderId="0" xfId="0" applyFill="1" applyAlignment="1">
      <alignment horizontal="left" vertical="center"/>
    </xf>
    <xf numFmtId="0" fontId="6" fillId="59" borderId="0" xfId="0" quotePrefix="1" applyFont="1" applyFill="1"/>
    <xf numFmtId="0" fontId="6" fillId="59" borderId="0" xfId="0" applyFont="1" applyFill="1"/>
    <xf numFmtId="0" fontId="0" fillId="67" borderId="0" xfId="0" applyFill="1" applyAlignment="1">
      <alignment horizontal="center" vertical="center"/>
    </xf>
    <xf numFmtId="0" fontId="6" fillId="48" borderId="0" xfId="246" quotePrefix="1" applyFont="1" applyFill="1"/>
    <xf numFmtId="0" fontId="98" fillId="48" borderId="0" xfId="246" applyFont="1" applyFill="1"/>
    <xf numFmtId="49" fontId="0" fillId="0" borderId="0" xfId="0" applyNumberFormat="1" applyAlignment="1">
      <alignment horizontal="left" vertical="center"/>
    </xf>
    <xf numFmtId="0" fontId="0" fillId="29" borderId="0" xfId="3920" applyFont="1" applyFill="1"/>
    <xf numFmtId="49" fontId="0" fillId="29" borderId="0" xfId="0" applyNumberFormat="1" applyFill="1" applyAlignment="1">
      <alignment horizontal="left"/>
    </xf>
    <xf numFmtId="0" fontId="6" fillId="48" borderId="0" xfId="246" applyFont="1" applyFill="1"/>
    <xf numFmtId="49" fontId="6" fillId="29" borderId="0" xfId="3927" applyNumberFormat="1" applyFont="1" applyFill="1" applyAlignment="1">
      <alignment horizontal="left"/>
    </xf>
    <xf numFmtId="0" fontId="0" fillId="29" borderId="0" xfId="0" applyFill="1" applyAlignment="1">
      <alignment horizontal="left"/>
    </xf>
    <xf numFmtId="0" fontId="6" fillId="0" borderId="5" xfId="0" applyFont="1" applyBorder="1" applyAlignment="1">
      <alignment horizontal="left"/>
    </xf>
    <xf numFmtId="0" fontId="12" fillId="0" borderId="2" xfId="0" applyFont="1" applyBorder="1" applyAlignment="1">
      <alignment horizontal="center" vertical="center"/>
    </xf>
    <xf numFmtId="49" fontId="13" fillId="10" borderId="33" xfId="0" applyNumberFormat="1" applyFont="1" applyFill="1" applyBorder="1" applyAlignment="1">
      <alignment horizontal="center" vertical="center"/>
    </xf>
    <xf numFmtId="49" fontId="6" fillId="0" borderId="0" xfId="0" applyNumberFormat="1" applyFont="1" applyAlignment="1">
      <alignment horizontal="center" vertical="center"/>
    </xf>
    <xf numFmtId="0" fontId="6" fillId="29" borderId="0" xfId="0" applyFont="1" applyFill="1" applyAlignment="1">
      <alignment horizontal="center" vertical="center"/>
    </xf>
    <xf numFmtId="49" fontId="0" fillId="48" borderId="0" xfId="0" applyNumberFormat="1" applyFill="1" applyAlignment="1">
      <alignment horizontal="center" vertical="center"/>
    </xf>
    <xf numFmtId="0" fontId="6" fillId="59" borderId="0" xfId="0" quotePrefix="1" applyFont="1" applyFill="1" applyAlignment="1">
      <alignment horizontal="center" vertical="center"/>
    </xf>
    <xf numFmtId="0" fontId="6" fillId="59" borderId="0" xfId="0" applyFont="1" applyFill="1" applyAlignment="1">
      <alignment horizontal="center" vertical="center"/>
    </xf>
    <xf numFmtId="0" fontId="6" fillId="48" borderId="0" xfId="246" quotePrefix="1" applyFont="1" applyFill="1" applyAlignment="1">
      <alignment horizontal="center" vertical="center"/>
    </xf>
    <xf numFmtId="49" fontId="0" fillId="0" borderId="0" xfId="0" applyNumberFormat="1" applyAlignment="1">
      <alignment horizontal="center" vertical="center"/>
    </xf>
    <xf numFmtId="0" fontId="0" fillId="29" borderId="0" xfId="3920" applyFont="1" applyFill="1" applyAlignment="1">
      <alignment horizontal="center" vertical="center"/>
    </xf>
    <xf numFmtId="49" fontId="0" fillId="29" borderId="0" xfId="0" applyNumberFormat="1" applyFill="1" applyAlignment="1">
      <alignment horizontal="center" vertical="center"/>
    </xf>
    <xf numFmtId="0" fontId="6" fillId="29" borderId="0" xfId="246" applyFont="1" applyFill="1" applyAlignment="1">
      <alignment horizontal="center" vertical="center"/>
    </xf>
    <xf numFmtId="49" fontId="6" fillId="29" borderId="0" xfId="3927" applyNumberFormat="1" applyFont="1" applyFill="1" applyAlignment="1">
      <alignment horizontal="center" vertical="center"/>
    </xf>
    <xf numFmtId="0" fontId="0" fillId="29" borderId="0" xfId="0" applyFill="1" applyAlignment="1">
      <alignment horizontal="center" vertical="center"/>
    </xf>
    <xf numFmtId="0" fontId="6" fillId="29" borderId="0" xfId="246" quotePrefix="1" applyFont="1" applyFill="1" applyAlignment="1">
      <alignment horizontal="center" vertical="center"/>
    </xf>
    <xf numFmtId="0" fontId="7" fillId="0" borderId="0" xfId="5" applyAlignment="1" applyProtection="1">
      <alignment vertical="center"/>
    </xf>
    <xf numFmtId="44" fontId="56" fillId="9" borderId="3" xfId="1" applyFont="1" applyFill="1" applyBorder="1"/>
    <xf numFmtId="44" fontId="93" fillId="0" borderId="45" xfId="0" applyNumberFormat="1" applyFont="1" applyBorder="1"/>
    <xf numFmtId="0" fontId="6" fillId="0" borderId="26" xfId="0" applyFont="1" applyBorder="1" applyAlignment="1">
      <alignment horizontal="center" vertical="center" wrapText="1"/>
    </xf>
    <xf numFmtId="0" fontId="93" fillId="0" borderId="26" xfId="0" applyFont="1" applyBorder="1" applyAlignment="1">
      <alignment horizontal="center" vertical="center" wrapText="1"/>
    </xf>
    <xf numFmtId="44" fontId="56" fillId="71" borderId="2" xfId="1" applyFont="1" applyFill="1" applyBorder="1"/>
    <xf numFmtId="44" fontId="56" fillId="71" borderId="3" xfId="1" applyFont="1" applyFill="1" applyBorder="1"/>
    <xf numFmtId="0" fontId="92" fillId="71" borderId="2" xfId="0" applyFont="1" applyFill="1" applyBorder="1"/>
    <xf numFmtId="0" fontId="92" fillId="71" borderId="3" xfId="0" applyFont="1" applyFill="1" applyBorder="1"/>
    <xf numFmtId="44" fontId="53" fillId="71" borderId="2" xfId="1" applyFont="1" applyFill="1" applyBorder="1"/>
    <xf numFmtId="44" fontId="53" fillId="71" borderId="3" xfId="1" applyFont="1" applyFill="1" applyBorder="1"/>
    <xf numFmtId="0" fontId="11" fillId="71" borderId="0" xfId="0" applyFont="1" applyFill="1" applyAlignment="1">
      <alignment vertical="center" wrapText="1"/>
    </xf>
    <xf numFmtId="0" fontId="11" fillId="0" borderId="0" xfId="0" applyFont="1" applyAlignment="1">
      <alignment vertical="center"/>
    </xf>
    <xf numFmtId="0" fontId="97" fillId="70" borderId="0" xfId="0" applyFont="1" applyFill="1" applyAlignment="1">
      <alignment vertical="center" wrapText="1"/>
    </xf>
    <xf numFmtId="0" fontId="6" fillId="0" borderId="0" xfId="0" applyFont="1" applyAlignment="1">
      <alignment horizontal="left" vertical="center" wrapText="1" readingOrder="1"/>
    </xf>
    <xf numFmtId="0" fontId="6" fillId="0" borderId="35" xfId="0" applyFont="1" applyBorder="1"/>
    <xf numFmtId="0" fontId="6" fillId="0" borderId="36" xfId="0" applyFont="1" applyBorder="1"/>
    <xf numFmtId="0" fontId="6" fillId="0" borderId="37" xfId="0" applyFont="1" applyBorder="1"/>
    <xf numFmtId="0" fontId="6" fillId="0" borderId="27" xfId="0" applyFont="1" applyBorder="1"/>
    <xf numFmtId="0" fontId="93" fillId="0" borderId="26" xfId="0" applyFont="1" applyBorder="1" applyAlignment="1">
      <alignment horizontal="center" vertical="center" wrapText="1" readingOrder="1"/>
    </xf>
    <xf numFmtId="0" fontId="93" fillId="0" borderId="26" xfId="0" applyFont="1" applyBorder="1"/>
    <xf numFmtId="0" fontId="6" fillId="0" borderId="28" xfId="0" applyFont="1" applyBorder="1"/>
    <xf numFmtId="0" fontId="6" fillId="0" borderId="29" xfId="0" applyFont="1" applyBorder="1"/>
    <xf numFmtId="0" fontId="6" fillId="0" borderId="30" xfId="0" applyFont="1" applyBorder="1"/>
    <xf numFmtId="0" fontId="6" fillId="0" borderId="0" xfId="0" applyFont="1" applyAlignment="1">
      <alignment vertical="center" readingOrder="1"/>
    </xf>
    <xf numFmtId="49" fontId="6" fillId="67" borderId="0" xfId="0" applyNumberFormat="1" applyFont="1" applyFill="1" applyAlignment="1">
      <alignment horizontal="left"/>
    </xf>
    <xf numFmtId="0" fontId="6" fillId="67" borderId="0" xfId="0" applyFont="1" applyFill="1" applyAlignment="1">
      <alignment horizontal="left"/>
    </xf>
    <xf numFmtId="49" fontId="0" fillId="67" borderId="0" xfId="0" applyNumberFormat="1" applyFill="1" applyAlignment="1">
      <alignment horizontal="left" vertical="center"/>
    </xf>
    <xf numFmtId="0" fontId="0" fillId="67" borderId="0" xfId="0" applyFill="1" applyAlignment="1">
      <alignment horizontal="left" vertical="center"/>
    </xf>
    <xf numFmtId="0" fontId="6" fillId="67" borderId="0" xfId="0" quotePrefix="1" applyFont="1" applyFill="1"/>
    <xf numFmtId="0" fontId="6" fillId="67" borderId="0" xfId="0" applyFont="1" applyFill="1"/>
    <xf numFmtId="49" fontId="0" fillId="67" borderId="0" xfId="0" applyNumberFormat="1" applyFill="1" applyAlignment="1">
      <alignment horizontal="left"/>
    </xf>
    <xf numFmtId="0" fontId="0" fillId="67" borderId="0" xfId="0" applyFill="1"/>
    <xf numFmtId="0" fontId="0" fillId="67" borderId="0" xfId="0" applyFill="1" applyAlignment="1">
      <alignment horizontal="left"/>
    </xf>
    <xf numFmtId="0" fontId="6" fillId="67" borderId="0" xfId="246" quotePrefix="1" applyFont="1" applyFill="1"/>
    <xf numFmtId="0" fontId="6" fillId="0" borderId="0" xfId="0" quotePrefix="1" applyFont="1" applyAlignment="1">
      <alignment horizontal="center" vertical="center"/>
    </xf>
    <xf numFmtId="38" fontId="1" fillId="0" borderId="0" xfId="0" applyNumberFormat="1" applyFont="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48" borderId="0" xfId="0" applyFont="1" applyFill="1"/>
    <xf numFmtId="0" fontId="0" fillId="48" borderId="0" xfId="0" applyFill="1"/>
    <xf numFmtId="0" fontId="0" fillId="0" borderId="0" xfId="0" quotePrefix="1"/>
    <xf numFmtId="44" fontId="0" fillId="8" borderId="0" xfId="1" quotePrefix="1" applyFont="1" applyFill="1"/>
    <xf numFmtId="0" fontId="0" fillId="52" borderId="0" xfId="0" applyFill="1" applyAlignment="1">
      <alignment horizontal="center" vertical="center"/>
    </xf>
    <xf numFmtId="0" fontId="0" fillId="0" borderId="0" xfId="0" applyAlignment="1">
      <alignment horizontal="center"/>
    </xf>
    <xf numFmtId="0" fontId="53" fillId="0" borderId="0" xfId="0" applyFont="1" applyAlignment="1">
      <alignment vertical="center" wrapText="1"/>
    </xf>
    <xf numFmtId="0" fontId="53" fillId="0" borderId="0" xfId="0" applyFont="1" applyAlignment="1">
      <alignment vertical="center"/>
    </xf>
    <xf numFmtId="0" fontId="0" fillId="0" borderId="26" xfId="0" applyBorder="1" applyAlignment="1">
      <alignment vertical="center" wrapText="1"/>
    </xf>
    <xf numFmtId="0" fontId="0" fillId="0" borderId="27" xfId="0" applyBorder="1" applyAlignment="1">
      <alignment vertical="center" wrapText="1"/>
    </xf>
    <xf numFmtId="40" fontId="6" fillId="0" borderId="0" xfId="9" applyNumberFormat="1" applyFont="1" applyFill="1" applyAlignment="1">
      <alignment horizontal="left"/>
    </xf>
    <xf numFmtId="40" fontId="0" fillId="0" borderId="0" xfId="9" applyNumberFormat="1" applyFont="1" applyFill="1"/>
    <xf numFmtId="40" fontId="0" fillId="0" borderId="0" xfId="9" applyNumberFormat="1" applyFont="1" applyFill="1" applyAlignment="1">
      <alignment horizontal="left" vertical="center"/>
    </xf>
    <xf numFmtId="40" fontId="6" fillId="0" borderId="0" xfId="9" applyNumberFormat="1" applyFont="1" applyFill="1"/>
    <xf numFmtId="40" fontId="6" fillId="0" borderId="0" xfId="9" quotePrefix="1" applyNumberFormat="1" applyFont="1" applyFill="1" applyAlignment="1">
      <alignment horizontal="left" vertical="center"/>
    </xf>
    <xf numFmtId="40" fontId="6" fillId="0" borderId="0" xfId="9" quotePrefix="1" applyNumberFormat="1" applyFont="1" applyFill="1" applyAlignment="1">
      <alignment horizontal="left" vertical="top"/>
    </xf>
    <xf numFmtId="40" fontId="104" fillId="0" borderId="0" xfId="9" applyNumberFormat="1" applyFont="1" applyFill="1"/>
    <xf numFmtId="40" fontId="103" fillId="0" borderId="0" xfId="0" applyNumberFormat="1" applyFont="1"/>
    <xf numFmtId="40" fontId="0" fillId="0" borderId="0" xfId="9" applyNumberFormat="1" applyFont="1" applyFill="1" applyAlignment="1">
      <alignment horizontal="right" vertical="center"/>
    </xf>
    <xf numFmtId="40" fontId="6" fillId="0" borderId="0" xfId="9" applyNumberFormat="1" applyFont="1" applyFill="1" applyAlignment="1">
      <alignment horizontal="right"/>
    </xf>
    <xf numFmtId="40" fontId="0" fillId="0" borderId="0" xfId="9" applyNumberFormat="1" applyFont="1" applyFill="1" applyAlignment="1">
      <alignment horizontal="right"/>
    </xf>
    <xf numFmtId="40" fontId="6" fillId="0" borderId="0" xfId="9" quotePrefix="1" applyNumberFormat="1" applyFont="1" applyFill="1" applyAlignment="1">
      <alignment horizontal="right" vertical="top"/>
    </xf>
    <xf numFmtId="43" fontId="0" fillId="0" borderId="0" xfId="0" applyNumberFormat="1"/>
    <xf numFmtId="167" fontId="0" fillId="0" borderId="17" xfId="9" applyNumberFormat="1" applyFont="1" applyBorder="1" applyAlignment="1">
      <alignment horizontal="center" vertical="center" wrapText="1"/>
    </xf>
    <xf numFmtId="0" fontId="2" fillId="66" borderId="0" xfId="0" applyFont="1" applyFill="1"/>
    <xf numFmtId="0" fontId="12" fillId="0" borderId="0" xfId="0" applyFont="1" applyAlignment="1">
      <alignment horizontal="center" vertical="center" wrapText="1"/>
    </xf>
    <xf numFmtId="41" fontId="25" fillId="0" borderId="0" xfId="7" applyNumberFormat="1" applyFont="1"/>
    <xf numFmtId="168" fontId="25" fillId="0" borderId="0" xfId="7" applyNumberFormat="1" applyFont="1"/>
    <xf numFmtId="168" fontId="12" fillId="0" borderId="0" xfId="5340" applyNumberFormat="1" applyFont="1"/>
    <xf numFmtId="0" fontId="25" fillId="0" borderId="0" xfId="0" applyFont="1" applyAlignment="1">
      <alignment horizontal="center" vertical="center" wrapText="1"/>
    </xf>
    <xf numFmtId="0" fontId="12" fillId="0" borderId="0" xfId="5337" applyFont="1" applyAlignment="1">
      <alignment horizontal="center" vertical="center" wrapText="1"/>
    </xf>
    <xf numFmtId="0" fontId="25" fillId="0" borderId="0" xfId="0" quotePrefix="1" applyFont="1" applyAlignment="1">
      <alignment horizontal="center" vertical="center" wrapText="1"/>
    </xf>
    <xf numFmtId="41" fontId="25" fillId="0" borderId="0" xfId="0" applyNumberFormat="1" applyFont="1" applyAlignment="1">
      <alignment horizontal="left" vertical="top" wrapText="1"/>
    </xf>
    <xf numFmtId="165" fontId="25" fillId="4" borderId="0" xfId="0" applyNumberFormat="1" applyFont="1" applyFill="1" applyAlignment="1">
      <alignment horizontal="left" vertical="top" wrapText="1"/>
    </xf>
    <xf numFmtId="165" fontId="25" fillId="0" borderId="0" xfId="0" applyNumberFormat="1" applyFont="1" applyAlignment="1">
      <alignment horizontal="left" vertical="top" wrapText="1"/>
    </xf>
    <xf numFmtId="41" fontId="25" fillId="0" borderId="0" xfId="0" applyNumberFormat="1" applyFont="1" applyAlignment="1">
      <alignment wrapText="1"/>
    </xf>
    <xf numFmtId="167" fontId="12" fillId="0" borderId="0" xfId="9" applyNumberFormat="1" applyFont="1" applyAlignment="1">
      <alignment wrapText="1"/>
    </xf>
    <xf numFmtId="0" fontId="25" fillId="5" borderId="0" xfId="0" applyFont="1" applyFill="1" applyAlignment="1">
      <alignment horizontal="center" vertical="center" wrapText="1"/>
    </xf>
    <xf numFmtId="0" fontId="25" fillId="4" borderId="0" xfId="0" applyFont="1" applyFill="1" applyAlignment="1">
      <alignment horizontal="center" vertical="center" wrapText="1"/>
    </xf>
    <xf numFmtId="43" fontId="25" fillId="0" borderId="0" xfId="0" applyNumberFormat="1" applyFont="1" applyAlignment="1">
      <alignment horizontal="center" vertical="center" wrapText="1"/>
    </xf>
    <xf numFmtId="44" fontId="53" fillId="9" borderId="33" xfId="0" applyNumberFormat="1" applyFont="1" applyFill="1" applyBorder="1"/>
    <xf numFmtId="44" fontId="53" fillId="9" borderId="9" xfId="0" applyNumberFormat="1" applyFont="1" applyFill="1" applyBorder="1"/>
    <xf numFmtId="0" fontId="0" fillId="0" borderId="39" xfId="0" applyBorder="1" applyAlignment="1">
      <alignment horizontal="center" vertical="center" wrapText="1"/>
    </xf>
    <xf numFmtId="44" fontId="99" fillId="0" borderId="52" xfId="4" applyNumberFormat="1" applyFont="1" applyFill="1" applyBorder="1"/>
    <xf numFmtId="0" fontId="100" fillId="71" borderId="0" xfId="0" applyFont="1" applyFill="1" applyAlignment="1">
      <alignment horizontal="left" vertical="center" wrapText="1" readingOrder="1"/>
    </xf>
    <xf numFmtId="0" fontId="6" fillId="0" borderId="0" xfId="0" applyFont="1" applyAlignment="1">
      <alignment horizontal="center" vertical="center" wrapText="1" readingOrder="1"/>
    </xf>
    <xf numFmtId="0" fontId="6" fillId="71" borderId="0" xfId="0" applyFont="1" applyFill="1" applyAlignment="1">
      <alignment vertical="top" wrapText="1"/>
    </xf>
    <xf numFmtId="0" fontId="6" fillId="55" borderId="0" xfId="0" applyFont="1" applyFill="1" applyAlignment="1">
      <alignment horizontal="center" vertical="center" wrapText="1" readingOrder="1"/>
    </xf>
    <xf numFmtId="0" fontId="6" fillId="0" borderId="0" xfId="0" applyFont="1" applyAlignment="1">
      <alignment vertical="top" wrapText="1"/>
    </xf>
    <xf numFmtId="0" fontId="101" fillId="71" borderId="0" xfId="0" applyFont="1" applyFill="1" applyAlignment="1">
      <alignment horizontal="center" vertical="center" wrapText="1" readingOrder="1"/>
    </xf>
    <xf numFmtId="0" fontId="6" fillId="0" borderId="0" xfId="0" applyFont="1" applyAlignment="1">
      <alignment horizontal="center" vertical="center" wrapText="1"/>
    </xf>
    <xf numFmtId="0" fontId="6" fillId="0" borderId="0" xfId="0" applyFont="1" applyAlignment="1">
      <alignment horizontal="left" vertical="center" readingOrder="1"/>
    </xf>
    <xf numFmtId="0" fontId="6" fillId="72" borderId="0" xfId="0" applyFont="1" applyFill="1" applyAlignment="1">
      <alignment horizontal="center" vertical="center" wrapText="1" readingOrder="1"/>
    </xf>
    <xf numFmtId="0" fontId="102" fillId="71" borderId="0" xfId="0" applyFont="1" applyFill="1" applyAlignment="1">
      <alignment horizontal="center" vertical="center" wrapText="1" readingOrder="1"/>
    </xf>
    <xf numFmtId="0" fontId="102" fillId="70" borderId="0" xfId="0" applyFont="1" applyFill="1" applyAlignment="1">
      <alignment horizontal="left" vertical="center" wrapText="1" readingOrder="1"/>
    </xf>
    <xf numFmtId="0" fontId="6" fillId="72" borderId="0" xfId="0" quotePrefix="1" applyFont="1" applyFill="1" applyAlignment="1">
      <alignment horizontal="center" vertical="center" wrapText="1" readingOrder="1"/>
    </xf>
    <xf numFmtId="0" fontId="0" fillId="0" borderId="26" xfId="0" applyBorder="1"/>
    <xf numFmtId="0" fontId="0" fillId="0" borderId="27" xfId="0" applyBorder="1"/>
    <xf numFmtId="44" fontId="53" fillId="4" borderId="3" xfId="0" applyNumberFormat="1" applyFont="1" applyFill="1" applyBorder="1"/>
    <xf numFmtId="44" fontId="53" fillId="56" borderId="49" xfId="0" applyNumberFormat="1" applyFont="1" applyFill="1" applyBorder="1"/>
    <xf numFmtId="44" fontId="53" fillId="56" borderId="50" xfId="0" applyNumberFormat="1" applyFont="1" applyFill="1" applyBorder="1"/>
    <xf numFmtId="44" fontId="53" fillId="56" borderId="51" xfId="0" applyNumberFormat="1" applyFont="1" applyFill="1" applyBorder="1"/>
    <xf numFmtId="44" fontId="94" fillId="54" borderId="46" xfId="4" applyNumberFormat="1" applyFont="1" applyFill="1" applyBorder="1"/>
    <xf numFmtId="44" fontId="0" fillId="4" borderId="38" xfId="0" applyNumberFormat="1" applyFill="1" applyBorder="1" applyAlignment="1">
      <alignment horizontal="center" vertical="center" wrapText="1"/>
    </xf>
    <xf numFmtId="0" fontId="49" fillId="4" borderId="0" xfId="0" applyFont="1" applyFill="1" applyAlignment="1">
      <alignment vertical="center"/>
    </xf>
    <xf numFmtId="0" fontId="0" fillId="0" borderId="0" xfId="0" applyAlignment="1">
      <alignment horizontal="center" vertical="center" wrapText="1"/>
    </xf>
    <xf numFmtId="0" fontId="12" fillId="0" borderId="0" xfId="0" applyFont="1" applyAlignment="1">
      <alignment horizontal="center"/>
    </xf>
    <xf numFmtId="0" fontId="2" fillId="0" borderId="0" xfId="5339"/>
    <xf numFmtId="0" fontId="0" fillId="0" borderId="0" xfId="0" applyAlignment="1">
      <alignment horizontal="left" vertical="center"/>
    </xf>
    <xf numFmtId="0" fontId="0" fillId="4" borderId="0" xfId="0" applyFill="1" applyAlignment="1">
      <alignment horizontal="center" vertical="center"/>
    </xf>
    <xf numFmtId="0" fontId="105" fillId="0" borderId="0" xfId="0" applyFont="1" applyAlignment="1">
      <alignment horizontal="center" vertical="center"/>
    </xf>
    <xf numFmtId="0" fontId="106" fillId="0" borderId="0" xfId="0" quotePrefix="1" applyFont="1" applyAlignment="1">
      <alignment horizontal="center"/>
    </xf>
    <xf numFmtId="0" fontId="106" fillId="0" borderId="0" xfId="0" applyFont="1"/>
    <xf numFmtId="0" fontId="16" fillId="58" borderId="0" xfId="80" applyFont="1" applyFill="1" applyAlignment="1">
      <alignment horizontal="center" vertical="center" wrapText="1"/>
    </xf>
    <xf numFmtId="0" fontId="106" fillId="0" borderId="0" xfId="0" applyFont="1" applyAlignment="1">
      <alignment horizontal="left" vertical="center"/>
    </xf>
    <xf numFmtId="10" fontId="0" fillId="0" borderId="0" xfId="2" applyNumberFormat="1" applyFont="1" applyAlignment="1">
      <alignment horizontal="center" vertical="center"/>
    </xf>
    <xf numFmtId="0" fontId="106" fillId="0" borderId="0" xfId="0" quotePrefix="1" applyFont="1" applyAlignment="1">
      <alignment horizontal="center" vertical="center"/>
    </xf>
    <xf numFmtId="0" fontId="106" fillId="0" borderId="0" xfId="0" applyFont="1" applyAlignment="1">
      <alignment horizontal="center" vertical="center"/>
    </xf>
    <xf numFmtId="10" fontId="6" fillId="0" borderId="0" xfId="2" applyNumberFormat="1" applyFont="1" applyAlignment="1">
      <alignment horizontal="center" vertical="center"/>
    </xf>
    <xf numFmtId="10" fontId="10" fillId="0" borderId="0" xfId="0" applyNumberFormat="1" applyFont="1" applyAlignment="1">
      <alignment horizontal="center" vertical="center"/>
    </xf>
    <xf numFmtId="43" fontId="6" fillId="73" borderId="0" xfId="3921" applyNumberFormat="1" applyFont="1" applyFill="1" applyAlignment="1">
      <alignment horizontal="centerContinuous"/>
    </xf>
    <xf numFmtId="169" fontId="0" fillId="73" borderId="0" xfId="9" applyNumberFormat="1" applyFont="1" applyFill="1" applyAlignment="1">
      <alignment horizontal="center" vertical="center"/>
    </xf>
    <xf numFmtId="0" fontId="48" fillId="0" borderId="0" xfId="0" applyFont="1"/>
    <xf numFmtId="0" fontId="48" fillId="0" borderId="53" xfId="0" applyFont="1" applyBorder="1"/>
    <xf numFmtId="0" fontId="105" fillId="74" borderId="0" xfId="0" applyFont="1" applyFill="1" applyAlignment="1">
      <alignment horizontal="center"/>
    </xf>
    <xf numFmtId="0" fontId="106" fillId="74" borderId="0" xfId="0" quotePrefix="1" applyFont="1" applyFill="1" applyAlignment="1">
      <alignment horizontal="left" vertical="top"/>
    </xf>
    <xf numFmtId="49" fontId="106" fillId="74" borderId="0" xfId="0" applyNumberFormat="1" applyFont="1" applyFill="1" applyAlignment="1">
      <alignment horizontal="center"/>
    </xf>
    <xf numFmtId="0" fontId="106" fillId="74" borderId="0" xfId="0" applyFont="1" applyFill="1" applyAlignment="1">
      <alignment horizontal="left"/>
    </xf>
    <xf numFmtId="0" fontId="48" fillId="0" borderId="54" xfId="0" applyFont="1" applyBorder="1"/>
    <xf numFmtId="0" fontId="106" fillId="74" borderId="0" xfId="0" quotePrefix="1" applyFont="1" applyFill="1" applyAlignment="1">
      <alignment horizontal="center"/>
    </xf>
    <xf numFmtId="0" fontId="106" fillId="74" borderId="0" xfId="0" applyFont="1" applyFill="1"/>
    <xf numFmtId="0" fontId="106" fillId="74" borderId="0" xfId="0" applyFont="1" applyFill="1" applyAlignment="1">
      <alignment horizontal="center"/>
    </xf>
    <xf numFmtId="0" fontId="106" fillId="74" borderId="0" xfId="0" applyFont="1" applyFill="1" applyAlignment="1">
      <alignment horizontal="left" vertical="center"/>
    </xf>
    <xf numFmtId="0" fontId="105" fillId="74" borderId="0" xfId="0" applyFont="1" applyFill="1" applyAlignment="1">
      <alignment vertical="center"/>
    </xf>
    <xf numFmtId="49" fontId="105" fillId="74" borderId="0" xfId="0" applyNumberFormat="1" applyFont="1" applyFill="1" applyAlignment="1">
      <alignment horizontal="center" vertical="center"/>
    </xf>
    <xf numFmtId="0" fontId="105" fillId="74" borderId="0" xfId="0" applyFont="1" applyFill="1" applyAlignment="1">
      <alignment horizontal="left" vertical="center"/>
    </xf>
    <xf numFmtId="167" fontId="48" fillId="0" borderId="0" xfId="0" applyNumberFormat="1" applyFont="1" applyAlignment="1">
      <alignment horizontal="center"/>
    </xf>
    <xf numFmtId="0" fontId="0" fillId="73" borderId="0" xfId="0" applyFill="1"/>
    <xf numFmtId="0" fontId="12" fillId="73" borderId="0" xfId="0" applyFont="1" applyFill="1"/>
    <xf numFmtId="0" fontId="12" fillId="66" borderId="0" xfId="0" applyFont="1" applyFill="1"/>
    <xf numFmtId="0" fontId="24" fillId="66" borderId="0" xfId="0" applyFont="1" applyFill="1"/>
    <xf numFmtId="0" fontId="12" fillId="4" borderId="0" xfId="0" applyFont="1" applyFill="1"/>
    <xf numFmtId="0" fontId="24" fillId="4" borderId="0" xfId="0" applyFont="1" applyFill="1"/>
    <xf numFmtId="0" fontId="12" fillId="4" borderId="0" xfId="0" applyFont="1" applyFill="1" applyAlignment="1">
      <alignment horizontal="center" vertical="center"/>
    </xf>
    <xf numFmtId="0" fontId="24" fillId="0" borderId="0" xfId="0" applyFont="1" applyAlignment="1">
      <alignment horizontal="center" vertical="center"/>
    </xf>
    <xf numFmtId="0" fontId="0" fillId="54" borderId="0" xfId="0" applyFill="1" applyAlignment="1">
      <alignment horizontal="centerContinuous"/>
    </xf>
    <xf numFmtId="0" fontId="0" fillId="75" borderId="0" xfId="0" applyFill="1"/>
    <xf numFmtId="0" fontId="12" fillId="75" borderId="0" xfId="0" applyFont="1" applyFill="1"/>
    <xf numFmtId="0" fontId="0" fillId="75" borderId="36" xfId="0" applyFill="1" applyBorder="1"/>
    <xf numFmtId="0" fontId="0" fillId="75" borderId="37" xfId="0" applyFill="1" applyBorder="1"/>
    <xf numFmtId="0" fontId="0" fillId="75" borderId="26" xfId="0" applyFill="1" applyBorder="1"/>
    <xf numFmtId="0" fontId="0" fillId="75" borderId="0" xfId="0" applyFill="1" applyAlignment="1">
      <alignment horizontal="center"/>
    </xf>
    <xf numFmtId="0" fontId="0" fillId="75" borderId="27" xfId="0" applyFill="1" applyBorder="1"/>
    <xf numFmtId="0" fontId="24" fillId="76" borderId="0" xfId="0" applyFont="1" applyFill="1" applyAlignment="1">
      <alignment horizontal="center" vertical="center"/>
    </xf>
    <xf numFmtId="40" fontId="0" fillId="75" borderId="0" xfId="9" applyNumberFormat="1" applyFont="1" applyFill="1" applyBorder="1"/>
    <xf numFmtId="40" fontId="104" fillId="75" borderId="0" xfId="9" applyNumberFormat="1" applyFont="1" applyFill="1" applyBorder="1"/>
    <xf numFmtId="40" fontId="103" fillId="75" borderId="0" xfId="0" applyNumberFormat="1" applyFont="1" applyFill="1"/>
    <xf numFmtId="40" fontId="0" fillId="75" borderId="0" xfId="0" applyNumberFormat="1" applyFill="1"/>
    <xf numFmtId="40" fontId="0" fillId="75" borderId="27" xfId="0" applyNumberFormat="1" applyFill="1" applyBorder="1"/>
    <xf numFmtId="40" fontId="0" fillId="77" borderId="0" xfId="9" applyNumberFormat="1" applyFont="1" applyFill="1" applyBorder="1"/>
    <xf numFmtId="40" fontId="104" fillId="77" borderId="0" xfId="9" applyNumberFormat="1" applyFont="1" applyFill="1" applyBorder="1"/>
    <xf numFmtId="40" fontId="103" fillId="77" borderId="0" xfId="0" applyNumberFormat="1" applyFont="1" applyFill="1"/>
    <xf numFmtId="40" fontId="0" fillId="77" borderId="0" xfId="0" applyNumberFormat="1" applyFill="1"/>
    <xf numFmtId="40" fontId="6" fillId="75" borderId="0" xfId="9" applyNumberFormat="1" applyFont="1" applyFill="1" applyBorder="1" applyAlignment="1">
      <alignment horizontal="right"/>
    </xf>
    <xf numFmtId="40" fontId="6" fillId="75" borderId="0" xfId="9" applyNumberFormat="1" applyFont="1" applyFill="1" applyBorder="1" applyAlignment="1">
      <alignment horizontal="left"/>
    </xf>
    <xf numFmtId="40" fontId="0" fillId="75" borderId="0" xfId="9" applyNumberFormat="1" applyFont="1" applyFill="1" applyBorder="1" applyAlignment="1">
      <alignment horizontal="right"/>
    </xf>
    <xf numFmtId="40" fontId="0" fillId="75" borderId="0" xfId="9" applyNumberFormat="1" applyFont="1" applyFill="1" applyBorder="1" applyAlignment="1">
      <alignment horizontal="right" vertical="center"/>
    </xf>
    <xf numFmtId="40" fontId="0" fillId="75" borderId="0" xfId="9" applyNumberFormat="1" applyFont="1" applyFill="1" applyBorder="1" applyAlignment="1">
      <alignment horizontal="left" vertical="center"/>
    </xf>
    <xf numFmtId="40" fontId="0" fillId="77" borderId="27" xfId="0" applyNumberFormat="1" applyFill="1" applyBorder="1"/>
    <xf numFmtId="40" fontId="6" fillId="75" borderId="0" xfId="9" applyNumberFormat="1" applyFont="1" applyFill="1" applyBorder="1"/>
    <xf numFmtId="40" fontId="0" fillId="80" borderId="0" xfId="9" applyNumberFormat="1" applyFont="1" applyFill="1" applyBorder="1"/>
    <xf numFmtId="40" fontId="0" fillId="80" borderId="27" xfId="0" applyNumberFormat="1" applyFill="1" applyBorder="1"/>
    <xf numFmtId="40" fontId="6" fillId="75" borderId="0" xfId="9" quotePrefix="1" applyNumberFormat="1" applyFont="1" applyFill="1" applyBorder="1" applyAlignment="1">
      <alignment horizontal="left" vertical="center"/>
    </xf>
    <xf numFmtId="40" fontId="12" fillId="75" borderId="0" xfId="0" applyNumberFormat="1" applyFont="1" applyFill="1"/>
    <xf numFmtId="40" fontId="0" fillId="77" borderId="0" xfId="9" applyNumberFormat="1" applyFont="1" applyFill="1" applyBorder="1" applyAlignment="1">
      <alignment horizontal="right"/>
    </xf>
    <xf numFmtId="40" fontId="6" fillId="75" borderId="0" xfId="9" quotePrefix="1" applyNumberFormat="1" applyFont="1" applyFill="1" applyBorder="1" applyAlignment="1">
      <alignment horizontal="right" vertical="top"/>
    </xf>
    <xf numFmtId="40" fontId="6" fillId="75" borderId="0" xfId="9" quotePrefix="1" applyNumberFormat="1" applyFont="1" applyFill="1" applyBorder="1" applyAlignment="1">
      <alignment horizontal="left" vertical="top"/>
    </xf>
    <xf numFmtId="40" fontId="104" fillId="80" borderId="0" xfId="9" applyNumberFormat="1" applyFont="1" applyFill="1" applyBorder="1"/>
    <xf numFmtId="0" fontId="0" fillId="75" borderId="28" xfId="0" applyFill="1" applyBorder="1"/>
    <xf numFmtId="0" fontId="0" fillId="75" borderId="29" xfId="0" applyFill="1" applyBorder="1"/>
    <xf numFmtId="0" fontId="0" fillId="75" borderId="30" xfId="0" applyFill="1" applyBorder="1"/>
    <xf numFmtId="0" fontId="12" fillId="75" borderId="36" xfId="0" applyFont="1" applyFill="1" applyBorder="1"/>
    <xf numFmtId="0" fontId="12" fillId="75" borderId="37" xfId="0" applyFont="1" applyFill="1" applyBorder="1"/>
    <xf numFmtId="0" fontId="0" fillId="75" borderId="26" xfId="0" applyFill="1" applyBorder="1" applyAlignment="1">
      <alignment horizontal="center"/>
    </xf>
    <xf numFmtId="0" fontId="12" fillId="75" borderId="27" xfId="0" applyFont="1" applyFill="1" applyBorder="1"/>
    <xf numFmtId="0" fontId="24" fillId="76" borderId="26" xfId="0" applyFont="1" applyFill="1" applyBorder="1" applyAlignment="1">
      <alignment horizontal="center" vertical="center"/>
    </xf>
    <xf numFmtId="0" fontId="24" fillId="75" borderId="0" xfId="0" applyFont="1" applyFill="1"/>
    <xf numFmtId="0" fontId="24" fillId="75" borderId="27" xfId="0" applyFont="1" applyFill="1" applyBorder="1"/>
    <xf numFmtId="40" fontId="0" fillId="75" borderId="26" xfId="0" applyNumberFormat="1" applyFill="1" applyBorder="1"/>
    <xf numFmtId="40" fontId="12" fillId="75" borderId="0" xfId="9" applyNumberFormat="1" applyFont="1" applyFill="1" applyBorder="1"/>
    <xf numFmtId="40" fontId="12" fillId="75" borderId="27" xfId="9" applyNumberFormat="1" applyFont="1" applyFill="1" applyBorder="1"/>
    <xf numFmtId="40" fontId="0" fillId="77" borderId="26" xfId="0" applyNumberFormat="1" applyFill="1" applyBorder="1"/>
    <xf numFmtId="40" fontId="12" fillId="78" borderId="0" xfId="0" applyNumberFormat="1" applyFont="1" applyFill="1"/>
    <xf numFmtId="40" fontId="12" fillId="79" borderId="0" xfId="0" applyNumberFormat="1" applyFont="1" applyFill="1"/>
    <xf numFmtId="40" fontId="0" fillId="80" borderId="26" xfId="0" applyNumberFormat="1" applyFill="1" applyBorder="1"/>
    <xf numFmtId="40" fontId="12" fillId="80" borderId="0" xfId="0" applyNumberFormat="1" applyFont="1" applyFill="1"/>
    <xf numFmtId="40" fontId="12" fillId="77" borderId="0" xfId="0" applyNumberFormat="1" applyFont="1" applyFill="1"/>
    <xf numFmtId="0" fontId="12" fillId="75" borderId="29" xfId="0" applyFont="1" applyFill="1" applyBorder="1"/>
    <xf numFmtId="0" fontId="12" fillId="75" borderId="30" xfId="0" applyFont="1" applyFill="1" applyBorder="1"/>
    <xf numFmtId="40" fontId="104" fillId="1" borderId="0" xfId="9" applyNumberFormat="1" applyFont="1" applyFill="1" applyBorder="1"/>
    <xf numFmtId="40" fontId="103" fillId="1" borderId="0" xfId="0" applyNumberFormat="1" applyFont="1" applyFill="1"/>
    <xf numFmtId="0" fontId="0" fillId="75" borderId="35" xfId="0" applyFill="1" applyBorder="1" applyAlignment="1">
      <alignment horizontal="left"/>
    </xf>
    <xf numFmtId="0" fontId="12" fillId="76" borderId="0" xfId="0" applyFont="1" applyFill="1" applyAlignment="1">
      <alignment horizontal="center" vertical="center"/>
    </xf>
    <xf numFmtId="0" fontId="12" fillId="75" borderId="27" xfId="0" applyFont="1" applyFill="1" applyBorder="1" applyAlignment="1">
      <alignment horizontal="center" vertical="center"/>
    </xf>
    <xf numFmtId="165" fontId="25" fillId="0" borderId="0" xfId="7" applyNumberFormat="1" applyFont="1"/>
    <xf numFmtId="43" fontId="12" fillId="0" borderId="0" xfId="7" applyFont="1"/>
    <xf numFmtId="4" fontId="25" fillId="0" borderId="0" xfId="6" quotePrefix="1" applyNumberFormat="1" applyFont="1"/>
    <xf numFmtId="167" fontId="6" fillId="4" borderId="0" xfId="0" applyNumberFormat="1" applyFont="1" applyFill="1"/>
    <xf numFmtId="43" fontId="0" fillId="4" borderId="0" xfId="0" applyNumberFormat="1" applyFill="1"/>
    <xf numFmtId="0" fontId="0" fillId="1" borderId="0" xfId="0" applyFill="1"/>
    <xf numFmtId="0" fontId="0" fillId="1" borderId="0" xfId="0" applyFill="1" applyAlignment="1">
      <alignment horizontal="center" vertical="center"/>
    </xf>
    <xf numFmtId="0" fontId="2" fillId="0" borderId="35" xfId="0" applyFont="1" applyBorder="1"/>
    <xf numFmtId="0" fontId="2" fillId="0" borderId="36" xfId="0" applyFont="1" applyBorder="1"/>
    <xf numFmtId="0" fontId="2" fillId="0" borderId="37" xfId="0" applyFont="1" applyBorder="1"/>
    <xf numFmtId="0" fontId="2" fillId="0" borderId="26" xfId="0" applyFont="1" applyBorder="1"/>
    <xf numFmtId="0" fontId="2" fillId="0" borderId="27" xfId="0" applyFont="1" applyBorder="1"/>
    <xf numFmtId="170" fontId="0" fillId="0" borderId="0" xfId="9" applyNumberFormat="1" applyFont="1"/>
    <xf numFmtId="10" fontId="0" fillId="4" borderId="0" xfId="2" applyNumberFormat="1" applyFont="1" applyFill="1" applyAlignment="1">
      <alignment horizontal="center"/>
    </xf>
    <xf numFmtId="10" fontId="0" fillId="0" borderId="0" xfId="2" applyNumberFormat="1" applyFont="1" applyAlignment="1">
      <alignment horizontal="center"/>
    </xf>
    <xf numFmtId="0" fontId="0" fillId="54" borderId="0" xfId="0" applyFill="1" applyAlignment="1">
      <alignment horizontal="center" vertical="center"/>
    </xf>
    <xf numFmtId="0" fontId="0" fillId="30" borderId="0" xfId="0" applyFill="1" applyAlignment="1">
      <alignment horizontal="left" vertical="center"/>
    </xf>
    <xf numFmtId="0" fontId="13" fillId="10" borderId="33" xfId="0" applyFont="1" applyFill="1" applyBorder="1" applyAlignment="1">
      <alignment horizontal="center"/>
    </xf>
    <xf numFmtId="0" fontId="1" fillId="75" borderId="35" xfId="0" applyFont="1" applyFill="1" applyBorder="1"/>
    <xf numFmtId="0" fontId="0" fillId="75" borderId="0" xfId="0" applyFill="1" applyAlignment="1">
      <alignment horizontal="left"/>
    </xf>
    <xf numFmtId="0" fontId="0" fillId="75" borderId="33" xfId="0" applyFill="1" applyBorder="1" applyAlignment="1">
      <alignment horizontal="center"/>
    </xf>
    <xf numFmtId="0" fontId="0" fillId="75" borderId="42" xfId="0" applyFill="1" applyBorder="1" applyAlignment="1">
      <alignment horizontal="center"/>
    </xf>
    <xf numFmtId="0" fontId="0" fillId="75" borderId="27" xfId="0" applyFill="1" applyBorder="1" applyAlignment="1">
      <alignment horizontal="center"/>
    </xf>
    <xf numFmtId="0" fontId="107" fillId="0" borderId="0" xfId="0" applyFont="1"/>
    <xf numFmtId="0" fontId="107" fillId="0" borderId="0" xfId="0" applyFont="1" applyAlignment="1">
      <alignment horizontal="centerContinuous"/>
    </xf>
    <xf numFmtId="0" fontId="0" fillId="0" borderId="0" xfId="0" applyAlignment="1">
      <alignment horizontal="centerContinuous"/>
    </xf>
    <xf numFmtId="43" fontId="0" fillId="48" borderId="0" xfId="9" applyFont="1" applyFill="1"/>
    <xf numFmtId="43" fontId="0" fillId="81" borderId="0" xfId="9" applyFont="1" applyFill="1"/>
    <xf numFmtId="43" fontId="0" fillId="71" borderId="0" xfId="9" applyFont="1" applyFill="1"/>
    <xf numFmtId="43" fontId="0" fillId="82" borderId="0" xfId="9" applyFont="1" applyFill="1"/>
    <xf numFmtId="0" fontId="0" fillId="83" borderId="0" xfId="0" applyFill="1"/>
    <xf numFmtId="0" fontId="0" fillId="84" borderId="0" xfId="0" applyFill="1"/>
    <xf numFmtId="0" fontId="52" fillId="85" borderId="2" xfId="0" applyFont="1" applyFill="1" applyBorder="1" applyAlignment="1">
      <alignment horizontal="center" wrapText="1"/>
    </xf>
    <xf numFmtId="3" fontId="52" fillId="85" borderId="2" xfId="0" applyNumberFormat="1" applyFont="1" applyFill="1" applyBorder="1" applyAlignment="1">
      <alignment horizontal="center" wrapText="1"/>
    </xf>
    <xf numFmtId="3" fontId="52" fillId="86" borderId="2" xfId="0" applyNumberFormat="1" applyFont="1" applyFill="1" applyBorder="1" applyAlignment="1">
      <alignment horizontal="center" wrapText="1"/>
    </xf>
    <xf numFmtId="3" fontId="52" fillId="87" borderId="2" xfId="0" applyNumberFormat="1" applyFont="1" applyFill="1" applyBorder="1" applyAlignment="1">
      <alignment horizontal="center" wrapText="1"/>
    </xf>
    <xf numFmtId="0" fontId="105" fillId="0" borderId="0" xfId="0" applyFont="1" applyAlignment="1">
      <alignment horizontal="center"/>
    </xf>
    <xf numFmtId="0" fontId="106" fillId="0" borderId="53" xfId="0" quotePrefix="1" applyFont="1" applyBorder="1" applyAlignment="1">
      <alignment horizontal="left" vertical="top"/>
    </xf>
    <xf numFmtId="43" fontId="105" fillId="0" borderId="0" xfId="9" applyFont="1"/>
    <xf numFmtId="43" fontId="0" fillId="84" borderId="0" xfId="9" applyFont="1" applyFill="1"/>
    <xf numFmtId="0" fontId="106" fillId="0" borderId="54" xfId="0" quotePrefix="1" applyFont="1" applyBorder="1" applyAlignment="1">
      <alignment horizontal="left" vertical="top"/>
    </xf>
    <xf numFmtId="43" fontId="0" fillId="88" borderId="0" xfId="9" applyFont="1" applyFill="1"/>
    <xf numFmtId="43" fontId="0" fillId="89" borderId="0" xfId="9" applyFont="1" applyFill="1"/>
    <xf numFmtId="43" fontId="0" fillId="90" borderId="0" xfId="0" applyNumberFormat="1" applyFill="1"/>
    <xf numFmtId="49" fontId="106" fillId="0" borderId="0" xfId="0" applyNumberFormat="1" applyFont="1" applyAlignment="1">
      <alignment horizontal="center"/>
    </xf>
    <xf numFmtId="43" fontId="0" fillId="83" borderId="0" xfId="9" applyFont="1" applyFill="1"/>
    <xf numFmtId="43" fontId="105" fillId="0" borderId="0" xfId="9" applyFont="1" applyFill="1"/>
    <xf numFmtId="0" fontId="106" fillId="0" borderId="54" xfId="0" quotePrefix="1" applyFont="1" applyBorder="1" applyAlignment="1">
      <alignment horizontal="left"/>
    </xf>
    <xf numFmtId="0" fontId="105" fillId="90" borderId="0" xfId="0" applyFont="1" applyFill="1" applyAlignment="1">
      <alignment horizontal="center"/>
    </xf>
    <xf numFmtId="0" fontId="106" fillId="90" borderId="54" xfId="0" quotePrefix="1" applyFont="1" applyFill="1" applyBorder="1" applyAlignment="1">
      <alignment horizontal="left" vertical="top"/>
    </xf>
    <xf numFmtId="43" fontId="105" fillId="90" borderId="0" xfId="9" applyFont="1" applyFill="1"/>
    <xf numFmtId="43" fontId="0" fillId="90" borderId="0" xfId="9" applyFont="1" applyFill="1"/>
    <xf numFmtId="0" fontId="105" fillId="90" borderId="0" xfId="0" applyFont="1" applyFill="1" applyAlignment="1">
      <alignment horizontal="center" vertical="center"/>
    </xf>
    <xf numFmtId="0" fontId="106" fillId="0" borderId="0" xfId="0" applyFont="1" applyAlignment="1">
      <alignment horizontal="center"/>
    </xf>
    <xf numFmtId="0" fontId="105" fillId="0" borderId="0" xfId="0" applyFont="1"/>
    <xf numFmtId="49" fontId="105" fillId="0" borderId="0" xfId="0" applyNumberFormat="1" applyFont="1" applyAlignment="1">
      <alignment horizontal="center" vertical="center"/>
    </xf>
    <xf numFmtId="0" fontId="106" fillId="0" borderId="54" xfId="0" applyFont="1" applyBorder="1"/>
    <xf numFmtId="0" fontId="106" fillId="0" borderId="0" xfId="0" quotePrefix="1" applyFont="1" applyAlignment="1">
      <alignment horizontal="left" vertical="top"/>
    </xf>
    <xf numFmtId="0" fontId="105" fillId="0" borderId="54" xfId="0" applyFont="1" applyBorder="1" applyAlignment="1">
      <alignment horizontal="left" vertical="center"/>
    </xf>
    <xf numFmtId="0" fontId="105" fillId="0" borderId="54" xfId="0" applyFont="1" applyBorder="1" applyAlignment="1">
      <alignment vertical="center"/>
    </xf>
    <xf numFmtId="0" fontId="106" fillId="0" borderId="54" xfId="0" applyFont="1" applyBorder="1" applyAlignment="1">
      <alignment horizontal="left" vertical="center"/>
    </xf>
    <xf numFmtId="0" fontId="106" fillId="0" borderId="54" xfId="0" applyFont="1" applyBorder="1" applyAlignment="1">
      <alignment horizontal="left"/>
    </xf>
    <xf numFmtId="0" fontId="105" fillId="0" borderId="54" xfId="0" applyFont="1" applyBorder="1"/>
    <xf numFmtId="40" fontId="108" fillId="75" borderId="0" xfId="0" applyNumberFormat="1" applyFont="1" applyFill="1" applyAlignment="1">
      <alignment horizontal="center"/>
    </xf>
    <xf numFmtId="40" fontId="12" fillId="75" borderId="0" xfId="9" applyNumberFormat="1" applyFont="1" applyFill="1"/>
    <xf numFmtId="40" fontId="2" fillId="0" borderId="0" xfId="9" applyNumberFormat="1" applyFont="1" applyFill="1"/>
    <xf numFmtId="0" fontId="0" fillId="62" borderId="3" xfId="0" applyFill="1" applyBorder="1" applyAlignment="1">
      <alignment horizontal="centerContinuous"/>
    </xf>
    <xf numFmtId="0" fontId="0" fillId="62" borderId="4" xfId="0" applyFill="1" applyBorder="1" applyAlignment="1">
      <alignment horizontal="centerContinuous"/>
    </xf>
    <xf numFmtId="0" fontId="0" fillId="62" borderId="5" xfId="0" applyFill="1" applyBorder="1" applyAlignment="1">
      <alignment horizontal="centerContinuous"/>
    </xf>
    <xf numFmtId="44" fontId="8" fillId="51" borderId="0" xfId="4" applyNumberFormat="1" applyFont="1" applyFill="1"/>
    <xf numFmtId="10" fontId="0" fillId="4" borderId="0" xfId="2" applyNumberFormat="1" applyFont="1" applyFill="1" applyBorder="1" applyAlignment="1">
      <alignment horizontal="center" vertical="center"/>
    </xf>
    <xf numFmtId="44" fontId="0" fillId="0" borderId="12" xfId="1" applyFont="1" applyBorder="1"/>
    <xf numFmtId="10" fontId="0" fillId="0" borderId="17" xfId="0" applyNumberFormat="1" applyBorder="1" applyAlignment="1">
      <alignment horizontal="center"/>
    </xf>
    <xf numFmtId="44" fontId="0" fillId="0" borderId="14" xfId="0" applyNumberFormat="1" applyBorder="1"/>
    <xf numFmtId="44" fontId="0" fillId="13" borderId="0" xfId="1" applyFont="1" applyFill="1" applyBorder="1" applyAlignment="1">
      <alignment horizontal="right" vertical="center"/>
    </xf>
    <xf numFmtId="0" fontId="0" fillId="13" borderId="11" xfId="0" applyFill="1" applyBorder="1" applyAlignment="1">
      <alignment vertical="center"/>
    </xf>
    <xf numFmtId="0" fontId="0" fillId="51" borderId="9" xfId="0" applyFill="1" applyBorder="1"/>
    <xf numFmtId="44" fontId="0" fillId="51" borderId="55" xfId="0" applyNumberFormat="1" applyFill="1" applyBorder="1"/>
    <xf numFmtId="0" fontId="0" fillId="0" borderId="55" xfId="0" applyBorder="1"/>
    <xf numFmtId="10" fontId="0" fillId="4" borderId="55" xfId="2" applyNumberFormat="1" applyFont="1" applyFill="1" applyBorder="1" applyAlignment="1">
      <alignment horizontal="center" vertical="center"/>
    </xf>
    <xf numFmtId="44" fontId="0" fillId="0" borderId="10" xfId="1" applyFont="1" applyBorder="1"/>
    <xf numFmtId="10" fontId="0" fillId="0" borderId="17" xfId="2" applyNumberFormat="1" applyFont="1" applyBorder="1" applyAlignment="1">
      <alignment horizontal="center" vertical="center"/>
    </xf>
    <xf numFmtId="0" fontId="0" fillId="91" borderId="0" xfId="0" applyFill="1"/>
    <xf numFmtId="0" fontId="53" fillId="91" borderId="0" xfId="0" applyFont="1" applyFill="1"/>
    <xf numFmtId="44" fontId="56" fillId="92" borderId="2" xfId="1" applyFont="1" applyFill="1" applyBorder="1"/>
    <xf numFmtId="0" fontId="105" fillId="54" borderId="0" xfId="0" applyFont="1" applyFill="1" applyAlignment="1">
      <alignment horizontal="center" vertical="center"/>
    </xf>
    <xf numFmtId="0" fontId="0" fillId="54" borderId="0" xfId="0" applyFill="1"/>
    <xf numFmtId="0" fontId="12" fillId="54" borderId="0" xfId="0" applyFont="1" applyFill="1"/>
    <xf numFmtId="0" fontId="1" fillId="54" borderId="0" xfId="0" applyFont="1" applyFill="1"/>
    <xf numFmtId="43" fontId="12" fillId="0" borderId="0" xfId="0" applyNumberFormat="1" applyFont="1"/>
    <xf numFmtId="37" fontId="48" fillId="4" borderId="0" xfId="0" applyNumberFormat="1" applyFont="1" applyFill="1"/>
    <xf numFmtId="167" fontId="12" fillId="0" borderId="0" xfId="0" applyNumberFormat="1" applyFont="1"/>
    <xf numFmtId="39" fontId="48" fillId="4" borderId="0" xfId="0" applyNumberFormat="1" applyFont="1" applyFill="1"/>
    <xf numFmtId="0" fontId="53" fillId="50" borderId="33" xfId="0" applyFont="1" applyFill="1" applyBorder="1" applyAlignment="1">
      <alignment vertical="center" wrapText="1"/>
    </xf>
    <xf numFmtId="0" fontId="7" fillId="0" borderId="42" xfId="5" applyBorder="1" applyAlignment="1" applyProtection="1"/>
    <xf numFmtId="0" fontId="83" fillId="0" borderId="50" xfId="0" applyFont="1" applyBorder="1" applyAlignment="1">
      <alignment horizontal="center" vertical="center"/>
    </xf>
    <xf numFmtId="0" fontId="76" fillId="0" borderId="50" xfId="0" applyFont="1" applyBorder="1" applyAlignment="1">
      <alignment horizontal="center" vertical="center"/>
    </xf>
    <xf numFmtId="44" fontId="0" fillId="4" borderId="0" xfId="1" applyFont="1" applyFill="1" applyAlignment="1">
      <alignment vertical="center"/>
    </xf>
    <xf numFmtId="44" fontId="9" fillId="0" borderId="0" xfId="1" applyFont="1" applyAlignment="1">
      <alignment vertical="center"/>
    </xf>
    <xf numFmtId="44" fontId="0" fillId="0" borderId="0" xfId="1" applyFont="1" applyAlignment="1">
      <alignment horizontal="center"/>
    </xf>
    <xf numFmtId="44" fontId="0" fillId="93" borderId="0" xfId="1" applyFont="1" applyFill="1"/>
    <xf numFmtId="44" fontId="0" fillId="12" borderId="40" xfId="1" applyFont="1" applyFill="1" applyBorder="1"/>
    <xf numFmtId="44" fontId="30" fillId="0" borderId="0" xfId="1" applyFont="1" applyFill="1"/>
    <xf numFmtId="44" fontId="0" fillId="0" borderId="40" xfId="1" applyFont="1" applyBorder="1"/>
    <xf numFmtId="0" fontId="109" fillId="50" borderId="35" xfId="0" applyFont="1" applyFill="1" applyBorder="1" applyAlignment="1">
      <alignment horizontal="left" vertical="center"/>
    </xf>
    <xf numFmtId="0" fontId="0" fillId="50" borderId="36" xfId="0" applyFill="1" applyBorder="1"/>
    <xf numFmtId="0" fontId="0" fillId="50" borderId="37" xfId="0" applyFill="1" applyBorder="1"/>
    <xf numFmtId="0" fontId="0" fillId="50" borderId="26" xfId="0" applyFill="1" applyBorder="1"/>
    <xf numFmtId="0" fontId="0" fillId="50" borderId="0" xfId="0" applyFill="1"/>
    <xf numFmtId="0" fontId="0" fillId="50" borderId="27" xfId="0" applyFill="1" applyBorder="1"/>
    <xf numFmtId="0" fontId="11" fillId="50" borderId="26" xfId="0" applyFont="1" applyFill="1" applyBorder="1"/>
    <xf numFmtId="0" fontId="0" fillId="50" borderId="26" xfId="0" applyFill="1" applyBorder="1" applyAlignment="1">
      <alignment horizontal="left" indent="1"/>
    </xf>
    <xf numFmtId="0" fontId="60" fillId="50" borderId="26" xfId="0" applyFont="1" applyFill="1" applyBorder="1" applyAlignment="1">
      <alignment horizontal="left" vertical="center" indent="1"/>
    </xf>
    <xf numFmtId="0" fontId="61" fillId="50" borderId="26" xfId="0" applyFont="1" applyFill="1" applyBorder="1" applyAlignment="1">
      <alignment horizontal="left" vertical="center"/>
    </xf>
    <xf numFmtId="0" fontId="60" fillId="50" borderId="26" xfId="0" applyFont="1" applyFill="1" applyBorder="1" applyAlignment="1">
      <alignment horizontal="left"/>
    </xf>
    <xf numFmtId="0" fontId="60" fillId="50" borderId="26" xfId="0" applyFont="1" applyFill="1" applyBorder="1" applyAlignment="1">
      <alignment horizontal="left" indent="1"/>
    </xf>
    <xf numFmtId="0" fontId="20" fillId="50" borderId="26" xfId="0" applyFont="1" applyFill="1" applyBorder="1"/>
    <xf numFmtId="0" fontId="0" fillId="50" borderId="28" xfId="0" applyFill="1" applyBorder="1"/>
    <xf numFmtId="0" fontId="0" fillId="50" borderId="29" xfId="0" applyFill="1" applyBorder="1"/>
    <xf numFmtId="0" fontId="0" fillId="50" borderId="30" xfId="0" applyFill="1" applyBorder="1"/>
    <xf numFmtId="0" fontId="84" fillId="0" borderId="0" xfId="0" applyFont="1" applyAlignment="1">
      <alignment horizontal="center" vertical="center"/>
    </xf>
    <xf numFmtId="0" fontId="2" fillId="66" borderId="35" xfId="0" applyFont="1" applyFill="1" applyBorder="1"/>
    <xf numFmtId="0" fontId="2" fillId="66" borderId="37" xfId="0" applyFont="1" applyFill="1" applyBorder="1"/>
    <xf numFmtId="0" fontId="84" fillId="48" borderId="26" xfId="0" applyFont="1" applyFill="1" applyBorder="1" applyAlignment="1">
      <alignment horizontal="center" vertical="center"/>
    </xf>
    <xf numFmtId="0" fontId="84" fillId="48" borderId="27" xfId="0" applyFont="1" applyFill="1" applyBorder="1" applyAlignment="1">
      <alignment horizontal="center" vertical="center"/>
    </xf>
    <xf numFmtId="0" fontId="2" fillId="48" borderId="26" xfId="0" applyFont="1" applyFill="1" applyBorder="1" applyAlignment="1">
      <alignment horizontal="center" vertical="center"/>
    </xf>
    <xf numFmtId="0" fontId="2" fillId="48" borderId="27" xfId="0" applyFont="1" applyFill="1" applyBorder="1" applyAlignment="1">
      <alignment horizontal="center" vertical="center"/>
    </xf>
    <xf numFmtId="0" fontId="2" fillId="0" borderId="26" xfId="5337" applyBorder="1" applyAlignment="1">
      <alignment horizontal="center" vertical="center" wrapText="1"/>
    </xf>
    <xf numFmtId="0" fontId="2" fillId="0" borderId="27" xfId="5337"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167" fontId="0" fillId="0" borderId="26" xfId="9" applyNumberFormat="1" applyFont="1" applyBorder="1"/>
    <xf numFmtId="167" fontId="0" fillId="0" borderId="27" xfId="9" applyNumberFormat="1" applyFont="1" applyBorder="1"/>
    <xf numFmtId="167" fontId="0" fillId="0" borderId="26" xfId="0" applyNumberFormat="1" applyBorder="1"/>
    <xf numFmtId="167" fontId="0" fillId="0" borderId="27" xfId="0" applyNumberFormat="1" applyBorder="1"/>
    <xf numFmtId="167" fontId="0" fillId="0" borderId="28" xfId="0" applyNumberFormat="1" applyBorder="1"/>
    <xf numFmtId="167" fontId="0" fillId="0" borderId="30" xfId="0" applyNumberFormat="1" applyBorder="1"/>
    <xf numFmtId="0" fontId="74" fillId="0" borderId="9" xfId="0" applyFont="1" applyBorder="1" applyAlignment="1">
      <alignment horizontal="left" vertical="top" wrapText="1"/>
    </xf>
    <xf numFmtId="0" fontId="74" fillId="0" borderId="10" xfId="0" applyFont="1" applyBorder="1" applyAlignment="1">
      <alignment horizontal="left" vertical="top" wrapText="1"/>
    </xf>
    <xf numFmtId="0" fontId="74" fillId="0" borderId="11" xfId="0" applyFont="1" applyBorder="1" applyAlignment="1">
      <alignment horizontal="left" vertical="top" wrapText="1"/>
    </xf>
    <xf numFmtId="0" fontId="74" fillId="0" borderId="12" xfId="0" applyFont="1" applyBorder="1" applyAlignment="1">
      <alignment horizontal="left" vertical="top" wrapText="1"/>
    </xf>
    <xf numFmtId="0" fontId="74" fillId="0" borderId="13" xfId="0" applyFont="1" applyBorder="1" applyAlignment="1">
      <alignment horizontal="left" vertical="top" wrapText="1"/>
    </xf>
    <xf numFmtId="0" fontId="74" fillId="0" borderId="14" xfId="0" applyFont="1" applyBorder="1" applyAlignment="1">
      <alignment horizontal="left" vertical="top" wrapText="1"/>
    </xf>
    <xf numFmtId="0" fontId="83" fillId="4" borderId="0" xfId="0" applyFont="1" applyFill="1" applyAlignment="1">
      <alignment horizontal="center"/>
    </xf>
    <xf numFmtId="0" fontId="79" fillId="0" borderId="35" xfId="0" applyFont="1" applyBorder="1" applyAlignment="1">
      <alignment horizontal="center" vertical="center"/>
    </xf>
    <xf numFmtId="0" fontId="79" fillId="0" borderId="36" xfId="0" applyFont="1" applyBorder="1" applyAlignment="1">
      <alignment horizontal="center" vertical="center"/>
    </xf>
    <xf numFmtId="0" fontId="82" fillId="0" borderId="35" xfId="0" applyFont="1" applyBorder="1" applyAlignment="1">
      <alignment horizontal="center"/>
    </xf>
    <xf numFmtId="0" fontId="82" fillId="0" borderId="36" xfId="0" applyFont="1" applyBorder="1" applyAlignment="1">
      <alignment horizontal="center"/>
    </xf>
    <xf numFmtId="0" fontId="82" fillId="0" borderId="37" xfId="0" applyFont="1" applyBorder="1" applyAlignment="1">
      <alignment horizontal="center"/>
    </xf>
    <xf numFmtId="0" fontId="50" fillId="0" borderId="28"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30" xfId="0" applyFont="1" applyBorder="1" applyAlignment="1">
      <alignment horizontal="center" vertical="center" wrapText="1"/>
    </xf>
    <xf numFmtId="0" fontId="78" fillId="12" borderId="38" xfId="0" applyFont="1" applyFill="1" applyBorder="1" applyAlignment="1">
      <alignment horizontal="center" vertical="top" wrapText="1"/>
    </xf>
    <xf numFmtId="0" fontId="78" fillId="12" borderId="39" xfId="0" applyFont="1" applyFill="1" applyBorder="1" applyAlignment="1">
      <alignment horizontal="center" vertical="top" wrapText="1"/>
    </xf>
    <xf numFmtId="0" fontId="1" fillId="0" borderId="0" xfId="0" applyFont="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1" fillId="15" borderId="15" xfId="8" applyFont="1" applyBorder="1" applyAlignment="1">
      <alignment horizontal="left" vertical="center" wrapText="1"/>
    </xf>
    <xf numFmtId="0" fontId="11" fillId="15" borderId="16" xfId="8"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26" xfId="0" applyFont="1" applyBorder="1" applyAlignment="1">
      <alignment horizontal="left" vertical="center" wrapTex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 fillId="0" borderId="9" xfId="0" applyFont="1" applyBorder="1" applyAlignment="1">
      <alignment horizontal="left" vertical="center" wrapText="1"/>
    </xf>
    <xf numFmtId="0" fontId="1" fillId="0" borderId="55"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0" fillId="48" borderId="0" xfId="0" applyFill="1" applyAlignment="1">
      <alignment horizontal="left" vertical="center" wrapText="1"/>
    </xf>
    <xf numFmtId="0" fontId="13" fillId="0" borderId="0" xfId="0" applyFont="1" applyAlignment="1">
      <alignment horizontal="center" vertical="center" wrapText="1" readingOrder="1"/>
    </xf>
    <xf numFmtId="0" fontId="11" fillId="70" borderId="0" xfId="0" applyFont="1" applyFill="1" applyAlignment="1">
      <alignment horizontal="left" vertical="center" wrapText="1"/>
    </xf>
    <xf numFmtId="0" fontId="49" fillId="0" borderId="0" xfId="0" applyFont="1" applyAlignment="1">
      <alignment horizontal="center"/>
    </xf>
    <xf numFmtId="0" fontId="53" fillId="56" borderId="47" xfId="0" applyFont="1" applyFill="1" applyBorder="1" applyAlignment="1">
      <alignment horizontal="center" vertical="center" wrapText="1"/>
    </xf>
    <xf numFmtId="0" fontId="0" fillId="56" borderId="48" xfId="0" applyFill="1" applyBorder="1" applyAlignment="1">
      <alignment horizontal="center" vertical="center" wrapText="1"/>
    </xf>
    <xf numFmtId="0" fontId="79" fillId="0" borderId="0" xfId="0" applyFont="1" applyAlignment="1">
      <alignment horizontal="center" vertical="center"/>
    </xf>
    <xf numFmtId="0" fontId="49" fillId="0" borderId="0" xfId="0" applyFont="1" applyAlignment="1">
      <alignment horizontal="center" vertical="center"/>
    </xf>
    <xf numFmtId="0" fontId="0" fillId="0" borderId="0" xfId="0" applyAlignment="1">
      <alignment horizontal="left"/>
    </xf>
    <xf numFmtId="0" fontId="49" fillId="0" borderId="35" xfId="0" applyFont="1" applyBorder="1" applyAlignment="1">
      <alignment horizontal="left" vertical="top" wrapText="1"/>
    </xf>
    <xf numFmtId="0" fontId="49" fillId="0" borderId="36" xfId="0" applyFont="1" applyBorder="1" applyAlignment="1">
      <alignment horizontal="left" vertical="top" wrapText="1"/>
    </xf>
    <xf numFmtId="0" fontId="49" fillId="0" borderId="37"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27" xfId="0" applyFont="1" applyBorder="1" applyAlignment="1">
      <alignment horizontal="left" vertical="top" wrapText="1"/>
    </xf>
    <xf numFmtId="0" fontId="0" fillId="0" borderId="26"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6" fillId="0" borderId="26"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0" fillId="55" borderId="26" xfId="0" applyFill="1" applyBorder="1" applyAlignment="1">
      <alignment horizontal="left" vertical="center" wrapText="1"/>
    </xf>
    <xf numFmtId="0" fontId="0" fillId="55" borderId="0" xfId="0" applyFill="1" applyAlignment="1">
      <alignment horizontal="left" vertical="center" wrapText="1"/>
    </xf>
    <xf numFmtId="0" fontId="0" fillId="55" borderId="27" xfId="0" applyFill="1" applyBorder="1" applyAlignment="1">
      <alignment horizontal="left" vertical="center" wrapText="1"/>
    </xf>
    <xf numFmtId="0" fontId="0" fillId="55" borderId="28" xfId="0" applyFill="1" applyBorder="1" applyAlignment="1">
      <alignment horizontal="left" vertical="center" wrapText="1"/>
    </xf>
    <xf numFmtId="0" fontId="0" fillId="55" borderId="29" xfId="0" applyFill="1" applyBorder="1" applyAlignment="1">
      <alignment horizontal="left" vertical="center" wrapText="1"/>
    </xf>
    <xf numFmtId="0" fontId="0" fillId="55" borderId="30" xfId="0" applyFill="1" applyBorder="1" applyAlignment="1">
      <alignment horizontal="left" vertical="center" wrapText="1"/>
    </xf>
    <xf numFmtId="0" fontId="10" fillId="55" borderId="29" xfId="0" applyFont="1" applyFill="1" applyBorder="1" applyAlignment="1">
      <alignment horizontal="left" vertical="center" wrapText="1"/>
    </xf>
    <xf numFmtId="0" fontId="0" fillId="75" borderId="26" xfId="0" applyFill="1" applyBorder="1" applyAlignment="1">
      <alignment horizontal="center"/>
    </xf>
    <xf numFmtId="0" fontId="0" fillId="75" borderId="0" xfId="0" applyFill="1" applyAlignment="1">
      <alignment horizontal="center"/>
    </xf>
    <xf numFmtId="0" fontId="0" fillId="0" borderId="0" xfId="0" applyAlignment="1">
      <alignment horizontal="center" vertical="center" wrapText="1"/>
    </xf>
    <xf numFmtId="0" fontId="12" fillId="0" borderId="0" xfId="0" applyFont="1" applyAlignment="1">
      <alignment horizontal="center" vertical="center" wrapText="1"/>
    </xf>
    <xf numFmtId="0" fontId="1" fillId="0" borderId="0" xfId="0" applyFont="1" applyAlignment="1">
      <alignment horizontal="center" vertical="center" wrapText="1"/>
    </xf>
    <xf numFmtId="0" fontId="13" fillId="0" borderId="0" xfId="0" applyFont="1" applyAlignment="1">
      <alignment horizontal="center"/>
    </xf>
    <xf numFmtId="0" fontId="53" fillId="54" borderId="0" xfId="0" applyFont="1" applyFill="1" applyAlignment="1">
      <alignment horizontal="center" vertical="center" wrapText="1"/>
    </xf>
    <xf numFmtId="0" fontId="0" fillId="0" borderId="0" xfId="0" applyAlignment="1">
      <alignment horizontal="center"/>
    </xf>
    <xf numFmtId="0" fontId="11" fillId="0" borderId="0" xfId="0" applyFont="1" applyAlignment="1">
      <alignment horizontal="center" vertical="center" wrapText="1"/>
    </xf>
    <xf numFmtId="0" fontId="1" fillId="0" borderId="17" xfId="0" applyFont="1" applyBorder="1"/>
    <xf numFmtId="167" fontId="1" fillId="0" borderId="17" xfId="9" applyNumberFormat="1" applyFont="1" applyBorder="1"/>
  </cellXfs>
  <cellStyles count="5342">
    <cellStyle name="20% - Accent1" xfId="58" builtinId="30" customBuiltin="1"/>
    <cellStyle name="20% - Accent1 10" xfId="923" xr:uid="{00000000-0005-0000-0000-000001000000}"/>
    <cellStyle name="20% - Accent1 10 2" xfId="2215" xr:uid="{00000000-0005-0000-0000-000002000000}"/>
    <cellStyle name="20% - Accent1 10 3" xfId="3493" xr:uid="{00000000-0005-0000-0000-000003000000}"/>
    <cellStyle name="20% - Accent1 10 4" xfId="4780" xr:uid="{00000000-0005-0000-0000-000004000000}"/>
    <cellStyle name="20% - Accent1 11" xfId="1363" xr:uid="{00000000-0005-0000-0000-000005000000}"/>
    <cellStyle name="20% - Accent1 12" xfId="2641" xr:uid="{00000000-0005-0000-0000-000006000000}"/>
    <cellStyle name="20% - Accent1 13" xfId="3928" xr:uid="{00000000-0005-0000-0000-000007000000}"/>
    <cellStyle name="20% - Accent1 14" xfId="5206" xr:uid="{00000000-0005-0000-0000-000008000000}"/>
    <cellStyle name="20% - Accent1 2" xfId="10" xr:uid="{00000000-0005-0000-0000-000009000000}"/>
    <cellStyle name="20% - Accent1 2 10" xfId="1364" xr:uid="{00000000-0005-0000-0000-00000A000000}"/>
    <cellStyle name="20% - Accent1 2 11" xfId="2642" xr:uid="{00000000-0005-0000-0000-00000B000000}"/>
    <cellStyle name="20% - Accent1 2 12" xfId="3929" xr:uid="{00000000-0005-0000-0000-00000C000000}"/>
    <cellStyle name="20% - Accent1 2 13" xfId="5207" xr:uid="{00000000-0005-0000-0000-00000D000000}"/>
    <cellStyle name="20% - Accent1 2 2" xfId="83" xr:uid="{00000000-0005-0000-0000-00000E000000}"/>
    <cellStyle name="20% - Accent1 2 2 2" xfId="84" xr:uid="{00000000-0005-0000-0000-00000F000000}"/>
    <cellStyle name="20% - Accent1 2 2 2 2" xfId="287" xr:uid="{00000000-0005-0000-0000-000010000000}"/>
    <cellStyle name="20% - Accent1 2 2 2 2 2" xfId="713" xr:uid="{00000000-0005-0000-0000-000011000000}"/>
    <cellStyle name="20% - Accent1 2 2 2 2 2 2" xfId="2005" xr:uid="{00000000-0005-0000-0000-000012000000}"/>
    <cellStyle name="20% - Accent1 2 2 2 2 2 3" xfId="3283" xr:uid="{00000000-0005-0000-0000-000013000000}"/>
    <cellStyle name="20% - Accent1 2 2 2 2 2 4" xfId="4570" xr:uid="{00000000-0005-0000-0000-000014000000}"/>
    <cellStyle name="20% - Accent1 2 2 2 2 3" xfId="1139" xr:uid="{00000000-0005-0000-0000-000015000000}"/>
    <cellStyle name="20% - Accent1 2 2 2 2 3 2" xfId="2431" xr:uid="{00000000-0005-0000-0000-000016000000}"/>
    <cellStyle name="20% - Accent1 2 2 2 2 3 3" xfId="3709" xr:uid="{00000000-0005-0000-0000-000017000000}"/>
    <cellStyle name="20% - Accent1 2 2 2 2 3 4" xfId="4996" xr:uid="{00000000-0005-0000-0000-000018000000}"/>
    <cellStyle name="20% - Accent1 2 2 2 2 4" xfId="1579" xr:uid="{00000000-0005-0000-0000-000019000000}"/>
    <cellStyle name="20% - Accent1 2 2 2 2 5" xfId="2857" xr:uid="{00000000-0005-0000-0000-00001A000000}"/>
    <cellStyle name="20% - Accent1 2 2 2 2 6" xfId="4144" xr:uid="{00000000-0005-0000-0000-00001B000000}"/>
    <cellStyle name="20% - Accent1 2 2 2 3" xfId="500" xr:uid="{00000000-0005-0000-0000-00001C000000}"/>
    <cellStyle name="20% - Accent1 2 2 2 3 2" xfId="1792" xr:uid="{00000000-0005-0000-0000-00001D000000}"/>
    <cellStyle name="20% - Accent1 2 2 2 3 3" xfId="3070" xr:uid="{00000000-0005-0000-0000-00001E000000}"/>
    <cellStyle name="20% - Accent1 2 2 2 3 4" xfId="4357" xr:uid="{00000000-0005-0000-0000-00001F000000}"/>
    <cellStyle name="20% - Accent1 2 2 2 4" xfId="926" xr:uid="{00000000-0005-0000-0000-000020000000}"/>
    <cellStyle name="20% - Accent1 2 2 2 4 2" xfId="2218" xr:uid="{00000000-0005-0000-0000-000021000000}"/>
    <cellStyle name="20% - Accent1 2 2 2 4 3" xfId="3496" xr:uid="{00000000-0005-0000-0000-000022000000}"/>
    <cellStyle name="20% - Accent1 2 2 2 4 4" xfId="4783" xr:uid="{00000000-0005-0000-0000-000023000000}"/>
    <cellStyle name="20% - Accent1 2 2 2 5" xfId="1366" xr:uid="{00000000-0005-0000-0000-000024000000}"/>
    <cellStyle name="20% - Accent1 2 2 2 6" xfId="2644" xr:uid="{00000000-0005-0000-0000-000025000000}"/>
    <cellStyle name="20% - Accent1 2 2 2 7" xfId="3931" xr:uid="{00000000-0005-0000-0000-000026000000}"/>
    <cellStyle name="20% - Accent1 2 2 2 8" xfId="5209" xr:uid="{00000000-0005-0000-0000-000027000000}"/>
    <cellStyle name="20% - Accent1 2 2 3" xfId="286" xr:uid="{00000000-0005-0000-0000-000028000000}"/>
    <cellStyle name="20% - Accent1 2 2 3 2" xfId="712" xr:uid="{00000000-0005-0000-0000-000029000000}"/>
    <cellStyle name="20% - Accent1 2 2 3 2 2" xfId="2004" xr:uid="{00000000-0005-0000-0000-00002A000000}"/>
    <cellStyle name="20% - Accent1 2 2 3 2 3" xfId="3282" xr:uid="{00000000-0005-0000-0000-00002B000000}"/>
    <cellStyle name="20% - Accent1 2 2 3 2 4" xfId="4569" xr:uid="{00000000-0005-0000-0000-00002C000000}"/>
    <cellStyle name="20% - Accent1 2 2 3 3" xfId="1138" xr:uid="{00000000-0005-0000-0000-00002D000000}"/>
    <cellStyle name="20% - Accent1 2 2 3 3 2" xfId="2430" xr:uid="{00000000-0005-0000-0000-00002E000000}"/>
    <cellStyle name="20% - Accent1 2 2 3 3 3" xfId="3708" xr:uid="{00000000-0005-0000-0000-00002F000000}"/>
    <cellStyle name="20% - Accent1 2 2 3 3 4" xfId="4995" xr:uid="{00000000-0005-0000-0000-000030000000}"/>
    <cellStyle name="20% - Accent1 2 2 3 4" xfId="1578" xr:uid="{00000000-0005-0000-0000-000031000000}"/>
    <cellStyle name="20% - Accent1 2 2 3 5" xfId="2856" xr:uid="{00000000-0005-0000-0000-000032000000}"/>
    <cellStyle name="20% - Accent1 2 2 3 6" xfId="4143" xr:uid="{00000000-0005-0000-0000-000033000000}"/>
    <cellStyle name="20% - Accent1 2 2 4" xfId="499" xr:uid="{00000000-0005-0000-0000-000034000000}"/>
    <cellStyle name="20% - Accent1 2 2 4 2" xfId="1791" xr:uid="{00000000-0005-0000-0000-000035000000}"/>
    <cellStyle name="20% - Accent1 2 2 4 3" xfId="3069" xr:uid="{00000000-0005-0000-0000-000036000000}"/>
    <cellStyle name="20% - Accent1 2 2 4 4" xfId="4356" xr:uid="{00000000-0005-0000-0000-000037000000}"/>
    <cellStyle name="20% - Accent1 2 2 5" xfId="925" xr:uid="{00000000-0005-0000-0000-000038000000}"/>
    <cellStyle name="20% - Accent1 2 2 5 2" xfId="2217" xr:uid="{00000000-0005-0000-0000-000039000000}"/>
    <cellStyle name="20% - Accent1 2 2 5 3" xfId="3495" xr:uid="{00000000-0005-0000-0000-00003A000000}"/>
    <cellStyle name="20% - Accent1 2 2 5 4" xfId="4782" xr:uid="{00000000-0005-0000-0000-00003B000000}"/>
    <cellStyle name="20% - Accent1 2 2 6" xfId="1365" xr:uid="{00000000-0005-0000-0000-00003C000000}"/>
    <cellStyle name="20% - Accent1 2 2 7" xfId="2643" xr:uid="{00000000-0005-0000-0000-00003D000000}"/>
    <cellStyle name="20% - Accent1 2 2 8" xfId="3930" xr:uid="{00000000-0005-0000-0000-00003E000000}"/>
    <cellStyle name="20% - Accent1 2 2 9" xfId="5208" xr:uid="{00000000-0005-0000-0000-00003F000000}"/>
    <cellStyle name="20% - Accent1 2 3" xfId="85" xr:uid="{00000000-0005-0000-0000-000040000000}"/>
    <cellStyle name="20% - Accent1 2 3 2" xfId="288" xr:uid="{00000000-0005-0000-0000-000041000000}"/>
    <cellStyle name="20% - Accent1 2 3 2 2" xfId="714" xr:uid="{00000000-0005-0000-0000-000042000000}"/>
    <cellStyle name="20% - Accent1 2 3 2 2 2" xfId="2006" xr:uid="{00000000-0005-0000-0000-000043000000}"/>
    <cellStyle name="20% - Accent1 2 3 2 2 3" xfId="3284" xr:uid="{00000000-0005-0000-0000-000044000000}"/>
    <cellStyle name="20% - Accent1 2 3 2 2 4" xfId="4571" xr:uid="{00000000-0005-0000-0000-000045000000}"/>
    <cellStyle name="20% - Accent1 2 3 2 3" xfId="1140" xr:uid="{00000000-0005-0000-0000-000046000000}"/>
    <cellStyle name="20% - Accent1 2 3 2 3 2" xfId="2432" xr:uid="{00000000-0005-0000-0000-000047000000}"/>
    <cellStyle name="20% - Accent1 2 3 2 3 3" xfId="3710" xr:uid="{00000000-0005-0000-0000-000048000000}"/>
    <cellStyle name="20% - Accent1 2 3 2 3 4" xfId="4997" xr:uid="{00000000-0005-0000-0000-000049000000}"/>
    <cellStyle name="20% - Accent1 2 3 2 4" xfId="1580" xr:uid="{00000000-0005-0000-0000-00004A000000}"/>
    <cellStyle name="20% - Accent1 2 3 2 5" xfId="2858" xr:uid="{00000000-0005-0000-0000-00004B000000}"/>
    <cellStyle name="20% - Accent1 2 3 2 6" xfId="4145" xr:uid="{00000000-0005-0000-0000-00004C000000}"/>
    <cellStyle name="20% - Accent1 2 3 3" xfId="501" xr:uid="{00000000-0005-0000-0000-00004D000000}"/>
    <cellStyle name="20% - Accent1 2 3 3 2" xfId="1793" xr:uid="{00000000-0005-0000-0000-00004E000000}"/>
    <cellStyle name="20% - Accent1 2 3 3 3" xfId="3071" xr:uid="{00000000-0005-0000-0000-00004F000000}"/>
    <cellStyle name="20% - Accent1 2 3 3 4" xfId="4358" xr:uid="{00000000-0005-0000-0000-000050000000}"/>
    <cellStyle name="20% - Accent1 2 3 4" xfId="927" xr:uid="{00000000-0005-0000-0000-000051000000}"/>
    <cellStyle name="20% - Accent1 2 3 4 2" xfId="2219" xr:uid="{00000000-0005-0000-0000-000052000000}"/>
    <cellStyle name="20% - Accent1 2 3 4 3" xfId="3497" xr:uid="{00000000-0005-0000-0000-000053000000}"/>
    <cellStyle name="20% - Accent1 2 3 4 4" xfId="4784" xr:uid="{00000000-0005-0000-0000-000054000000}"/>
    <cellStyle name="20% - Accent1 2 3 5" xfId="1367" xr:uid="{00000000-0005-0000-0000-000055000000}"/>
    <cellStyle name="20% - Accent1 2 3 6" xfId="2645" xr:uid="{00000000-0005-0000-0000-000056000000}"/>
    <cellStyle name="20% - Accent1 2 3 7" xfId="3932" xr:uid="{00000000-0005-0000-0000-000057000000}"/>
    <cellStyle name="20% - Accent1 2 3 8" xfId="5210" xr:uid="{00000000-0005-0000-0000-000058000000}"/>
    <cellStyle name="20% - Accent1 2 4" xfId="86" xr:uid="{00000000-0005-0000-0000-000059000000}"/>
    <cellStyle name="20% - Accent1 2 4 2" xfId="289" xr:uid="{00000000-0005-0000-0000-00005A000000}"/>
    <cellStyle name="20% - Accent1 2 4 2 2" xfId="715" xr:uid="{00000000-0005-0000-0000-00005B000000}"/>
    <cellStyle name="20% - Accent1 2 4 2 2 2" xfId="2007" xr:uid="{00000000-0005-0000-0000-00005C000000}"/>
    <cellStyle name="20% - Accent1 2 4 2 2 3" xfId="3285" xr:uid="{00000000-0005-0000-0000-00005D000000}"/>
    <cellStyle name="20% - Accent1 2 4 2 2 4" xfId="4572" xr:uid="{00000000-0005-0000-0000-00005E000000}"/>
    <cellStyle name="20% - Accent1 2 4 2 3" xfId="1141" xr:uid="{00000000-0005-0000-0000-00005F000000}"/>
    <cellStyle name="20% - Accent1 2 4 2 3 2" xfId="2433" xr:uid="{00000000-0005-0000-0000-000060000000}"/>
    <cellStyle name="20% - Accent1 2 4 2 3 3" xfId="3711" xr:uid="{00000000-0005-0000-0000-000061000000}"/>
    <cellStyle name="20% - Accent1 2 4 2 3 4" xfId="4998" xr:uid="{00000000-0005-0000-0000-000062000000}"/>
    <cellStyle name="20% - Accent1 2 4 2 4" xfId="1581" xr:uid="{00000000-0005-0000-0000-000063000000}"/>
    <cellStyle name="20% - Accent1 2 4 2 5" xfId="2859" xr:uid="{00000000-0005-0000-0000-000064000000}"/>
    <cellStyle name="20% - Accent1 2 4 2 6" xfId="4146" xr:uid="{00000000-0005-0000-0000-000065000000}"/>
    <cellStyle name="20% - Accent1 2 4 3" xfId="502" xr:uid="{00000000-0005-0000-0000-000066000000}"/>
    <cellStyle name="20% - Accent1 2 4 3 2" xfId="1794" xr:uid="{00000000-0005-0000-0000-000067000000}"/>
    <cellStyle name="20% - Accent1 2 4 3 3" xfId="3072" xr:uid="{00000000-0005-0000-0000-000068000000}"/>
    <cellStyle name="20% - Accent1 2 4 3 4" xfId="4359" xr:uid="{00000000-0005-0000-0000-000069000000}"/>
    <cellStyle name="20% - Accent1 2 4 4" xfId="928" xr:uid="{00000000-0005-0000-0000-00006A000000}"/>
    <cellStyle name="20% - Accent1 2 4 4 2" xfId="2220" xr:uid="{00000000-0005-0000-0000-00006B000000}"/>
    <cellStyle name="20% - Accent1 2 4 4 3" xfId="3498" xr:uid="{00000000-0005-0000-0000-00006C000000}"/>
    <cellStyle name="20% - Accent1 2 4 4 4" xfId="4785" xr:uid="{00000000-0005-0000-0000-00006D000000}"/>
    <cellStyle name="20% - Accent1 2 4 5" xfId="1368" xr:uid="{00000000-0005-0000-0000-00006E000000}"/>
    <cellStyle name="20% - Accent1 2 4 6" xfId="2646" xr:uid="{00000000-0005-0000-0000-00006F000000}"/>
    <cellStyle name="20% - Accent1 2 4 7" xfId="3933" xr:uid="{00000000-0005-0000-0000-000070000000}"/>
    <cellStyle name="20% - Accent1 2 5" xfId="87" xr:uid="{00000000-0005-0000-0000-000071000000}"/>
    <cellStyle name="20% - Accent1 2 5 2" xfId="290" xr:uid="{00000000-0005-0000-0000-000072000000}"/>
    <cellStyle name="20% - Accent1 2 5 2 2" xfId="716" xr:uid="{00000000-0005-0000-0000-000073000000}"/>
    <cellStyle name="20% - Accent1 2 5 2 2 2" xfId="2008" xr:uid="{00000000-0005-0000-0000-000074000000}"/>
    <cellStyle name="20% - Accent1 2 5 2 2 3" xfId="3286" xr:uid="{00000000-0005-0000-0000-000075000000}"/>
    <cellStyle name="20% - Accent1 2 5 2 2 4" xfId="4573" xr:uid="{00000000-0005-0000-0000-000076000000}"/>
    <cellStyle name="20% - Accent1 2 5 2 3" xfId="1142" xr:uid="{00000000-0005-0000-0000-000077000000}"/>
    <cellStyle name="20% - Accent1 2 5 2 3 2" xfId="2434" xr:uid="{00000000-0005-0000-0000-000078000000}"/>
    <cellStyle name="20% - Accent1 2 5 2 3 3" xfId="3712" xr:uid="{00000000-0005-0000-0000-000079000000}"/>
    <cellStyle name="20% - Accent1 2 5 2 3 4" xfId="4999" xr:uid="{00000000-0005-0000-0000-00007A000000}"/>
    <cellStyle name="20% - Accent1 2 5 2 4" xfId="1582" xr:uid="{00000000-0005-0000-0000-00007B000000}"/>
    <cellStyle name="20% - Accent1 2 5 2 5" xfId="2860" xr:uid="{00000000-0005-0000-0000-00007C000000}"/>
    <cellStyle name="20% - Accent1 2 5 2 6" xfId="4147" xr:uid="{00000000-0005-0000-0000-00007D000000}"/>
    <cellStyle name="20% - Accent1 2 5 3" xfId="503" xr:uid="{00000000-0005-0000-0000-00007E000000}"/>
    <cellStyle name="20% - Accent1 2 5 3 2" xfId="1795" xr:uid="{00000000-0005-0000-0000-00007F000000}"/>
    <cellStyle name="20% - Accent1 2 5 3 3" xfId="3073" xr:uid="{00000000-0005-0000-0000-000080000000}"/>
    <cellStyle name="20% - Accent1 2 5 3 4" xfId="4360" xr:uid="{00000000-0005-0000-0000-000081000000}"/>
    <cellStyle name="20% - Accent1 2 5 4" xfId="929" xr:uid="{00000000-0005-0000-0000-000082000000}"/>
    <cellStyle name="20% - Accent1 2 5 4 2" xfId="2221" xr:uid="{00000000-0005-0000-0000-000083000000}"/>
    <cellStyle name="20% - Accent1 2 5 4 3" xfId="3499" xr:uid="{00000000-0005-0000-0000-000084000000}"/>
    <cellStyle name="20% - Accent1 2 5 4 4" xfId="4786" xr:uid="{00000000-0005-0000-0000-000085000000}"/>
    <cellStyle name="20% - Accent1 2 5 5" xfId="1369" xr:uid="{00000000-0005-0000-0000-000086000000}"/>
    <cellStyle name="20% - Accent1 2 5 6" xfId="2647" xr:uid="{00000000-0005-0000-0000-000087000000}"/>
    <cellStyle name="20% - Accent1 2 5 7" xfId="3934" xr:uid="{00000000-0005-0000-0000-000088000000}"/>
    <cellStyle name="20% - Accent1 2 6" xfId="269" xr:uid="{00000000-0005-0000-0000-000089000000}"/>
    <cellStyle name="20% - Accent1 2 6 2" xfId="482" xr:uid="{00000000-0005-0000-0000-00008A000000}"/>
    <cellStyle name="20% - Accent1 2 6 2 2" xfId="907" xr:uid="{00000000-0005-0000-0000-00008B000000}"/>
    <cellStyle name="20% - Accent1 2 6 2 2 2" xfId="2199" xr:uid="{00000000-0005-0000-0000-00008C000000}"/>
    <cellStyle name="20% - Accent1 2 6 2 2 3" xfId="3477" xr:uid="{00000000-0005-0000-0000-00008D000000}"/>
    <cellStyle name="20% - Accent1 2 6 2 2 4" xfId="4764" xr:uid="{00000000-0005-0000-0000-00008E000000}"/>
    <cellStyle name="20% - Accent1 2 6 2 3" xfId="1333" xr:uid="{00000000-0005-0000-0000-00008F000000}"/>
    <cellStyle name="20% - Accent1 2 6 2 3 2" xfId="2625" xr:uid="{00000000-0005-0000-0000-000090000000}"/>
    <cellStyle name="20% - Accent1 2 6 2 3 3" xfId="3903" xr:uid="{00000000-0005-0000-0000-000091000000}"/>
    <cellStyle name="20% - Accent1 2 6 2 3 4" xfId="5190" xr:uid="{00000000-0005-0000-0000-000092000000}"/>
    <cellStyle name="20% - Accent1 2 6 2 4" xfId="1773" xr:uid="{00000000-0005-0000-0000-000093000000}"/>
    <cellStyle name="20% - Accent1 2 6 2 5" xfId="3051" xr:uid="{00000000-0005-0000-0000-000094000000}"/>
    <cellStyle name="20% - Accent1 2 6 2 6" xfId="4338" xr:uid="{00000000-0005-0000-0000-000095000000}"/>
    <cellStyle name="20% - Accent1 2 6 3" xfId="694" xr:uid="{00000000-0005-0000-0000-000096000000}"/>
    <cellStyle name="20% - Accent1 2 6 3 2" xfId="1986" xr:uid="{00000000-0005-0000-0000-000097000000}"/>
    <cellStyle name="20% - Accent1 2 6 3 3" xfId="3264" xr:uid="{00000000-0005-0000-0000-000098000000}"/>
    <cellStyle name="20% - Accent1 2 6 3 4" xfId="4551" xr:uid="{00000000-0005-0000-0000-000099000000}"/>
    <cellStyle name="20% - Accent1 2 6 4" xfId="1120" xr:uid="{00000000-0005-0000-0000-00009A000000}"/>
    <cellStyle name="20% - Accent1 2 6 4 2" xfId="2412" xr:uid="{00000000-0005-0000-0000-00009B000000}"/>
    <cellStyle name="20% - Accent1 2 6 4 3" xfId="3690" xr:uid="{00000000-0005-0000-0000-00009C000000}"/>
    <cellStyle name="20% - Accent1 2 6 4 4" xfId="4977" xr:uid="{00000000-0005-0000-0000-00009D000000}"/>
    <cellStyle name="20% - Accent1 2 6 5" xfId="1560" xr:uid="{00000000-0005-0000-0000-00009E000000}"/>
    <cellStyle name="20% - Accent1 2 6 6" xfId="2838" xr:uid="{00000000-0005-0000-0000-00009F000000}"/>
    <cellStyle name="20% - Accent1 2 6 7" xfId="4125" xr:uid="{00000000-0005-0000-0000-0000A0000000}"/>
    <cellStyle name="20% - Accent1 2 7" xfId="285" xr:uid="{00000000-0005-0000-0000-0000A1000000}"/>
    <cellStyle name="20% - Accent1 2 7 2" xfId="711" xr:uid="{00000000-0005-0000-0000-0000A2000000}"/>
    <cellStyle name="20% - Accent1 2 7 2 2" xfId="2003" xr:uid="{00000000-0005-0000-0000-0000A3000000}"/>
    <cellStyle name="20% - Accent1 2 7 2 3" xfId="3281" xr:uid="{00000000-0005-0000-0000-0000A4000000}"/>
    <cellStyle name="20% - Accent1 2 7 2 4" xfId="4568" xr:uid="{00000000-0005-0000-0000-0000A5000000}"/>
    <cellStyle name="20% - Accent1 2 7 3" xfId="1137" xr:uid="{00000000-0005-0000-0000-0000A6000000}"/>
    <cellStyle name="20% - Accent1 2 7 3 2" xfId="2429" xr:uid="{00000000-0005-0000-0000-0000A7000000}"/>
    <cellStyle name="20% - Accent1 2 7 3 3" xfId="3707" xr:uid="{00000000-0005-0000-0000-0000A8000000}"/>
    <cellStyle name="20% - Accent1 2 7 3 4" xfId="4994" xr:uid="{00000000-0005-0000-0000-0000A9000000}"/>
    <cellStyle name="20% - Accent1 2 7 4" xfId="1577" xr:uid="{00000000-0005-0000-0000-0000AA000000}"/>
    <cellStyle name="20% - Accent1 2 7 5" xfId="2855" xr:uid="{00000000-0005-0000-0000-0000AB000000}"/>
    <cellStyle name="20% - Accent1 2 7 6" xfId="4142" xr:uid="{00000000-0005-0000-0000-0000AC000000}"/>
    <cellStyle name="20% - Accent1 2 8" xfId="498" xr:uid="{00000000-0005-0000-0000-0000AD000000}"/>
    <cellStyle name="20% - Accent1 2 8 2" xfId="1790" xr:uid="{00000000-0005-0000-0000-0000AE000000}"/>
    <cellStyle name="20% - Accent1 2 8 3" xfId="3068" xr:uid="{00000000-0005-0000-0000-0000AF000000}"/>
    <cellStyle name="20% - Accent1 2 8 4" xfId="4355" xr:uid="{00000000-0005-0000-0000-0000B0000000}"/>
    <cellStyle name="20% - Accent1 2 9" xfId="924" xr:uid="{00000000-0005-0000-0000-0000B1000000}"/>
    <cellStyle name="20% - Accent1 2 9 2" xfId="2216" xr:uid="{00000000-0005-0000-0000-0000B2000000}"/>
    <cellStyle name="20% - Accent1 2 9 3" xfId="3494" xr:uid="{00000000-0005-0000-0000-0000B3000000}"/>
    <cellStyle name="20% - Accent1 2 9 4" xfId="4781" xr:uid="{00000000-0005-0000-0000-0000B4000000}"/>
    <cellStyle name="20% - Accent1 3" xfId="88" xr:uid="{00000000-0005-0000-0000-0000B5000000}"/>
    <cellStyle name="20% - Accent1 3 2" xfId="89" xr:uid="{00000000-0005-0000-0000-0000B6000000}"/>
    <cellStyle name="20% - Accent1 3 2 2" xfId="292" xr:uid="{00000000-0005-0000-0000-0000B7000000}"/>
    <cellStyle name="20% - Accent1 3 2 2 2" xfId="718" xr:uid="{00000000-0005-0000-0000-0000B8000000}"/>
    <cellStyle name="20% - Accent1 3 2 2 2 2" xfId="2010" xr:uid="{00000000-0005-0000-0000-0000B9000000}"/>
    <cellStyle name="20% - Accent1 3 2 2 2 3" xfId="3288" xr:uid="{00000000-0005-0000-0000-0000BA000000}"/>
    <cellStyle name="20% - Accent1 3 2 2 2 4" xfId="4575" xr:uid="{00000000-0005-0000-0000-0000BB000000}"/>
    <cellStyle name="20% - Accent1 3 2 2 3" xfId="1144" xr:uid="{00000000-0005-0000-0000-0000BC000000}"/>
    <cellStyle name="20% - Accent1 3 2 2 3 2" xfId="2436" xr:uid="{00000000-0005-0000-0000-0000BD000000}"/>
    <cellStyle name="20% - Accent1 3 2 2 3 3" xfId="3714" xr:uid="{00000000-0005-0000-0000-0000BE000000}"/>
    <cellStyle name="20% - Accent1 3 2 2 3 4" xfId="5001" xr:uid="{00000000-0005-0000-0000-0000BF000000}"/>
    <cellStyle name="20% - Accent1 3 2 2 4" xfId="1584" xr:uid="{00000000-0005-0000-0000-0000C0000000}"/>
    <cellStyle name="20% - Accent1 3 2 2 5" xfId="2862" xr:uid="{00000000-0005-0000-0000-0000C1000000}"/>
    <cellStyle name="20% - Accent1 3 2 2 6" xfId="4149" xr:uid="{00000000-0005-0000-0000-0000C2000000}"/>
    <cellStyle name="20% - Accent1 3 2 3" xfId="505" xr:uid="{00000000-0005-0000-0000-0000C3000000}"/>
    <cellStyle name="20% - Accent1 3 2 3 2" xfId="1797" xr:uid="{00000000-0005-0000-0000-0000C4000000}"/>
    <cellStyle name="20% - Accent1 3 2 3 3" xfId="3075" xr:uid="{00000000-0005-0000-0000-0000C5000000}"/>
    <cellStyle name="20% - Accent1 3 2 3 4" xfId="4362" xr:uid="{00000000-0005-0000-0000-0000C6000000}"/>
    <cellStyle name="20% - Accent1 3 2 4" xfId="931" xr:uid="{00000000-0005-0000-0000-0000C7000000}"/>
    <cellStyle name="20% - Accent1 3 2 4 2" xfId="2223" xr:uid="{00000000-0005-0000-0000-0000C8000000}"/>
    <cellStyle name="20% - Accent1 3 2 4 3" xfId="3501" xr:uid="{00000000-0005-0000-0000-0000C9000000}"/>
    <cellStyle name="20% - Accent1 3 2 4 4" xfId="4788" xr:uid="{00000000-0005-0000-0000-0000CA000000}"/>
    <cellStyle name="20% - Accent1 3 2 5" xfId="1371" xr:uid="{00000000-0005-0000-0000-0000CB000000}"/>
    <cellStyle name="20% - Accent1 3 2 6" xfId="2649" xr:uid="{00000000-0005-0000-0000-0000CC000000}"/>
    <cellStyle name="20% - Accent1 3 2 7" xfId="3936" xr:uid="{00000000-0005-0000-0000-0000CD000000}"/>
    <cellStyle name="20% - Accent1 3 2 8" xfId="5212" xr:uid="{00000000-0005-0000-0000-0000CE000000}"/>
    <cellStyle name="20% - Accent1 3 3" xfId="291" xr:uid="{00000000-0005-0000-0000-0000CF000000}"/>
    <cellStyle name="20% - Accent1 3 3 2" xfId="717" xr:uid="{00000000-0005-0000-0000-0000D0000000}"/>
    <cellStyle name="20% - Accent1 3 3 2 2" xfId="2009" xr:uid="{00000000-0005-0000-0000-0000D1000000}"/>
    <cellStyle name="20% - Accent1 3 3 2 3" xfId="3287" xr:uid="{00000000-0005-0000-0000-0000D2000000}"/>
    <cellStyle name="20% - Accent1 3 3 2 4" xfId="4574" xr:uid="{00000000-0005-0000-0000-0000D3000000}"/>
    <cellStyle name="20% - Accent1 3 3 3" xfId="1143" xr:uid="{00000000-0005-0000-0000-0000D4000000}"/>
    <cellStyle name="20% - Accent1 3 3 3 2" xfId="2435" xr:uid="{00000000-0005-0000-0000-0000D5000000}"/>
    <cellStyle name="20% - Accent1 3 3 3 3" xfId="3713" xr:uid="{00000000-0005-0000-0000-0000D6000000}"/>
    <cellStyle name="20% - Accent1 3 3 3 4" xfId="5000" xr:uid="{00000000-0005-0000-0000-0000D7000000}"/>
    <cellStyle name="20% - Accent1 3 3 4" xfId="1583" xr:uid="{00000000-0005-0000-0000-0000D8000000}"/>
    <cellStyle name="20% - Accent1 3 3 5" xfId="2861" xr:uid="{00000000-0005-0000-0000-0000D9000000}"/>
    <cellStyle name="20% - Accent1 3 3 6" xfId="4148" xr:uid="{00000000-0005-0000-0000-0000DA000000}"/>
    <cellStyle name="20% - Accent1 3 4" xfId="504" xr:uid="{00000000-0005-0000-0000-0000DB000000}"/>
    <cellStyle name="20% - Accent1 3 4 2" xfId="1796" xr:uid="{00000000-0005-0000-0000-0000DC000000}"/>
    <cellStyle name="20% - Accent1 3 4 3" xfId="3074" xr:uid="{00000000-0005-0000-0000-0000DD000000}"/>
    <cellStyle name="20% - Accent1 3 4 4" xfId="4361" xr:uid="{00000000-0005-0000-0000-0000DE000000}"/>
    <cellStyle name="20% - Accent1 3 5" xfId="930" xr:uid="{00000000-0005-0000-0000-0000DF000000}"/>
    <cellStyle name="20% - Accent1 3 5 2" xfId="2222" xr:uid="{00000000-0005-0000-0000-0000E0000000}"/>
    <cellStyle name="20% - Accent1 3 5 3" xfId="3500" xr:uid="{00000000-0005-0000-0000-0000E1000000}"/>
    <cellStyle name="20% - Accent1 3 5 4" xfId="4787" xr:uid="{00000000-0005-0000-0000-0000E2000000}"/>
    <cellStyle name="20% - Accent1 3 6" xfId="1370" xr:uid="{00000000-0005-0000-0000-0000E3000000}"/>
    <cellStyle name="20% - Accent1 3 7" xfId="2648" xr:uid="{00000000-0005-0000-0000-0000E4000000}"/>
    <cellStyle name="20% - Accent1 3 8" xfId="3935" xr:uid="{00000000-0005-0000-0000-0000E5000000}"/>
    <cellStyle name="20% - Accent1 3 9" xfId="5211" xr:uid="{00000000-0005-0000-0000-0000E6000000}"/>
    <cellStyle name="20% - Accent1 4" xfId="90" xr:uid="{00000000-0005-0000-0000-0000E7000000}"/>
    <cellStyle name="20% - Accent1 4 2" xfId="293" xr:uid="{00000000-0005-0000-0000-0000E8000000}"/>
    <cellStyle name="20% - Accent1 4 2 2" xfId="719" xr:uid="{00000000-0005-0000-0000-0000E9000000}"/>
    <cellStyle name="20% - Accent1 4 2 2 2" xfId="2011" xr:uid="{00000000-0005-0000-0000-0000EA000000}"/>
    <cellStyle name="20% - Accent1 4 2 2 3" xfId="3289" xr:uid="{00000000-0005-0000-0000-0000EB000000}"/>
    <cellStyle name="20% - Accent1 4 2 2 4" xfId="4576" xr:uid="{00000000-0005-0000-0000-0000EC000000}"/>
    <cellStyle name="20% - Accent1 4 2 3" xfId="1145" xr:uid="{00000000-0005-0000-0000-0000ED000000}"/>
    <cellStyle name="20% - Accent1 4 2 3 2" xfId="2437" xr:uid="{00000000-0005-0000-0000-0000EE000000}"/>
    <cellStyle name="20% - Accent1 4 2 3 3" xfId="3715" xr:uid="{00000000-0005-0000-0000-0000EF000000}"/>
    <cellStyle name="20% - Accent1 4 2 3 4" xfId="5002" xr:uid="{00000000-0005-0000-0000-0000F0000000}"/>
    <cellStyle name="20% - Accent1 4 2 4" xfId="1585" xr:uid="{00000000-0005-0000-0000-0000F1000000}"/>
    <cellStyle name="20% - Accent1 4 2 5" xfId="2863" xr:uid="{00000000-0005-0000-0000-0000F2000000}"/>
    <cellStyle name="20% - Accent1 4 2 6" xfId="4150" xr:uid="{00000000-0005-0000-0000-0000F3000000}"/>
    <cellStyle name="20% - Accent1 4 3" xfId="506" xr:uid="{00000000-0005-0000-0000-0000F4000000}"/>
    <cellStyle name="20% - Accent1 4 3 2" xfId="1798" xr:uid="{00000000-0005-0000-0000-0000F5000000}"/>
    <cellStyle name="20% - Accent1 4 3 3" xfId="3076" xr:uid="{00000000-0005-0000-0000-0000F6000000}"/>
    <cellStyle name="20% - Accent1 4 3 4" xfId="4363" xr:uid="{00000000-0005-0000-0000-0000F7000000}"/>
    <cellStyle name="20% - Accent1 4 4" xfId="932" xr:uid="{00000000-0005-0000-0000-0000F8000000}"/>
    <cellStyle name="20% - Accent1 4 4 2" xfId="2224" xr:uid="{00000000-0005-0000-0000-0000F9000000}"/>
    <cellStyle name="20% - Accent1 4 4 3" xfId="3502" xr:uid="{00000000-0005-0000-0000-0000FA000000}"/>
    <cellStyle name="20% - Accent1 4 4 4" xfId="4789" xr:uid="{00000000-0005-0000-0000-0000FB000000}"/>
    <cellStyle name="20% - Accent1 4 5" xfId="1372" xr:uid="{00000000-0005-0000-0000-0000FC000000}"/>
    <cellStyle name="20% - Accent1 4 6" xfId="2650" xr:uid="{00000000-0005-0000-0000-0000FD000000}"/>
    <cellStyle name="20% - Accent1 4 7" xfId="3937" xr:uid="{00000000-0005-0000-0000-0000FE000000}"/>
    <cellStyle name="20% - Accent1 4 8" xfId="5213" xr:uid="{00000000-0005-0000-0000-0000FF000000}"/>
    <cellStyle name="20% - Accent1 5" xfId="91" xr:uid="{00000000-0005-0000-0000-000000010000}"/>
    <cellStyle name="20% - Accent1 5 2" xfId="294" xr:uid="{00000000-0005-0000-0000-000001010000}"/>
    <cellStyle name="20% - Accent1 5 2 2" xfId="720" xr:uid="{00000000-0005-0000-0000-000002010000}"/>
    <cellStyle name="20% - Accent1 5 2 2 2" xfId="2012" xr:uid="{00000000-0005-0000-0000-000003010000}"/>
    <cellStyle name="20% - Accent1 5 2 2 3" xfId="3290" xr:uid="{00000000-0005-0000-0000-000004010000}"/>
    <cellStyle name="20% - Accent1 5 2 2 4" xfId="4577" xr:uid="{00000000-0005-0000-0000-000005010000}"/>
    <cellStyle name="20% - Accent1 5 2 3" xfId="1146" xr:uid="{00000000-0005-0000-0000-000006010000}"/>
    <cellStyle name="20% - Accent1 5 2 3 2" xfId="2438" xr:uid="{00000000-0005-0000-0000-000007010000}"/>
    <cellStyle name="20% - Accent1 5 2 3 3" xfId="3716" xr:uid="{00000000-0005-0000-0000-000008010000}"/>
    <cellStyle name="20% - Accent1 5 2 3 4" xfId="5003" xr:uid="{00000000-0005-0000-0000-000009010000}"/>
    <cellStyle name="20% - Accent1 5 2 4" xfId="1586" xr:uid="{00000000-0005-0000-0000-00000A010000}"/>
    <cellStyle name="20% - Accent1 5 2 5" xfId="2864" xr:uid="{00000000-0005-0000-0000-00000B010000}"/>
    <cellStyle name="20% - Accent1 5 2 6" xfId="4151" xr:uid="{00000000-0005-0000-0000-00000C010000}"/>
    <cellStyle name="20% - Accent1 5 3" xfId="507" xr:uid="{00000000-0005-0000-0000-00000D010000}"/>
    <cellStyle name="20% - Accent1 5 3 2" xfId="1799" xr:uid="{00000000-0005-0000-0000-00000E010000}"/>
    <cellStyle name="20% - Accent1 5 3 3" xfId="3077" xr:uid="{00000000-0005-0000-0000-00000F010000}"/>
    <cellStyle name="20% - Accent1 5 3 4" xfId="4364" xr:uid="{00000000-0005-0000-0000-000010010000}"/>
    <cellStyle name="20% - Accent1 5 4" xfId="933" xr:uid="{00000000-0005-0000-0000-000011010000}"/>
    <cellStyle name="20% - Accent1 5 4 2" xfId="2225" xr:uid="{00000000-0005-0000-0000-000012010000}"/>
    <cellStyle name="20% - Accent1 5 4 3" xfId="3503" xr:uid="{00000000-0005-0000-0000-000013010000}"/>
    <cellStyle name="20% - Accent1 5 4 4" xfId="4790" xr:uid="{00000000-0005-0000-0000-000014010000}"/>
    <cellStyle name="20% - Accent1 5 5" xfId="1373" xr:uid="{00000000-0005-0000-0000-000015010000}"/>
    <cellStyle name="20% - Accent1 5 6" xfId="2651" xr:uid="{00000000-0005-0000-0000-000016010000}"/>
    <cellStyle name="20% - Accent1 5 7" xfId="3938" xr:uid="{00000000-0005-0000-0000-000017010000}"/>
    <cellStyle name="20% - Accent1 6" xfId="92" xr:uid="{00000000-0005-0000-0000-000018010000}"/>
    <cellStyle name="20% - Accent1 6 2" xfId="295" xr:uid="{00000000-0005-0000-0000-000019010000}"/>
    <cellStyle name="20% - Accent1 6 2 2" xfId="721" xr:uid="{00000000-0005-0000-0000-00001A010000}"/>
    <cellStyle name="20% - Accent1 6 2 2 2" xfId="2013" xr:uid="{00000000-0005-0000-0000-00001B010000}"/>
    <cellStyle name="20% - Accent1 6 2 2 3" xfId="3291" xr:uid="{00000000-0005-0000-0000-00001C010000}"/>
    <cellStyle name="20% - Accent1 6 2 2 4" xfId="4578" xr:uid="{00000000-0005-0000-0000-00001D010000}"/>
    <cellStyle name="20% - Accent1 6 2 3" xfId="1147" xr:uid="{00000000-0005-0000-0000-00001E010000}"/>
    <cellStyle name="20% - Accent1 6 2 3 2" xfId="2439" xr:uid="{00000000-0005-0000-0000-00001F010000}"/>
    <cellStyle name="20% - Accent1 6 2 3 3" xfId="3717" xr:uid="{00000000-0005-0000-0000-000020010000}"/>
    <cellStyle name="20% - Accent1 6 2 3 4" xfId="5004" xr:uid="{00000000-0005-0000-0000-000021010000}"/>
    <cellStyle name="20% - Accent1 6 2 4" xfId="1587" xr:uid="{00000000-0005-0000-0000-000022010000}"/>
    <cellStyle name="20% - Accent1 6 2 5" xfId="2865" xr:uid="{00000000-0005-0000-0000-000023010000}"/>
    <cellStyle name="20% - Accent1 6 2 6" xfId="4152" xr:uid="{00000000-0005-0000-0000-000024010000}"/>
    <cellStyle name="20% - Accent1 6 3" xfId="508" xr:uid="{00000000-0005-0000-0000-000025010000}"/>
    <cellStyle name="20% - Accent1 6 3 2" xfId="1800" xr:uid="{00000000-0005-0000-0000-000026010000}"/>
    <cellStyle name="20% - Accent1 6 3 3" xfId="3078" xr:uid="{00000000-0005-0000-0000-000027010000}"/>
    <cellStyle name="20% - Accent1 6 3 4" xfId="4365" xr:uid="{00000000-0005-0000-0000-000028010000}"/>
    <cellStyle name="20% - Accent1 6 4" xfId="934" xr:uid="{00000000-0005-0000-0000-000029010000}"/>
    <cellStyle name="20% - Accent1 6 4 2" xfId="2226" xr:uid="{00000000-0005-0000-0000-00002A010000}"/>
    <cellStyle name="20% - Accent1 6 4 3" xfId="3504" xr:uid="{00000000-0005-0000-0000-00002B010000}"/>
    <cellStyle name="20% - Accent1 6 4 4" xfId="4791" xr:uid="{00000000-0005-0000-0000-00002C010000}"/>
    <cellStyle name="20% - Accent1 6 5" xfId="1374" xr:uid="{00000000-0005-0000-0000-00002D010000}"/>
    <cellStyle name="20% - Accent1 6 6" xfId="2652" xr:uid="{00000000-0005-0000-0000-00002E010000}"/>
    <cellStyle name="20% - Accent1 6 7" xfId="3939" xr:uid="{00000000-0005-0000-0000-00002F010000}"/>
    <cellStyle name="20% - Accent1 7" xfId="254" xr:uid="{00000000-0005-0000-0000-000030010000}"/>
    <cellStyle name="20% - Accent1 7 2" xfId="467" xr:uid="{00000000-0005-0000-0000-000031010000}"/>
    <cellStyle name="20% - Accent1 7 2 2" xfId="892" xr:uid="{00000000-0005-0000-0000-000032010000}"/>
    <cellStyle name="20% - Accent1 7 2 2 2" xfId="2184" xr:uid="{00000000-0005-0000-0000-000033010000}"/>
    <cellStyle name="20% - Accent1 7 2 2 3" xfId="3462" xr:uid="{00000000-0005-0000-0000-000034010000}"/>
    <cellStyle name="20% - Accent1 7 2 2 4" xfId="4749" xr:uid="{00000000-0005-0000-0000-000035010000}"/>
    <cellStyle name="20% - Accent1 7 2 3" xfId="1318" xr:uid="{00000000-0005-0000-0000-000036010000}"/>
    <cellStyle name="20% - Accent1 7 2 3 2" xfId="2610" xr:uid="{00000000-0005-0000-0000-000037010000}"/>
    <cellStyle name="20% - Accent1 7 2 3 3" xfId="3888" xr:uid="{00000000-0005-0000-0000-000038010000}"/>
    <cellStyle name="20% - Accent1 7 2 3 4" xfId="5175" xr:uid="{00000000-0005-0000-0000-000039010000}"/>
    <cellStyle name="20% - Accent1 7 2 4" xfId="1758" xr:uid="{00000000-0005-0000-0000-00003A010000}"/>
    <cellStyle name="20% - Accent1 7 2 5" xfId="3036" xr:uid="{00000000-0005-0000-0000-00003B010000}"/>
    <cellStyle name="20% - Accent1 7 2 6" xfId="4323" xr:uid="{00000000-0005-0000-0000-00003C010000}"/>
    <cellStyle name="20% - Accent1 7 3" xfId="679" xr:uid="{00000000-0005-0000-0000-00003D010000}"/>
    <cellStyle name="20% - Accent1 7 3 2" xfId="1971" xr:uid="{00000000-0005-0000-0000-00003E010000}"/>
    <cellStyle name="20% - Accent1 7 3 3" xfId="3249" xr:uid="{00000000-0005-0000-0000-00003F010000}"/>
    <cellStyle name="20% - Accent1 7 3 4" xfId="4536" xr:uid="{00000000-0005-0000-0000-000040010000}"/>
    <cellStyle name="20% - Accent1 7 4" xfId="1105" xr:uid="{00000000-0005-0000-0000-000041010000}"/>
    <cellStyle name="20% - Accent1 7 4 2" xfId="2397" xr:uid="{00000000-0005-0000-0000-000042010000}"/>
    <cellStyle name="20% - Accent1 7 4 3" xfId="3675" xr:uid="{00000000-0005-0000-0000-000043010000}"/>
    <cellStyle name="20% - Accent1 7 4 4" xfId="4962" xr:uid="{00000000-0005-0000-0000-000044010000}"/>
    <cellStyle name="20% - Accent1 7 5" xfId="1545" xr:uid="{00000000-0005-0000-0000-000045010000}"/>
    <cellStyle name="20% - Accent1 7 6" xfId="2823" xr:uid="{00000000-0005-0000-0000-000046010000}"/>
    <cellStyle name="20% - Accent1 7 7" xfId="4110" xr:uid="{00000000-0005-0000-0000-000047010000}"/>
    <cellStyle name="20% - Accent1 8" xfId="284" xr:uid="{00000000-0005-0000-0000-000048010000}"/>
    <cellStyle name="20% - Accent1 8 2" xfId="710" xr:uid="{00000000-0005-0000-0000-000049010000}"/>
    <cellStyle name="20% - Accent1 8 2 2" xfId="2002" xr:uid="{00000000-0005-0000-0000-00004A010000}"/>
    <cellStyle name="20% - Accent1 8 2 3" xfId="3280" xr:uid="{00000000-0005-0000-0000-00004B010000}"/>
    <cellStyle name="20% - Accent1 8 2 4" xfId="4567" xr:uid="{00000000-0005-0000-0000-00004C010000}"/>
    <cellStyle name="20% - Accent1 8 3" xfId="1136" xr:uid="{00000000-0005-0000-0000-00004D010000}"/>
    <cellStyle name="20% - Accent1 8 3 2" xfId="2428" xr:uid="{00000000-0005-0000-0000-00004E010000}"/>
    <cellStyle name="20% - Accent1 8 3 3" xfId="3706" xr:uid="{00000000-0005-0000-0000-00004F010000}"/>
    <cellStyle name="20% - Accent1 8 3 4" xfId="4993" xr:uid="{00000000-0005-0000-0000-000050010000}"/>
    <cellStyle name="20% - Accent1 8 4" xfId="1576" xr:uid="{00000000-0005-0000-0000-000051010000}"/>
    <cellStyle name="20% - Accent1 8 5" xfId="2854" xr:uid="{00000000-0005-0000-0000-000052010000}"/>
    <cellStyle name="20% - Accent1 8 6" xfId="4141" xr:uid="{00000000-0005-0000-0000-000053010000}"/>
    <cellStyle name="20% - Accent1 9" xfId="497" xr:uid="{00000000-0005-0000-0000-000054010000}"/>
    <cellStyle name="20% - Accent1 9 2" xfId="1789" xr:uid="{00000000-0005-0000-0000-000055010000}"/>
    <cellStyle name="20% - Accent1 9 3" xfId="3067" xr:uid="{00000000-0005-0000-0000-000056010000}"/>
    <cellStyle name="20% - Accent1 9 4" xfId="4354" xr:uid="{00000000-0005-0000-0000-000057010000}"/>
    <cellStyle name="20% - Accent2" xfId="62" builtinId="34" customBuiltin="1"/>
    <cellStyle name="20% - Accent2 10" xfId="935" xr:uid="{00000000-0005-0000-0000-000059010000}"/>
    <cellStyle name="20% - Accent2 10 2" xfId="2227" xr:uid="{00000000-0005-0000-0000-00005A010000}"/>
    <cellStyle name="20% - Accent2 10 3" xfId="3505" xr:uid="{00000000-0005-0000-0000-00005B010000}"/>
    <cellStyle name="20% - Accent2 10 4" xfId="4792" xr:uid="{00000000-0005-0000-0000-00005C010000}"/>
    <cellStyle name="20% - Accent2 11" xfId="1375" xr:uid="{00000000-0005-0000-0000-00005D010000}"/>
    <cellStyle name="20% - Accent2 12" xfId="2653" xr:uid="{00000000-0005-0000-0000-00005E010000}"/>
    <cellStyle name="20% - Accent2 13" xfId="3940" xr:uid="{00000000-0005-0000-0000-00005F010000}"/>
    <cellStyle name="20% - Accent2 14" xfId="5214" xr:uid="{00000000-0005-0000-0000-000060010000}"/>
    <cellStyle name="20% - Accent2 2" xfId="11" xr:uid="{00000000-0005-0000-0000-000061010000}"/>
    <cellStyle name="20% - Accent2 2 10" xfId="1376" xr:uid="{00000000-0005-0000-0000-000062010000}"/>
    <cellStyle name="20% - Accent2 2 11" xfId="2654" xr:uid="{00000000-0005-0000-0000-000063010000}"/>
    <cellStyle name="20% - Accent2 2 12" xfId="3941" xr:uid="{00000000-0005-0000-0000-000064010000}"/>
    <cellStyle name="20% - Accent2 2 13" xfId="5215" xr:uid="{00000000-0005-0000-0000-000065010000}"/>
    <cellStyle name="20% - Accent2 2 2" xfId="93" xr:uid="{00000000-0005-0000-0000-000066010000}"/>
    <cellStyle name="20% - Accent2 2 2 2" xfId="94" xr:uid="{00000000-0005-0000-0000-000067010000}"/>
    <cellStyle name="20% - Accent2 2 2 2 2" xfId="299" xr:uid="{00000000-0005-0000-0000-000068010000}"/>
    <cellStyle name="20% - Accent2 2 2 2 2 2" xfId="725" xr:uid="{00000000-0005-0000-0000-000069010000}"/>
    <cellStyle name="20% - Accent2 2 2 2 2 2 2" xfId="2017" xr:uid="{00000000-0005-0000-0000-00006A010000}"/>
    <cellStyle name="20% - Accent2 2 2 2 2 2 3" xfId="3295" xr:uid="{00000000-0005-0000-0000-00006B010000}"/>
    <cellStyle name="20% - Accent2 2 2 2 2 2 4" xfId="4582" xr:uid="{00000000-0005-0000-0000-00006C010000}"/>
    <cellStyle name="20% - Accent2 2 2 2 2 3" xfId="1151" xr:uid="{00000000-0005-0000-0000-00006D010000}"/>
    <cellStyle name="20% - Accent2 2 2 2 2 3 2" xfId="2443" xr:uid="{00000000-0005-0000-0000-00006E010000}"/>
    <cellStyle name="20% - Accent2 2 2 2 2 3 3" xfId="3721" xr:uid="{00000000-0005-0000-0000-00006F010000}"/>
    <cellStyle name="20% - Accent2 2 2 2 2 3 4" xfId="5008" xr:uid="{00000000-0005-0000-0000-000070010000}"/>
    <cellStyle name="20% - Accent2 2 2 2 2 4" xfId="1591" xr:uid="{00000000-0005-0000-0000-000071010000}"/>
    <cellStyle name="20% - Accent2 2 2 2 2 5" xfId="2869" xr:uid="{00000000-0005-0000-0000-000072010000}"/>
    <cellStyle name="20% - Accent2 2 2 2 2 6" xfId="4156" xr:uid="{00000000-0005-0000-0000-000073010000}"/>
    <cellStyle name="20% - Accent2 2 2 2 3" xfId="512" xr:uid="{00000000-0005-0000-0000-000074010000}"/>
    <cellStyle name="20% - Accent2 2 2 2 3 2" xfId="1804" xr:uid="{00000000-0005-0000-0000-000075010000}"/>
    <cellStyle name="20% - Accent2 2 2 2 3 3" xfId="3082" xr:uid="{00000000-0005-0000-0000-000076010000}"/>
    <cellStyle name="20% - Accent2 2 2 2 3 4" xfId="4369" xr:uid="{00000000-0005-0000-0000-000077010000}"/>
    <cellStyle name="20% - Accent2 2 2 2 4" xfId="938" xr:uid="{00000000-0005-0000-0000-000078010000}"/>
    <cellStyle name="20% - Accent2 2 2 2 4 2" xfId="2230" xr:uid="{00000000-0005-0000-0000-000079010000}"/>
    <cellStyle name="20% - Accent2 2 2 2 4 3" xfId="3508" xr:uid="{00000000-0005-0000-0000-00007A010000}"/>
    <cellStyle name="20% - Accent2 2 2 2 4 4" xfId="4795" xr:uid="{00000000-0005-0000-0000-00007B010000}"/>
    <cellStyle name="20% - Accent2 2 2 2 5" xfId="1378" xr:uid="{00000000-0005-0000-0000-00007C010000}"/>
    <cellStyle name="20% - Accent2 2 2 2 6" xfId="2656" xr:uid="{00000000-0005-0000-0000-00007D010000}"/>
    <cellStyle name="20% - Accent2 2 2 2 7" xfId="3943" xr:uid="{00000000-0005-0000-0000-00007E010000}"/>
    <cellStyle name="20% - Accent2 2 2 2 8" xfId="5217" xr:uid="{00000000-0005-0000-0000-00007F010000}"/>
    <cellStyle name="20% - Accent2 2 2 3" xfId="298" xr:uid="{00000000-0005-0000-0000-000080010000}"/>
    <cellStyle name="20% - Accent2 2 2 3 2" xfId="724" xr:uid="{00000000-0005-0000-0000-000081010000}"/>
    <cellStyle name="20% - Accent2 2 2 3 2 2" xfId="2016" xr:uid="{00000000-0005-0000-0000-000082010000}"/>
    <cellStyle name="20% - Accent2 2 2 3 2 3" xfId="3294" xr:uid="{00000000-0005-0000-0000-000083010000}"/>
    <cellStyle name="20% - Accent2 2 2 3 2 4" xfId="4581" xr:uid="{00000000-0005-0000-0000-000084010000}"/>
    <cellStyle name="20% - Accent2 2 2 3 3" xfId="1150" xr:uid="{00000000-0005-0000-0000-000085010000}"/>
    <cellStyle name="20% - Accent2 2 2 3 3 2" xfId="2442" xr:uid="{00000000-0005-0000-0000-000086010000}"/>
    <cellStyle name="20% - Accent2 2 2 3 3 3" xfId="3720" xr:uid="{00000000-0005-0000-0000-000087010000}"/>
    <cellStyle name="20% - Accent2 2 2 3 3 4" xfId="5007" xr:uid="{00000000-0005-0000-0000-000088010000}"/>
    <cellStyle name="20% - Accent2 2 2 3 4" xfId="1590" xr:uid="{00000000-0005-0000-0000-000089010000}"/>
    <cellStyle name="20% - Accent2 2 2 3 5" xfId="2868" xr:uid="{00000000-0005-0000-0000-00008A010000}"/>
    <cellStyle name="20% - Accent2 2 2 3 6" xfId="4155" xr:uid="{00000000-0005-0000-0000-00008B010000}"/>
    <cellStyle name="20% - Accent2 2 2 4" xfId="511" xr:uid="{00000000-0005-0000-0000-00008C010000}"/>
    <cellStyle name="20% - Accent2 2 2 4 2" xfId="1803" xr:uid="{00000000-0005-0000-0000-00008D010000}"/>
    <cellStyle name="20% - Accent2 2 2 4 3" xfId="3081" xr:uid="{00000000-0005-0000-0000-00008E010000}"/>
    <cellStyle name="20% - Accent2 2 2 4 4" xfId="4368" xr:uid="{00000000-0005-0000-0000-00008F010000}"/>
    <cellStyle name="20% - Accent2 2 2 5" xfId="937" xr:uid="{00000000-0005-0000-0000-000090010000}"/>
    <cellStyle name="20% - Accent2 2 2 5 2" xfId="2229" xr:uid="{00000000-0005-0000-0000-000091010000}"/>
    <cellStyle name="20% - Accent2 2 2 5 3" xfId="3507" xr:uid="{00000000-0005-0000-0000-000092010000}"/>
    <cellStyle name="20% - Accent2 2 2 5 4" xfId="4794" xr:uid="{00000000-0005-0000-0000-000093010000}"/>
    <cellStyle name="20% - Accent2 2 2 6" xfId="1377" xr:uid="{00000000-0005-0000-0000-000094010000}"/>
    <cellStyle name="20% - Accent2 2 2 7" xfId="2655" xr:uid="{00000000-0005-0000-0000-000095010000}"/>
    <cellStyle name="20% - Accent2 2 2 8" xfId="3942" xr:uid="{00000000-0005-0000-0000-000096010000}"/>
    <cellStyle name="20% - Accent2 2 2 9" xfId="5216" xr:uid="{00000000-0005-0000-0000-000097010000}"/>
    <cellStyle name="20% - Accent2 2 3" xfId="95" xr:uid="{00000000-0005-0000-0000-000098010000}"/>
    <cellStyle name="20% - Accent2 2 3 2" xfId="300" xr:uid="{00000000-0005-0000-0000-000099010000}"/>
    <cellStyle name="20% - Accent2 2 3 2 2" xfId="726" xr:uid="{00000000-0005-0000-0000-00009A010000}"/>
    <cellStyle name="20% - Accent2 2 3 2 2 2" xfId="2018" xr:uid="{00000000-0005-0000-0000-00009B010000}"/>
    <cellStyle name="20% - Accent2 2 3 2 2 3" xfId="3296" xr:uid="{00000000-0005-0000-0000-00009C010000}"/>
    <cellStyle name="20% - Accent2 2 3 2 2 4" xfId="4583" xr:uid="{00000000-0005-0000-0000-00009D010000}"/>
    <cellStyle name="20% - Accent2 2 3 2 3" xfId="1152" xr:uid="{00000000-0005-0000-0000-00009E010000}"/>
    <cellStyle name="20% - Accent2 2 3 2 3 2" xfId="2444" xr:uid="{00000000-0005-0000-0000-00009F010000}"/>
    <cellStyle name="20% - Accent2 2 3 2 3 3" xfId="3722" xr:uid="{00000000-0005-0000-0000-0000A0010000}"/>
    <cellStyle name="20% - Accent2 2 3 2 3 4" xfId="5009" xr:uid="{00000000-0005-0000-0000-0000A1010000}"/>
    <cellStyle name="20% - Accent2 2 3 2 4" xfId="1592" xr:uid="{00000000-0005-0000-0000-0000A2010000}"/>
    <cellStyle name="20% - Accent2 2 3 2 5" xfId="2870" xr:uid="{00000000-0005-0000-0000-0000A3010000}"/>
    <cellStyle name="20% - Accent2 2 3 2 6" xfId="4157" xr:uid="{00000000-0005-0000-0000-0000A4010000}"/>
    <cellStyle name="20% - Accent2 2 3 3" xfId="513" xr:uid="{00000000-0005-0000-0000-0000A5010000}"/>
    <cellStyle name="20% - Accent2 2 3 3 2" xfId="1805" xr:uid="{00000000-0005-0000-0000-0000A6010000}"/>
    <cellStyle name="20% - Accent2 2 3 3 3" xfId="3083" xr:uid="{00000000-0005-0000-0000-0000A7010000}"/>
    <cellStyle name="20% - Accent2 2 3 3 4" xfId="4370" xr:uid="{00000000-0005-0000-0000-0000A8010000}"/>
    <cellStyle name="20% - Accent2 2 3 4" xfId="939" xr:uid="{00000000-0005-0000-0000-0000A9010000}"/>
    <cellStyle name="20% - Accent2 2 3 4 2" xfId="2231" xr:uid="{00000000-0005-0000-0000-0000AA010000}"/>
    <cellStyle name="20% - Accent2 2 3 4 3" xfId="3509" xr:uid="{00000000-0005-0000-0000-0000AB010000}"/>
    <cellStyle name="20% - Accent2 2 3 4 4" xfId="4796" xr:uid="{00000000-0005-0000-0000-0000AC010000}"/>
    <cellStyle name="20% - Accent2 2 3 5" xfId="1379" xr:uid="{00000000-0005-0000-0000-0000AD010000}"/>
    <cellStyle name="20% - Accent2 2 3 6" xfId="2657" xr:uid="{00000000-0005-0000-0000-0000AE010000}"/>
    <cellStyle name="20% - Accent2 2 3 7" xfId="3944" xr:uid="{00000000-0005-0000-0000-0000AF010000}"/>
    <cellStyle name="20% - Accent2 2 3 8" xfId="5218" xr:uid="{00000000-0005-0000-0000-0000B0010000}"/>
    <cellStyle name="20% - Accent2 2 4" xfId="96" xr:uid="{00000000-0005-0000-0000-0000B1010000}"/>
    <cellStyle name="20% - Accent2 2 4 2" xfId="301" xr:uid="{00000000-0005-0000-0000-0000B2010000}"/>
    <cellStyle name="20% - Accent2 2 4 2 2" xfId="727" xr:uid="{00000000-0005-0000-0000-0000B3010000}"/>
    <cellStyle name="20% - Accent2 2 4 2 2 2" xfId="2019" xr:uid="{00000000-0005-0000-0000-0000B4010000}"/>
    <cellStyle name="20% - Accent2 2 4 2 2 3" xfId="3297" xr:uid="{00000000-0005-0000-0000-0000B5010000}"/>
    <cellStyle name="20% - Accent2 2 4 2 2 4" xfId="4584" xr:uid="{00000000-0005-0000-0000-0000B6010000}"/>
    <cellStyle name="20% - Accent2 2 4 2 3" xfId="1153" xr:uid="{00000000-0005-0000-0000-0000B7010000}"/>
    <cellStyle name="20% - Accent2 2 4 2 3 2" xfId="2445" xr:uid="{00000000-0005-0000-0000-0000B8010000}"/>
    <cellStyle name="20% - Accent2 2 4 2 3 3" xfId="3723" xr:uid="{00000000-0005-0000-0000-0000B9010000}"/>
    <cellStyle name="20% - Accent2 2 4 2 3 4" xfId="5010" xr:uid="{00000000-0005-0000-0000-0000BA010000}"/>
    <cellStyle name="20% - Accent2 2 4 2 4" xfId="1593" xr:uid="{00000000-0005-0000-0000-0000BB010000}"/>
    <cellStyle name="20% - Accent2 2 4 2 5" xfId="2871" xr:uid="{00000000-0005-0000-0000-0000BC010000}"/>
    <cellStyle name="20% - Accent2 2 4 2 6" xfId="4158" xr:uid="{00000000-0005-0000-0000-0000BD010000}"/>
    <cellStyle name="20% - Accent2 2 4 3" xfId="514" xr:uid="{00000000-0005-0000-0000-0000BE010000}"/>
    <cellStyle name="20% - Accent2 2 4 3 2" xfId="1806" xr:uid="{00000000-0005-0000-0000-0000BF010000}"/>
    <cellStyle name="20% - Accent2 2 4 3 3" xfId="3084" xr:uid="{00000000-0005-0000-0000-0000C0010000}"/>
    <cellStyle name="20% - Accent2 2 4 3 4" xfId="4371" xr:uid="{00000000-0005-0000-0000-0000C1010000}"/>
    <cellStyle name="20% - Accent2 2 4 4" xfId="940" xr:uid="{00000000-0005-0000-0000-0000C2010000}"/>
    <cellStyle name="20% - Accent2 2 4 4 2" xfId="2232" xr:uid="{00000000-0005-0000-0000-0000C3010000}"/>
    <cellStyle name="20% - Accent2 2 4 4 3" xfId="3510" xr:uid="{00000000-0005-0000-0000-0000C4010000}"/>
    <cellStyle name="20% - Accent2 2 4 4 4" xfId="4797" xr:uid="{00000000-0005-0000-0000-0000C5010000}"/>
    <cellStyle name="20% - Accent2 2 4 5" xfId="1380" xr:uid="{00000000-0005-0000-0000-0000C6010000}"/>
    <cellStyle name="20% - Accent2 2 4 6" xfId="2658" xr:uid="{00000000-0005-0000-0000-0000C7010000}"/>
    <cellStyle name="20% - Accent2 2 4 7" xfId="3945" xr:uid="{00000000-0005-0000-0000-0000C8010000}"/>
    <cellStyle name="20% - Accent2 2 5" xfId="97" xr:uid="{00000000-0005-0000-0000-0000C9010000}"/>
    <cellStyle name="20% - Accent2 2 5 2" xfId="302" xr:uid="{00000000-0005-0000-0000-0000CA010000}"/>
    <cellStyle name="20% - Accent2 2 5 2 2" xfId="728" xr:uid="{00000000-0005-0000-0000-0000CB010000}"/>
    <cellStyle name="20% - Accent2 2 5 2 2 2" xfId="2020" xr:uid="{00000000-0005-0000-0000-0000CC010000}"/>
    <cellStyle name="20% - Accent2 2 5 2 2 3" xfId="3298" xr:uid="{00000000-0005-0000-0000-0000CD010000}"/>
    <cellStyle name="20% - Accent2 2 5 2 2 4" xfId="4585" xr:uid="{00000000-0005-0000-0000-0000CE010000}"/>
    <cellStyle name="20% - Accent2 2 5 2 3" xfId="1154" xr:uid="{00000000-0005-0000-0000-0000CF010000}"/>
    <cellStyle name="20% - Accent2 2 5 2 3 2" xfId="2446" xr:uid="{00000000-0005-0000-0000-0000D0010000}"/>
    <cellStyle name="20% - Accent2 2 5 2 3 3" xfId="3724" xr:uid="{00000000-0005-0000-0000-0000D1010000}"/>
    <cellStyle name="20% - Accent2 2 5 2 3 4" xfId="5011" xr:uid="{00000000-0005-0000-0000-0000D2010000}"/>
    <cellStyle name="20% - Accent2 2 5 2 4" xfId="1594" xr:uid="{00000000-0005-0000-0000-0000D3010000}"/>
    <cellStyle name="20% - Accent2 2 5 2 5" xfId="2872" xr:uid="{00000000-0005-0000-0000-0000D4010000}"/>
    <cellStyle name="20% - Accent2 2 5 2 6" xfId="4159" xr:uid="{00000000-0005-0000-0000-0000D5010000}"/>
    <cellStyle name="20% - Accent2 2 5 3" xfId="515" xr:uid="{00000000-0005-0000-0000-0000D6010000}"/>
    <cellStyle name="20% - Accent2 2 5 3 2" xfId="1807" xr:uid="{00000000-0005-0000-0000-0000D7010000}"/>
    <cellStyle name="20% - Accent2 2 5 3 3" xfId="3085" xr:uid="{00000000-0005-0000-0000-0000D8010000}"/>
    <cellStyle name="20% - Accent2 2 5 3 4" xfId="4372" xr:uid="{00000000-0005-0000-0000-0000D9010000}"/>
    <cellStyle name="20% - Accent2 2 5 4" xfId="941" xr:uid="{00000000-0005-0000-0000-0000DA010000}"/>
    <cellStyle name="20% - Accent2 2 5 4 2" xfId="2233" xr:uid="{00000000-0005-0000-0000-0000DB010000}"/>
    <cellStyle name="20% - Accent2 2 5 4 3" xfId="3511" xr:uid="{00000000-0005-0000-0000-0000DC010000}"/>
    <cellStyle name="20% - Accent2 2 5 4 4" xfId="4798" xr:uid="{00000000-0005-0000-0000-0000DD010000}"/>
    <cellStyle name="20% - Accent2 2 5 5" xfId="1381" xr:uid="{00000000-0005-0000-0000-0000DE010000}"/>
    <cellStyle name="20% - Accent2 2 5 6" xfId="2659" xr:uid="{00000000-0005-0000-0000-0000DF010000}"/>
    <cellStyle name="20% - Accent2 2 5 7" xfId="3946" xr:uid="{00000000-0005-0000-0000-0000E0010000}"/>
    <cellStyle name="20% - Accent2 2 6" xfId="271" xr:uid="{00000000-0005-0000-0000-0000E1010000}"/>
    <cellStyle name="20% - Accent2 2 6 2" xfId="484" xr:uid="{00000000-0005-0000-0000-0000E2010000}"/>
    <cellStyle name="20% - Accent2 2 6 2 2" xfId="909" xr:uid="{00000000-0005-0000-0000-0000E3010000}"/>
    <cellStyle name="20% - Accent2 2 6 2 2 2" xfId="2201" xr:uid="{00000000-0005-0000-0000-0000E4010000}"/>
    <cellStyle name="20% - Accent2 2 6 2 2 3" xfId="3479" xr:uid="{00000000-0005-0000-0000-0000E5010000}"/>
    <cellStyle name="20% - Accent2 2 6 2 2 4" xfId="4766" xr:uid="{00000000-0005-0000-0000-0000E6010000}"/>
    <cellStyle name="20% - Accent2 2 6 2 3" xfId="1335" xr:uid="{00000000-0005-0000-0000-0000E7010000}"/>
    <cellStyle name="20% - Accent2 2 6 2 3 2" xfId="2627" xr:uid="{00000000-0005-0000-0000-0000E8010000}"/>
    <cellStyle name="20% - Accent2 2 6 2 3 3" xfId="3905" xr:uid="{00000000-0005-0000-0000-0000E9010000}"/>
    <cellStyle name="20% - Accent2 2 6 2 3 4" xfId="5192" xr:uid="{00000000-0005-0000-0000-0000EA010000}"/>
    <cellStyle name="20% - Accent2 2 6 2 4" xfId="1775" xr:uid="{00000000-0005-0000-0000-0000EB010000}"/>
    <cellStyle name="20% - Accent2 2 6 2 5" xfId="3053" xr:uid="{00000000-0005-0000-0000-0000EC010000}"/>
    <cellStyle name="20% - Accent2 2 6 2 6" xfId="4340" xr:uid="{00000000-0005-0000-0000-0000ED010000}"/>
    <cellStyle name="20% - Accent2 2 6 3" xfId="696" xr:uid="{00000000-0005-0000-0000-0000EE010000}"/>
    <cellStyle name="20% - Accent2 2 6 3 2" xfId="1988" xr:uid="{00000000-0005-0000-0000-0000EF010000}"/>
    <cellStyle name="20% - Accent2 2 6 3 3" xfId="3266" xr:uid="{00000000-0005-0000-0000-0000F0010000}"/>
    <cellStyle name="20% - Accent2 2 6 3 4" xfId="4553" xr:uid="{00000000-0005-0000-0000-0000F1010000}"/>
    <cellStyle name="20% - Accent2 2 6 4" xfId="1122" xr:uid="{00000000-0005-0000-0000-0000F2010000}"/>
    <cellStyle name="20% - Accent2 2 6 4 2" xfId="2414" xr:uid="{00000000-0005-0000-0000-0000F3010000}"/>
    <cellStyle name="20% - Accent2 2 6 4 3" xfId="3692" xr:uid="{00000000-0005-0000-0000-0000F4010000}"/>
    <cellStyle name="20% - Accent2 2 6 4 4" xfId="4979" xr:uid="{00000000-0005-0000-0000-0000F5010000}"/>
    <cellStyle name="20% - Accent2 2 6 5" xfId="1562" xr:uid="{00000000-0005-0000-0000-0000F6010000}"/>
    <cellStyle name="20% - Accent2 2 6 6" xfId="2840" xr:uid="{00000000-0005-0000-0000-0000F7010000}"/>
    <cellStyle name="20% - Accent2 2 6 7" xfId="4127" xr:uid="{00000000-0005-0000-0000-0000F8010000}"/>
    <cellStyle name="20% - Accent2 2 7" xfId="297" xr:uid="{00000000-0005-0000-0000-0000F9010000}"/>
    <cellStyle name="20% - Accent2 2 7 2" xfId="723" xr:uid="{00000000-0005-0000-0000-0000FA010000}"/>
    <cellStyle name="20% - Accent2 2 7 2 2" xfId="2015" xr:uid="{00000000-0005-0000-0000-0000FB010000}"/>
    <cellStyle name="20% - Accent2 2 7 2 3" xfId="3293" xr:uid="{00000000-0005-0000-0000-0000FC010000}"/>
    <cellStyle name="20% - Accent2 2 7 2 4" xfId="4580" xr:uid="{00000000-0005-0000-0000-0000FD010000}"/>
    <cellStyle name="20% - Accent2 2 7 3" xfId="1149" xr:uid="{00000000-0005-0000-0000-0000FE010000}"/>
    <cellStyle name="20% - Accent2 2 7 3 2" xfId="2441" xr:uid="{00000000-0005-0000-0000-0000FF010000}"/>
    <cellStyle name="20% - Accent2 2 7 3 3" xfId="3719" xr:uid="{00000000-0005-0000-0000-000000020000}"/>
    <cellStyle name="20% - Accent2 2 7 3 4" xfId="5006" xr:uid="{00000000-0005-0000-0000-000001020000}"/>
    <cellStyle name="20% - Accent2 2 7 4" xfId="1589" xr:uid="{00000000-0005-0000-0000-000002020000}"/>
    <cellStyle name="20% - Accent2 2 7 5" xfId="2867" xr:uid="{00000000-0005-0000-0000-000003020000}"/>
    <cellStyle name="20% - Accent2 2 7 6" xfId="4154" xr:uid="{00000000-0005-0000-0000-000004020000}"/>
    <cellStyle name="20% - Accent2 2 8" xfId="510" xr:uid="{00000000-0005-0000-0000-000005020000}"/>
    <cellStyle name="20% - Accent2 2 8 2" xfId="1802" xr:uid="{00000000-0005-0000-0000-000006020000}"/>
    <cellStyle name="20% - Accent2 2 8 3" xfId="3080" xr:uid="{00000000-0005-0000-0000-000007020000}"/>
    <cellStyle name="20% - Accent2 2 8 4" xfId="4367" xr:uid="{00000000-0005-0000-0000-000008020000}"/>
    <cellStyle name="20% - Accent2 2 9" xfId="936" xr:uid="{00000000-0005-0000-0000-000009020000}"/>
    <cellStyle name="20% - Accent2 2 9 2" xfId="2228" xr:uid="{00000000-0005-0000-0000-00000A020000}"/>
    <cellStyle name="20% - Accent2 2 9 3" xfId="3506" xr:uid="{00000000-0005-0000-0000-00000B020000}"/>
    <cellStyle name="20% - Accent2 2 9 4" xfId="4793" xr:uid="{00000000-0005-0000-0000-00000C020000}"/>
    <cellStyle name="20% - Accent2 3" xfId="98" xr:uid="{00000000-0005-0000-0000-00000D020000}"/>
    <cellStyle name="20% - Accent2 3 2" xfId="99" xr:uid="{00000000-0005-0000-0000-00000E020000}"/>
    <cellStyle name="20% - Accent2 3 2 2" xfId="304" xr:uid="{00000000-0005-0000-0000-00000F020000}"/>
    <cellStyle name="20% - Accent2 3 2 2 2" xfId="730" xr:uid="{00000000-0005-0000-0000-000010020000}"/>
    <cellStyle name="20% - Accent2 3 2 2 2 2" xfId="2022" xr:uid="{00000000-0005-0000-0000-000011020000}"/>
    <cellStyle name="20% - Accent2 3 2 2 2 3" xfId="3300" xr:uid="{00000000-0005-0000-0000-000012020000}"/>
    <cellStyle name="20% - Accent2 3 2 2 2 4" xfId="4587" xr:uid="{00000000-0005-0000-0000-000013020000}"/>
    <cellStyle name="20% - Accent2 3 2 2 3" xfId="1156" xr:uid="{00000000-0005-0000-0000-000014020000}"/>
    <cellStyle name="20% - Accent2 3 2 2 3 2" xfId="2448" xr:uid="{00000000-0005-0000-0000-000015020000}"/>
    <cellStyle name="20% - Accent2 3 2 2 3 3" xfId="3726" xr:uid="{00000000-0005-0000-0000-000016020000}"/>
    <cellStyle name="20% - Accent2 3 2 2 3 4" xfId="5013" xr:uid="{00000000-0005-0000-0000-000017020000}"/>
    <cellStyle name="20% - Accent2 3 2 2 4" xfId="1596" xr:uid="{00000000-0005-0000-0000-000018020000}"/>
    <cellStyle name="20% - Accent2 3 2 2 5" xfId="2874" xr:uid="{00000000-0005-0000-0000-000019020000}"/>
    <cellStyle name="20% - Accent2 3 2 2 6" xfId="4161" xr:uid="{00000000-0005-0000-0000-00001A020000}"/>
    <cellStyle name="20% - Accent2 3 2 3" xfId="517" xr:uid="{00000000-0005-0000-0000-00001B020000}"/>
    <cellStyle name="20% - Accent2 3 2 3 2" xfId="1809" xr:uid="{00000000-0005-0000-0000-00001C020000}"/>
    <cellStyle name="20% - Accent2 3 2 3 3" xfId="3087" xr:uid="{00000000-0005-0000-0000-00001D020000}"/>
    <cellStyle name="20% - Accent2 3 2 3 4" xfId="4374" xr:uid="{00000000-0005-0000-0000-00001E020000}"/>
    <cellStyle name="20% - Accent2 3 2 4" xfId="943" xr:uid="{00000000-0005-0000-0000-00001F020000}"/>
    <cellStyle name="20% - Accent2 3 2 4 2" xfId="2235" xr:uid="{00000000-0005-0000-0000-000020020000}"/>
    <cellStyle name="20% - Accent2 3 2 4 3" xfId="3513" xr:uid="{00000000-0005-0000-0000-000021020000}"/>
    <cellStyle name="20% - Accent2 3 2 4 4" xfId="4800" xr:uid="{00000000-0005-0000-0000-000022020000}"/>
    <cellStyle name="20% - Accent2 3 2 5" xfId="1383" xr:uid="{00000000-0005-0000-0000-000023020000}"/>
    <cellStyle name="20% - Accent2 3 2 6" xfId="2661" xr:uid="{00000000-0005-0000-0000-000024020000}"/>
    <cellStyle name="20% - Accent2 3 2 7" xfId="3948" xr:uid="{00000000-0005-0000-0000-000025020000}"/>
    <cellStyle name="20% - Accent2 3 2 8" xfId="5220" xr:uid="{00000000-0005-0000-0000-000026020000}"/>
    <cellStyle name="20% - Accent2 3 3" xfId="303" xr:uid="{00000000-0005-0000-0000-000027020000}"/>
    <cellStyle name="20% - Accent2 3 3 2" xfId="729" xr:uid="{00000000-0005-0000-0000-000028020000}"/>
    <cellStyle name="20% - Accent2 3 3 2 2" xfId="2021" xr:uid="{00000000-0005-0000-0000-000029020000}"/>
    <cellStyle name="20% - Accent2 3 3 2 3" xfId="3299" xr:uid="{00000000-0005-0000-0000-00002A020000}"/>
    <cellStyle name="20% - Accent2 3 3 2 4" xfId="4586" xr:uid="{00000000-0005-0000-0000-00002B020000}"/>
    <cellStyle name="20% - Accent2 3 3 3" xfId="1155" xr:uid="{00000000-0005-0000-0000-00002C020000}"/>
    <cellStyle name="20% - Accent2 3 3 3 2" xfId="2447" xr:uid="{00000000-0005-0000-0000-00002D020000}"/>
    <cellStyle name="20% - Accent2 3 3 3 3" xfId="3725" xr:uid="{00000000-0005-0000-0000-00002E020000}"/>
    <cellStyle name="20% - Accent2 3 3 3 4" xfId="5012" xr:uid="{00000000-0005-0000-0000-00002F020000}"/>
    <cellStyle name="20% - Accent2 3 3 4" xfId="1595" xr:uid="{00000000-0005-0000-0000-000030020000}"/>
    <cellStyle name="20% - Accent2 3 3 5" xfId="2873" xr:uid="{00000000-0005-0000-0000-000031020000}"/>
    <cellStyle name="20% - Accent2 3 3 6" xfId="4160" xr:uid="{00000000-0005-0000-0000-000032020000}"/>
    <cellStyle name="20% - Accent2 3 4" xfId="516" xr:uid="{00000000-0005-0000-0000-000033020000}"/>
    <cellStyle name="20% - Accent2 3 4 2" xfId="1808" xr:uid="{00000000-0005-0000-0000-000034020000}"/>
    <cellStyle name="20% - Accent2 3 4 3" xfId="3086" xr:uid="{00000000-0005-0000-0000-000035020000}"/>
    <cellStyle name="20% - Accent2 3 4 4" xfId="4373" xr:uid="{00000000-0005-0000-0000-000036020000}"/>
    <cellStyle name="20% - Accent2 3 5" xfId="942" xr:uid="{00000000-0005-0000-0000-000037020000}"/>
    <cellStyle name="20% - Accent2 3 5 2" xfId="2234" xr:uid="{00000000-0005-0000-0000-000038020000}"/>
    <cellStyle name="20% - Accent2 3 5 3" xfId="3512" xr:uid="{00000000-0005-0000-0000-000039020000}"/>
    <cellStyle name="20% - Accent2 3 5 4" xfId="4799" xr:uid="{00000000-0005-0000-0000-00003A020000}"/>
    <cellStyle name="20% - Accent2 3 6" xfId="1382" xr:uid="{00000000-0005-0000-0000-00003B020000}"/>
    <cellStyle name="20% - Accent2 3 7" xfId="2660" xr:uid="{00000000-0005-0000-0000-00003C020000}"/>
    <cellStyle name="20% - Accent2 3 8" xfId="3947" xr:uid="{00000000-0005-0000-0000-00003D020000}"/>
    <cellStyle name="20% - Accent2 3 9" xfId="5219" xr:uid="{00000000-0005-0000-0000-00003E020000}"/>
    <cellStyle name="20% - Accent2 4" xfId="100" xr:uid="{00000000-0005-0000-0000-00003F020000}"/>
    <cellStyle name="20% - Accent2 4 2" xfId="305" xr:uid="{00000000-0005-0000-0000-000040020000}"/>
    <cellStyle name="20% - Accent2 4 2 2" xfId="731" xr:uid="{00000000-0005-0000-0000-000041020000}"/>
    <cellStyle name="20% - Accent2 4 2 2 2" xfId="2023" xr:uid="{00000000-0005-0000-0000-000042020000}"/>
    <cellStyle name="20% - Accent2 4 2 2 3" xfId="3301" xr:uid="{00000000-0005-0000-0000-000043020000}"/>
    <cellStyle name="20% - Accent2 4 2 2 4" xfId="4588" xr:uid="{00000000-0005-0000-0000-000044020000}"/>
    <cellStyle name="20% - Accent2 4 2 3" xfId="1157" xr:uid="{00000000-0005-0000-0000-000045020000}"/>
    <cellStyle name="20% - Accent2 4 2 3 2" xfId="2449" xr:uid="{00000000-0005-0000-0000-000046020000}"/>
    <cellStyle name="20% - Accent2 4 2 3 3" xfId="3727" xr:uid="{00000000-0005-0000-0000-000047020000}"/>
    <cellStyle name="20% - Accent2 4 2 3 4" xfId="5014" xr:uid="{00000000-0005-0000-0000-000048020000}"/>
    <cellStyle name="20% - Accent2 4 2 4" xfId="1597" xr:uid="{00000000-0005-0000-0000-000049020000}"/>
    <cellStyle name="20% - Accent2 4 2 5" xfId="2875" xr:uid="{00000000-0005-0000-0000-00004A020000}"/>
    <cellStyle name="20% - Accent2 4 2 6" xfId="4162" xr:uid="{00000000-0005-0000-0000-00004B020000}"/>
    <cellStyle name="20% - Accent2 4 3" xfId="518" xr:uid="{00000000-0005-0000-0000-00004C020000}"/>
    <cellStyle name="20% - Accent2 4 3 2" xfId="1810" xr:uid="{00000000-0005-0000-0000-00004D020000}"/>
    <cellStyle name="20% - Accent2 4 3 3" xfId="3088" xr:uid="{00000000-0005-0000-0000-00004E020000}"/>
    <cellStyle name="20% - Accent2 4 3 4" xfId="4375" xr:uid="{00000000-0005-0000-0000-00004F020000}"/>
    <cellStyle name="20% - Accent2 4 4" xfId="944" xr:uid="{00000000-0005-0000-0000-000050020000}"/>
    <cellStyle name="20% - Accent2 4 4 2" xfId="2236" xr:uid="{00000000-0005-0000-0000-000051020000}"/>
    <cellStyle name="20% - Accent2 4 4 3" xfId="3514" xr:uid="{00000000-0005-0000-0000-000052020000}"/>
    <cellStyle name="20% - Accent2 4 4 4" xfId="4801" xr:uid="{00000000-0005-0000-0000-000053020000}"/>
    <cellStyle name="20% - Accent2 4 5" xfId="1384" xr:uid="{00000000-0005-0000-0000-000054020000}"/>
    <cellStyle name="20% - Accent2 4 6" xfId="2662" xr:uid="{00000000-0005-0000-0000-000055020000}"/>
    <cellStyle name="20% - Accent2 4 7" xfId="3949" xr:uid="{00000000-0005-0000-0000-000056020000}"/>
    <cellStyle name="20% - Accent2 4 8" xfId="5221" xr:uid="{00000000-0005-0000-0000-000057020000}"/>
    <cellStyle name="20% - Accent2 5" xfId="101" xr:uid="{00000000-0005-0000-0000-000058020000}"/>
    <cellStyle name="20% - Accent2 5 2" xfId="306" xr:uid="{00000000-0005-0000-0000-000059020000}"/>
    <cellStyle name="20% - Accent2 5 2 2" xfId="732" xr:uid="{00000000-0005-0000-0000-00005A020000}"/>
    <cellStyle name="20% - Accent2 5 2 2 2" xfId="2024" xr:uid="{00000000-0005-0000-0000-00005B020000}"/>
    <cellStyle name="20% - Accent2 5 2 2 3" xfId="3302" xr:uid="{00000000-0005-0000-0000-00005C020000}"/>
    <cellStyle name="20% - Accent2 5 2 2 4" xfId="4589" xr:uid="{00000000-0005-0000-0000-00005D020000}"/>
    <cellStyle name="20% - Accent2 5 2 3" xfId="1158" xr:uid="{00000000-0005-0000-0000-00005E020000}"/>
    <cellStyle name="20% - Accent2 5 2 3 2" xfId="2450" xr:uid="{00000000-0005-0000-0000-00005F020000}"/>
    <cellStyle name="20% - Accent2 5 2 3 3" xfId="3728" xr:uid="{00000000-0005-0000-0000-000060020000}"/>
    <cellStyle name="20% - Accent2 5 2 3 4" xfId="5015" xr:uid="{00000000-0005-0000-0000-000061020000}"/>
    <cellStyle name="20% - Accent2 5 2 4" xfId="1598" xr:uid="{00000000-0005-0000-0000-000062020000}"/>
    <cellStyle name="20% - Accent2 5 2 5" xfId="2876" xr:uid="{00000000-0005-0000-0000-000063020000}"/>
    <cellStyle name="20% - Accent2 5 2 6" xfId="4163" xr:uid="{00000000-0005-0000-0000-000064020000}"/>
    <cellStyle name="20% - Accent2 5 3" xfId="519" xr:uid="{00000000-0005-0000-0000-000065020000}"/>
    <cellStyle name="20% - Accent2 5 3 2" xfId="1811" xr:uid="{00000000-0005-0000-0000-000066020000}"/>
    <cellStyle name="20% - Accent2 5 3 3" xfId="3089" xr:uid="{00000000-0005-0000-0000-000067020000}"/>
    <cellStyle name="20% - Accent2 5 3 4" xfId="4376" xr:uid="{00000000-0005-0000-0000-000068020000}"/>
    <cellStyle name="20% - Accent2 5 4" xfId="945" xr:uid="{00000000-0005-0000-0000-000069020000}"/>
    <cellStyle name="20% - Accent2 5 4 2" xfId="2237" xr:uid="{00000000-0005-0000-0000-00006A020000}"/>
    <cellStyle name="20% - Accent2 5 4 3" xfId="3515" xr:uid="{00000000-0005-0000-0000-00006B020000}"/>
    <cellStyle name="20% - Accent2 5 4 4" xfId="4802" xr:uid="{00000000-0005-0000-0000-00006C020000}"/>
    <cellStyle name="20% - Accent2 5 5" xfId="1385" xr:uid="{00000000-0005-0000-0000-00006D020000}"/>
    <cellStyle name="20% - Accent2 5 6" xfId="2663" xr:uid="{00000000-0005-0000-0000-00006E020000}"/>
    <cellStyle name="20% - Accent2 5 7" xfId="3950" xr:uid="{00000000-0005-0000-0000-00006F020000}"/>
    <cellStyle name="20% - Accent2 6" xfId="102" xr:uid="{00000000-0005-0000-0000-000070020000}"/>
    <cellStyle name="20% - Accent2 6 2" xfId="307" xr:uid="{00000000-0005-0000-0000-000071020000}"/>
    <cellStyle name="20% - Accent2 6 2 2" xfId="733" xr:uid="{00000000-0005-0000-0000-000072020000}"/>
    <cellStyle name="20% - Accent2 6 2 2 2" xfId="2025" xr:uid="{00000000-0005-0000-0000-000073020000}"/>
    <cellStyle name="20% - Accent2 6 2 2 3" xfId="3303" xr:uid="{00000000-0005-0000-0000-000074020000}"/>
    <cellStyle name="20% - Accent2 6 2 2 4" xfId="4590" xr:uid="{00000000-0005-0000-0000-000075020000}"/>
    <cellStyle name="20% - Accent2 6 2 3" xfId="1159" xr:uid="{00000000-0005-0000-0000-000076020000}"/>
    <cellStyle name="20% - Accent2 6 2 3 2" xfId="2451" xr:uid="{00000000-0005-0000-0000-000077020000}"/>
    <cellStyle name="20% - Accent2 6 2 3 3" xfId="3729" xr:uid="{00000000-0005-0000-0000-000078020000}"/>
    <cellStyle name="20% - Accent2 6 2 3 4" xfId="5016" xr:uid="{00000000-0005-0000-0000-000079020000}"/>
    <cellStyle name="20% - Accent2 6 2 4" xfId="1599" xr:uid="{00000000-0005-0000-0000-00007A020000}"/>
    <cellStyle name="20% - Accent2 6 2 5" xfId="2877" xr:uid="{00000000-0005-0000-0000-00007B020000}"/>
    <cellStyle name="20% - Accent2 6 2 6" xfId="4164" xr:uid="{00000000-0005-0000-0000-00007C020000}"/>
    <cellStyle name="20% - Accent2 6 3" xfId="520" xr:uid="{00000000-0005-0000-0000-00007D020000}"/>
    <cellStyle name="20% - Accent2 6 3 2" xfId="1812" xr:uid="{00000000-0005-0000-0000-00007E020000}"/>
    <cellStyle name="20% - Accent2 6 3 3" xfId="3090" xr:uid="{00000000-0005-0000-0000-00007F020000}"/>
    <cellStyle name="20% - Accent2 6 3 4" xfId="4377" xr:uid="{00000000-0005-0000-0000-000080020000}"/>
    <cellStyle name="20% - Accent2 6 4" xfId="946" xr:uid="{00000000-0005-0000-0000-000081020000}"/>
    <cellStyle name="20% - Accent2 6 4 2" xfId="2238" xr:uid="{00000000-0005-0000-0000-000082020000}"/>
    <cellStyle name="20% - Accent2 6 4 3" xfId="3516" xr:uid="{00000000-0005-0000-0000-000083020000}"/>
    <cellStyle name="20% - Accent2 6 4 4" xfId="4803" xr:uid="{00000000-0005-0000-0000-000084020000}"/>
    <cellStyle name="20% - Accent2 6 5" xfId="1386" xr:uid="{00000000-0005-0000-0000-000085020000}"/>
    <cellStyle name="20% - Accent2 6 6" xfId="2664" xr:uid="{00000000-0005-0000-0000-000086020000}"/>
    <cellStyle name="20% - Accent2 6 7" xfId="3951" xr:uid="{00000000-0005-0000-0000-000087020000}"/>
    <cellStyle name="20% - Accent2 7" xfId="255" xr:uid="{00000000-0005-0000-0000-000088020000}"/>
    <cellStyle name="20% - Accent2 7 2" xfId="468" xr:uid="{00000000-0005-0000-0000-000089020000}"/>
    <cellStyle name="20% - Accent2 7 2 2" xfId="893" xr:uid="{00000000-0005-0000-0000-00008A020000}"/>
    <cellStyle name="20% - Accent2 7 2 2 2" xfId="2185" xr:uid="{00000000-0005-0000-0000-00008B020000}"/>
    <cellStyle name="20% - Accent2 7 2 2 3" xfId="3463" xr:uid="{00000000-0005-0000-0000-00008C020000}"/>
    <cellStyle name="20% - Accent2 7 2 2 4" xfId="4750" xr:uid="{00000000-0005-0000-0000-00008D020000}"/>
    <cellStyle name="20% - Accent2 7 2 3" xfId="1319" xr:uid="{00000000-0005-0000-0000-00008E020000}"/>
    <cellStyle name="20% - Accent2 7 2 3 2" xfId="2611" xr:uid="{00000000-0005-0000-0000-00008F020000}"/>
    <cellStyle name="20% - Accent2 7 2 3 3" xfId="3889" xr:uid="{00000000-0005-0000-0000-000090020000}"/>
    <cellStyle name="20% - Accent2 7 2 3 4" xfId="5176" xr:uid="{00000000-0005-0000-0000-000091020000}"/>
    <cellStyle name="20% - Accent2 7 2 4" xfId="1759" xr:uid="{00000000-0005-0000-0000-000092020000}"/>
    <cellStyle name="20% - Accent2 7 2 5" xfId="3037" xr:uid="{00000000-0005-0000-0000-000093020000}"/>
    <cellStyle name="20% - Accent2 7 2 6" xfId="4324" xr:uid="{00000000-0005-0000-0000-000094020000}"/>
    <cellStyle name="20% - Accent2 7 3" xfId="680" xr:uid="{00000000-0005-0000-0000-000095020000}"/>
    <cellStyle name="20% - Accent2 7 3 2" xfId="1972" xr:uid="{00000000-0005-0000-0000-000096020000}"/>
    <cellStyle name="20% - Accent2 7 3 3" xfId="3250" xr:uid="{00000000-0005-0000-0000-000097020000}"/>
    <cellStyle name="20% - Accent2 7 3 4" xfId="4537" xr:uid="{00000000-0005-0000-0000-000098020000}"/>
    <cellStyle name="20% - Accent2 7 4" xfId="1106" xr:uid="{00000000-0005-0000-0000-000099020000}"/>
    <cellStyle name="20% - Accent2 7 4 2" xfId="2398" xr:uid="{00000000-0005-0000-0000-00009A020000}"/>
    <cellStyle name="20% - Accent2 7 4 3" xfId="3676" xr:uid="{00000000-0005-0000-0000-00009B020000}"/>
    <cellStyle name="20% - Accent2 7 4 4" xfId="4963" xr:uid="{00000000-0005-0000-0000-00009C020000}"/>
    <cellStyle name="20% - Accent2 7 5" xfId="1546" xr:uid="{00000000-0005-0000-0000-00009D020000}"/>
    <cellStyle name="20% - Accent2 7 6" xfId="2824" xr:uid="{00000000-0005-0000-0000-00009E020000}"/>
    <cellStyle name="20% - Accent2 7 7" xfId="4111" xr:uid="{00000000-0005-0000-0000-00009F020000}"/>
    <cellStyle name="20% - Accent2 8" xfId="296" xr:uid="{00000000-0005-0000-0000-0000A0020000}"/>
    <cellStyle name="20% - Accent2 8 2" xfId="722" xr:uid="{00000000-0005-0000-0000-0000A1020000}"/>
    <cellStyle name="20% - Accent2 8 2 2" xfId="2014" xr:uid="{00000000-0005-0000-0000-0000A2020000}"/>
    <cellStyle name="20% - Accent2 8 2 3" xfId="3292" xr:uid="{00000000-0005-0000-0000-0000A3020000}"/>
    <cellStyle name="20% - Accent2 8 2 4" xfId="4579" xr:uid="{00000000-0005-0000-0000-0000A4020000}"/>
    <cellStyle name="20% - Accent2 8 3" xfId="1148" xr:uid="{00000000-0005-0000-0000-0000A5020000}"/>
    <cellStyle name="20% - Accent2 8 3 2" xfId="2440" xr:uid="{00000000-0005-0000-0000-0000A6020000}"/>
    <cellStyle name="20% - Accent2 8 3 3" xfId="3718" xr:uid="{00000000-0005-0000-0000-0000A7020000}"/>
    <cellStyle name="20% - Accent2 8 3 4" xfId="5005" xr:uid="{00000000-0005-0000-0000-0000A8020000}"/>
    <cellStyle name="20% - Accent2 8 4" xfId="1588" xr:uid="{00000000-0005-0000-0000-0000A9020000}"/>
    <cellStyle name="20% - Accent2 8 5" xfId="2866" xr:uid="{00000000-0005-0000-0000-0000AA020000}"/>
    <cellStyle name="20% - Accent2 8 6" xfId="4153" xr:uid="{00000000-0005-0000-0000-0000AB020000}"/>
    <cellStyle name="20% - Accent2 9" xfId="509" xr:uid="{00000000-0005-0000-0000-0000AC020000}"/>
    <cellStyle name="20% - Accent2 9 2" xfId="1801" xr:uid="{00000000-0005-0000-0000-0000AD020000}"/>
    <cellStyle name="20% - Accent2 9 3" xfId="3079" xr:uid="{00000000-0005-0000-0000-0000AE020000}"/>
    <cellStyle name="20% - Accent2 9 4" xfId="4366" xr:uid="{00000000-0005-0000-0000-0000AF020000}"/>
    <cellStyle name="20% - Accent3" xfId="66" builtinId="38" customBuiltin="1"/>
    <cellStyle name="20% - Accent3 10" xfId="947" xr:uid="{00000000-0005-0000-0000-0000B1020000}"/>
    <cellStyle name="20% - Accent3 10 2" xfId="2239" xr:uid="{00000000-0005-0000-0000-0000B2020000}"/>
    <cellStyle name="20% - Accent3 10 3" xfId="3517" xr:uid="{00000000-0005-0000-0000-0000B3020000}"/>
    <cellStyle name="20% - Accent3 10 4" xfId="4804" xr:uid="{00000000-0005-0000-0000-0000B4020000}"/>
    <cellStyle name="20% - Accent3 11" xfId="1387" xr:uid="{00000000-0005-0000-0000-0000B5020000}"/>
    <cellStyle name="20% - Accent3 12" xfId="2665" xr:uid="{00000000-0005-0000-0000-0000B6020000}"/>
    <cellStyle name="20% - Accent3 13" xfId="3952" xr:uid="{00000000-0005-0000-0000-0000B7020000}"/>
    <cellStyle name="20% - Accent3 14" xfId="5222" xr:uid="{00000000-0005-0000-0000-0000B8020000}"/>
    <cellStyle name="20% - Accent3 2" xfId="12" xr:uid="{00000000-0005-0000-0000-0000B9020000}"/>
    <cellStyle name="20% - Accent3 2 10" xfId="1388" xr:uid="{00000000-0005-0000-0000-0000BA020000}"/>
    <cellStyle name="20% - Accent3 2 11" xfId="2666" xr:uid="{00000000-0005-0000-0000-0000BB020000}"/>
    <cellStyle name="20% - Accent3 2 12" xfId="3953" xr:uid="{00000000-0005-0000-0000-0000BC020000}"/>
    <cellStyle name="20% - Accent3 2 13" xfId="5223" xr:uid="{00000000-0005-0000-0000-0000BD020000}"/>
    <cellStyle name="20% - Accent3 2 2" xfId="103" xr:uid="{00000000-0005-0000-0000-0000BE020000}"/>
    <cellStyle name="20% - Accent3 2 2 2" xfId="104" xr:uid="{00000000-0005-0000-0000-0000BF020000}"/>
    <cellStyle name="20% - Accent3 2 2 2 2" xfId="311" xr:uid="{00000000-0005-0000-0000-0000C0020000}"/>
    <cellStyle name="20% - Accent3 2 2 2 2 2" xfId="737" xr:uid="{00000000-0005-0000-0000-0000C1020000}"/>
    <cellStyle name="20% - Accent3 2 2 2 2 2 2" xfId="2029" xr:uid="{00000000-0005-0000-0000-0000C2020000}"/>
    <cellStyle name="20% - Accent3 2 2 2 2 2 3" xfId="3307" xr:uid="{00000000-0005-0000-0000-0000C3020000}"/>
    <cellStyle name="20% - Accent3 2 2 2 2 2 4" xfId="4594" xr:uid="{00000000-0005-0000-0000-0000C4020000}"/>
    <cellStyle name="20% - Accent3 2 2 2 2 3" xfId="1163" xr:uid="{00000000-0005-0000-0000-0000C5020000}"/>
    <cellStyle name="20% - Accent3 2 2 2 2 3 2" xfId="2455" xr:uid="{00000000-0005-0000-0000-0000C6020000}"/>
    <cellStyle name="20% - Accent3 2 2 2 2 3 3" xfId="3733" xr:uid="{00000000-0005-0000-0000-0000C7020000}"/>
    <cellStyle name="20% - Accent3 2 2 2 2 3 4" xfId="5020" xr:uid="{00000000-0005-0000-0000-0000C8020000}"/>
    <cellStyle name="20% - Accent3 2 2 2 2 4" xfId="1603" xr:uid="{00000000-0005-0000-0000-0000C9020000}"/>
    <cellStyle name="20% - Accent3 2 2 2 2 5" xfId="2881" xr:uid="{00000000-0005-0000-0000-0000CA020000}"/>
    <cellStyle name="20% - Accent3 2 2 2 2 6" xfId="4168" xr:uid="{00000000-0005-0000-0000-0000CB020000}"/>
    <cellStyle name="20% - Accent3 2 2 2 3" xfId="524" xr:uid="{00000000-0005-0000-0000-0000CC020000}"/>
    <cellStyle name="20% - Accent3 2 2 2 3 2" xfId="1816" xr:uid="{00000000-0005-0000-0000-0000CD020000}"/>
    <cellStyle name="20% - Accent3 2 2 2 3 3" xfId="3094" xr:uid="{00000000-0005-0000-0000-0000CE020000}"/>
    <cellStyle name="20% - Accent3 2 2 2 3 4" xfId="4381" xr:uid="{00000000-0005-0000-0000-0000CF020000}"/>
    <cellStyle name="20% - Accent3 2 2 2 4" xfId="950" xr:uid="{00000000-0005-0000-0000-0000D0020000}"/>
    <cellStyle name="20% - Accent3 2 2 2 4 2" xfId="2242" xr:uid="{00000000-0005-0000-0000-0000D1020000}"/>
    <cellStyle name="20% - Accent3 2 2 2 4 3" xfId="3520" xr:uid="{00000000-0005-0000-0000-0000D2020000}"/>
    <cellStyle name="20% - Accent3 2 2 2 4 4" xfId="4807" xr:uid="{00000000-0005-0000-0000-0000D3020000}"/>
    <cellStyle name="20% - Accent3 2 2 2 5" xfId="1390" xr:uid="{00000000-0005-0000-0000-0000D4020000}"/>
    <cellStyle name="20% - Accent3 2 2 2 6" xfId="2668" xr:uid="{00000000-0005-0000-0000-0000D5020000}"/>
    <cellStyle name="20% - Accent3 2 2 2 7" xfId="3955" xr:uid="{00000000-0005-0000-0000-0000D6020000}"/>
    <cellStyle name="20% - Accent3 2 2 2 8" xfId="5225" xr:uid="{00000000-0005-0000-0000-0000D7020000}"/>
    <cellStyle name="20% - Accent3 2 2 3" xfId="310" xr:uid="{00000000-0005-0000-0000-0000D8020000}"/>
    <cellStyle name="20% - Accent3 2 2 3 2" xfId="736" xr:uid="{00000000-0005-0000-0000-0000D9020000}"/>
    <cellStyle name="20% - Accent3 2 2 3 2 2" xfId="2028" xr:uid="{00000000-0005-0000-0000-0000DA020000}"/>
    <cellStyle name="20% - Accent3 2 2 3 2 3" xfId="3306" xr:uid="{00000000-0005-0000-0000-0000DB020000}"/>
    <cellStyle name="20% - Accent3 2 2 3 2 4" xfId="4593" xr:uid="{00000000-0005-0000-0000-0000DC020000}"/>
    <cellStyle name="20% - Accent3 2 2 3 3" xfId="1162" xr:uid="{00000000-0005-0000-0000-0000DD020000}"/>
    <cellStyle name="20% - Accent3 2 2 3 3 2" xfId="2454" xr:uid="{00000000-0005-0000-0000-0000DE020000}"/>
    <cellStyle name="20% - Accent3 2 2 3 3 3" xfId="3732" xr:uid="{00000000-0005-0000-0000-0000DF020000}"/>
    <cellStyle name="20% - Accent3 2 2 3 3 4" xfId="5019" xr:uid="{00000000-0005-0000-0000-0000E0020000}"/>
    <cellStyle name="20% - Accent3 2 2 3 4" xfId="1602" xr:uid="{00000000-0005-0000-0000-0000E1020000}"/>
    <cellStyle name="20% - Accent3 2 2 3 5" xfId="2880" xr:uid="{00000000-0005-0000-0000-0000E2020000}"/>
    <cellStyle name="20% - Accent3 2 2 3 6" xfId="4167" xr:uid="{00000000-0005-0000-0000-0000E3020000}"/>
    <cellStyle name="20% - Accent3 2 2 4" xfId="523" xr:uid="{00000000-0005-0000-0000-0000E4020000}"/>
    <cellStyle name="20% - Accent3 2 2 4 2" xfId="1815" xr:uid="{00000000-0005-0000-0000-0000E5020000}"/>
    <cellStyle name="20% - Accent3 2 2 4 3" xfId="3093" xr:uid="{00000000-0005-0000-0000-0000E6020000}"/>
    <cellStyle name="20% - Accent3 2 2 4 4" xfId="4380" xr:uid="{00000000-0005-0000-0000-0000E7020000}"/>
    <cellStyle name="20% - Accent3 2 2 5" xfId="949" xr:uid="{00000000-0005-0000-0000-0000E8020000}"/>
    <cellStyle name="20% - Accent3 2 2 5 2" xfId="2241" xr:uid="{00000000-0005-0000-0000-0000E9020000}"/>
    <cellStyle name="20% - Accent3 2 2 5 3" xfId="3519" xr:uid="{00000000-0005-0000-0000-0000EA020000}"/>
    <cellStyle name="20% - Accent3 2 2 5 4" xfId="4806" xr:uid="{00000000-0005-0000-0000-0000EB020000}"/>
    <cellStyle name="20% - Accent3 2 2 6" xfId="1389" xr:uid="{00000000-0005-0000-0000-0000EC020000}"/>
    <cellStyle name="20% - Accent3 2 2 7" xfId="2667" xr:uid="{00000000-0005-0000-0000-0000ED020000}"/>
    <cellStyle name="20% - Accent3 2 2 8" xfId="3954" xr:uid="{00000000-0005-0000-0000-0000EE020000}"/>
    <cellStyle name="20% - Accent3 2 2 9" xfId="5224" xr:uid="{00000000-0005-0000-0000-0000EF020000}"/>
    <cellStyle name="20% - Accent3 2 3" xfId="105" xr:uid="{00000000-0005-0000-0000-0000F0020000}"/>
    <cellStyle name="20% - Accent3 2 3 2" xfId="312" xr:uid="{00000000-0005-0000-0000-0000F1020000}"/>
    <cellStyle name="20% - Accent3 2 3 2 2" xfId="738" xr:uid="{00000000-0005-0000-0000-0000F2020000}"/>
    <cellStyle name="20% - Accent3 2 3 2 2 2" xfId="2030" xr:uid="{00000000-0005-0000-0000-0000F3020000}"/>
    <cellStyle name="20% - Accent3 2 3 2 2 3" xfId="3308" xr:uid="{00000000-0005-0000-0000-0000F4020000}"/>
    <cellStyle name="20% - Accent3 2 3 2 2 4" xfId="4595" xr:uid="{00000000-0005-0000-0000-0000F5020000}"/>
    <cellStyle name="20% - Accent3 2 3 2 3" xfId="1164" xr:uid="{00000000-0005-0000-0000-0000F6020000}"/>
    <cellStyle name="20% - Accent3 2 3 2 3 2" xfId="2456" xr:uid="{00000000-0005-0000-0000-0000F7020000}"/>
    <cellStyle name="20% - Accent3 2 3 2 3 3" xfId="3734" xr:uid="{00000000-0005-0000-0000-0000F8020000}"/>
    <cellStyle name="20% - Accent3 2 3 2 3 4" xfId="5021" xr:uid="{00000000-0005-0000-0000-0000F9020000}"/>
    <cellStyle name="20% - Accent3 2 3 2 4" xfId="1604" xr:uid="{00000000-0005-0000-0000-0000FA020000}"/>
    <cellStyle name="20% - Accent3 2 3 2 5" xfId="2882" xr:uid="{00000000-0005-0000-0000-0000FB020000}"/>
    <cellStyle name="20% - Accent3 2 3 2 6" xfId="4169" xr:uid="{00000000-0005-0000-0000-0000FC020000}"/>
    <cellStyle name="20% - Accent3 2 3 3" xfId="525" xr:uid="{00000000-0005-0000-0000-0000FD020000}"/>
    <cellStyle name="20% - Accent3 2 3 3 2" xfId="1817" xr:uid="{00000000-0005-0000-0000-0000FE020000}"/>
    <cellStyle name="20% - Accent3 2 3 3 3" xfId="3095" xr:uid="{00000000-0005-0000-0000-0000FF020000}"/>
    <cellStyle name="20% - Accent3 2 3 3 4" xfId="4382" xr:uid="{00000000-0005-0000-0000-000000030000}"/>
    <cellStyle name="20% - Accent3 2 3 4" xfId="951" xr:uid="{00000000-0005-0000-0000-000001030000}"/>
    <cellStyle name="20% - Accent3 2 3 4 2" xfId="2243" xr:uid="{00000000-0005-0000-0000-000002030000}"/>
    <cellStyle name="20% - Accent3 2 3 4 3" xfId="3521" xr:uid="{00000000-0005-0000-0000-000003030000}"/>
    <cellStyle name="20% - Accent3 2 3 4 4" xfId="4808" xr:uid="{00000000-0005-0000-0000-000004030000}"/>
    <cellStyle name="20% - Accent3 2 3 5" xfId="1391" xr:uid="{00000000-0005-0000-0000-000005030000}"/>
    <cellStyle name="20% - Accent3 2 3 6" xfId="2669" xr:uid="{00000000-0005-0000-0000-000006030000}"/>
    <cellStyle name="20% - Accent3 2 3 7" xfId="3956" xr:uid="{00000000-0005-0000-0000-000007030000}"/>
    <cellStyle name="20% - Accent3 2 3 8" xfId="5226" xr:uid="{00000000-0005-0000-0000-000008030000}"/>
    <cellStyle name="20% - Accent3 2 4" xfId="106" xr:uid="{00000000-0005-0000-0000-000009030000}"/>
    <cellStyle name="20% - Accent3 2 4 2" xfId="313" xr:uid="{00000000-0005-0000-0000-00000A030000}"/>
    <cellStyle name="20% - Accent3 2 4 2 2" xfId="739" xr:uid="{00000000-0005-0000-0000-00000B030000}"/>
    <cellStyle name="20% - Accent3 2 4 2 2 2" xfId="2031" xr:uid="{00000000-0005-0000-0000-00000C030000}"/>
    <cellStyle name="20% - Accent3 2 4 2 2 3" xfId="3309" xr:uid="{00000000-0005-0000-0000-00000D030000}"/>
    <cellStyle name="20% - Accent3 2 4 2 2 4" xfId="4596" xr:uid="{00000000-0005-0000-0000-00000E030000}"/>
    <cellStyle name="20% - Accent3 2 4 2 3" xfId="1165" xr:uid="{00000000-0005-0000-0000-00000F030000}"/>
    <cellStyle name="20% - Accent3 2 4 2 3 2" xfId="2457" xr:uid="{00000000-0005-0000-0000-000010030000}"/>
    <cellStyle name="20% - Accent3 2 4 2 3 3" xfId="3735" xr:uid="{00000000-0005-0000-0000-000011030000}"/>
    <cellStyle name="20% - Accent3 2 4 2 3 4" xfId="5022" xr:uid="{00000000-0005-0000-0000-000012030000}"/>
    <cellStyle name="20% - Accent3 2 4 2 4" xfId="1605" xr:uid="{00000000-0005-0000-0000-000013030000}"/>
    <cellStyle name="20% - Accent3 2 4 2 5" xfId="2883" xr:uid="{00000000-0005-0000-0000-000014030000}"/>
    <cellStyle name="20% - Accent3 2 4 2 6" xfId="4170" xr:uid="{00000000-0005-0000-0000-000015030000}"/>
    <cellStyle name="20% - Accent3 2 4 3" xfId="526" xr:uid="{00000000-0005-0000-0000-000016030000}"/>
    <cellStyle name="20% - Accent3 2 4 3 2" xfId="1818" xr:uid="{00000000-0005-0000-0000-000017030000}"/>
    <cellStyle name="20% - Accent3 2 4 3 3" xfId="3096" xr:uid="{00000000-0005-0000-0000-000018030000}"/>
    <cellStyle name="20% - Accent3 2 4 3 4" xfId="4383" xr:uid="{00000000-0005-0000-0000-000019030000}"/>
    <cellStyle name="20% - Accent3 2 4 4" xfId="952" xr:uid="{00000000-0005-0000-0000-00001A030000}"/>
    <cellStyle name="20% - Accent3 2 4 4 2" xfId="2244" xr:uid="{00000000-0005-0000-0000-00001B030000}"/>
    <cellStyle name="20% - Accent3 2 4 4 3" xfId="3522" xr:uid="{00000000-0005-0000-0000-00001C030000}"/>
    <cellStyle name="20% - Accent3 2 4 4 4" xfId="4809" xr:uid="{00000000-0005-0000-0000-00001D030000}"/>
    <cellStyle name="20% - Accent3 2 4 5" xfId="1392" xr:uid="{00000000-0005-0000-0000-00001E030000}"/>
    <cellStyle name="20% - Accent3 2 4 6" xfId="2670" xr:uid="{00000000-0005-0000-0000-00001F030000}"/>
    <cellStyle name="20% - Accent3 2 4 7" xfId="3957" xr:uid="{00000000-0005-0000-0000-000020030000}"/>
    <cellStyle name="20% - Accent3 2 5" xfId="107" xr:uid="{00000000-0005-0000-0000-000021030000}"/>
    <cellStyle name="20% - Accent3 2 5 2" xfId="314" xr:uid="{00000000-0005-0000-0000-000022030000}"/>
    <cellStyle name="20% - Accent3 2 5 2 2" xfId="740" xr:uid="{00000000-0005-0000-0000-000023030000}"/>
    <cellStyle name="20% - Accent3 2 5 2 2 2" xfId="2032" xr:uid="{00000000-0005-0000-0000-000024030000}"/>
    <cellStyle name="20% - Accent3 2 5 2 2 3" xfId="3310" xr:uid="{00000000-0005-0000-0000-000025030000}"/>
    <cellStyle name="20% - Accent3 2 5 2 2 4" xfId="4597" xr:uid="{00000000-0005-0000-0000-000026030000}"/>
    <cellStyle name="20% - Accent3 2 5 2 3" xfId="1166" xr:uid="{00000000-0005-0000-0000-000027030000}"/>
    <cellStyle name="20% - Accent3 2 5 2 3 2" xfId="2458" xr:uid="{00000000-0005-0000-0000-000028030000}"/>
    <cellStyle name="20% - Accent3 2 5 2 3 3" xfId="3736" xr:uid="{00000000-0005-0000-0000-000029030000}"/>
    <cellStyle name="20% - Accent3 2 5 2 3 4" xfId="5023" xr:uid="{00000000-0005-0000-0000-00002A030000}"/>
    <cellStyle name="20% - Accent3 2 5 2 4" xfId="1606" xr:uid="{00000000-0005-0000-0000-00002B030000}"/>
    <cellStyle name="20% - Accent3 2 5 2 5" xfId="2884" xr:uid="{00000000-0005-0000-0000-00002C030000}"/>
    <cellStyle name="20% - Accent3 2 5 2 6" xfId="4171" xr:uid="{00000000-0005-0000-0000-00002D030000}"/>
    <cellStyle name="20% - Accent3 2 5 3" xfId="527" xr:uid="{00000000-0005-0000-0000-00002E030000}"/>
    <cellStyle name="20% - Accent3 2 5 3 2" xfId="1819" xr:uid="{00000000-0005-0000-0000-00002F030000}"/>
    <cellStyle name="20% - Accent3 2 5 3 3" xfId="3097" xr:uid="{00000000-0005-0000-0000-000030030000}"/>
    <cellStyle name="20% - Accent3 2 5 3 4" xfId="4384" xr:uid="{00000000-0005-0000-0000-000031030000}"/>
    <cellStyle name="20% - Accent3 2 5 4" xfId="953" xr:uid="{00000000-0005-0000-0000-000032030000}"/>
    <cellStyle name="20% - Accent3 2 5 4 2" xfId="2245" xr:uid="{00000000-0005-0000-0000-000033030000}"/>
    <cellStyle name="20% - Accent3 2 5 4 3" xfId="3523" xr:uid="{00000000-0005-0000-0000-000034030000}"/>
    <cellStyle name="20% - Accent3 2 5 4 4" xfId="4810" xr:uid="{00000000-0005-0000-0000-000035030000}"/>
    <cellStyle name="20% - Accent3 2 5 5" xfId="1393" xr:uid="{00000000-0005-0000-0000-000036030000}"/>
    <cellStyle name="20% - Accent3 2 5 6" xfId="2671" xr:uid="{00000000-0005-0000-0000-000037030000}"/>
    <cellStyle name="20% - Accent3 2 5 7" xfId="3958" xr:uid="{00000000-0005-0000-0000-000038030000}"/>
    <cellStyle name="20% - Accent3 2 6" xfId="273" xr:uid="{00000000-0005-0000-0000-000039030000}"/>
    <cellStyle name="20% - Accent3 2 6 2" xfId="486" xr:uid="{00000000-0005-0000-0000-00003A030000}"/>
    <cellStyle name="20% - Accent3 2 6 2 2" xfId="911" xr:uid="{00000000-0005-0000-0000-00003B030000}"/>
    <cellStyle name="20% - Accent3 2 6 2 2 2" xfId="2203" xr:uid="{00000000-0005-0000-0000-00003C030000}"/>
    <cellStyle name="20% - Accent3 2 6 2 2 3" xfId="3481" xr:uid="{00000000-0005-0000-0000-00003D030000}"/>
    <cellStyle name="20% - Accent3 2 6 2 2 4" xfId="4768" xr:uid="{00000000-0005-0000-0000-00003E030000}"/>
    <cellStyle name="20% - Accent3 2 6 2 3" xfId="1337" xr:uid="{00000000-0005-0000-0000-00003F030000}"/>
    <cellStyle name="20% - Accent3 2 6 2 3 2" xfId="2629" xr:uid="{00000000-0005-0000-0000-000040030000}"/>
    <cellStyle name="20% - Accent3 2 6 2 3 3" xfId="3907" xr:uid="{00000000-0005-0000-0000-000041030000}"/>
    <cellStyle name="20% - Accent3 2 6 2 3 4" xfId="5194" xr:uid="{00000000-0005-0000-0000-000042030000}"/>
    <cellStyle name="20% - Accent3 2 6 2 4" xfId="1777" xr:uid="{00000000-0005-0000-0000-000043030000}"/>
    <cellStyle name="20% - Accent3 2 6 2 5" xfId="3055" xr:uid="{00000000-0005-0000-0000-000044030000}"/>
    <cellStyle name="20% - Accent3 2 6 2 6" xfId="4342" xr:uid="{00000000-0005-0000-0000-000045030000}"/>
    <cellStyle name="20% - Accent3 2 6 3" xfId="698" xr:uid="{00000000-0005-0000-0000-000046030000}"/>
    <cellStyle name="20% - Accent3 2 6 3 2" xfId="1990" xr:uid="{00000000-0005-0000-0000-000047030000}"/>
    <cellStyle name="20% - Accent3 2 6 3 3" xfId="3268" xr:uid="{00000000-0005-0000-0000-000048030000}"/>
    <cellStyle name="20% - Accent3 2 6 3 4" xfId="4555" xr:uid="{00000000-0005-0000-0000-000049030000}"/>
    <cellStyle name="20% - Accent3 2 6 4" xfId="1124" xr:uid="{00000000-0005-0000-0000-00004A030000}"/>
    <cellStyle name="20% - Accent3 2 6 4 2" xfId="2416" xr:uid="{00000000-0005-0000-0000-00004B030000}"/>
    <cellStyle name="20% - Accent3 2 6 4 3" xfId="3694" xr:uid="{00000000-0005-0000-0000-00004C030000}"/>
    <cellStyle name="20% - Accent3 2 6 4 4" xfId="4981" xr:uid="{00000000-0005-0000-0000-00004D030000}"/>
    <cellStyle name="20% - Accent3 2 6 5" xfId="1564" xr:uid="{00000000-0005-0000-0000-00004E030000}"/>
    <cellStyle name="20% - Accent3 2 6 6" xfId="2842" xr:uid="{00000000-0005-0000-0000-00004F030000}"/>
    <cellStyle name="20% - Accent3 2 6 7" xfId="4129" xr:uid="{00000000-0005-0000-0000-000050030000}"/>
    <cellStyle name="20% - Accent3 2 7" xfId="309" xr:uid="{00000000-0005-0000-0000-000051030000}"/>
    <cellStyle name="20% - Accent3 2 7 2" xfId="735" xr:uid="{00000000-0005-0000-0000-000052030000}"/>
    <cellStyle name="20% - Accent3 2 7 2 2" xfId="2027" xr:uid="{00000000-0005-0000-0000-000053030000}"/>
    <cellStyle name="20% - Accent3 2 7 2 3" xfId="3305" xr:uid="{00000000-0005-0000-0000-000054030000}"/>
    <cellStyle name="20% - Accent3 2 7 2 4" xfId="4592" xr:uid="{00000000-0005-0000-0000-000055030000}"/>
    <cellStyle name="20% - Accent3 2 7 3" xfId="1161" xr:uid="{00000000-0005-0000-0000-000056030000}"/>
    <cellStyle name="20% - Accent3 2 7 3 2" xfId="2453" xr:uid="{00000000-0005-0000-0000-000057030000}"/>
    <cellStyle name="20% - Accent3 2 7 3 3" xfId="3731" xr:uid="{00000000-0005-0000-0000-000058030000}"/>
    <cellStyle name="20% - Accent3 2 7 3 4" xfId="5018" xr:uid="{00000000-0005-0000-0000-000059030000}"/>
    <cellStyle name="20% - Accent3 2 7 4" xfId="1601" xr:uid="{00000000-0005-0000-0000-00005A030000}"/>
    <cellStyle name="20% - Accent3 2 7 5" xfId="2879" xr:uid="{00000000-0005-0000-0000-00005B030000}"/>
    <cellStyle name="20% - Accent3 2 7 6" xfId="4166" xr:uid="{00000000-0005-0000-0000-00005C030000}"/>
    <cellStyle name="20% - Accent3 2 8" xfId="522" xr:uid="{00000000-0005-0000-0000-00005D030000}"/>
    <cellStyle name="20% - Accent3 2 8 2" xfId="1814" xr:uid="{00000000-0005-0000-0000-00005E030000}"/>
    <cellStyle name="20% - Accent3 2 8 3" xfId="3092" xr:uid="{00000000-0005-0000-0000-00005F030000}"/>
    <cellStyle name="20% - Accent3 2 8 4" xfId="4379" xr:uid="{00000000-0005-0000-0000-000060030000}"/>
    <cellStyle name="20% - Accent3 2 9" xfId="948" xr:uid="{00000000-0005-0000-0000-000061030000}"/>
    <cellStyle name="20% - Accent3 2 9 2" xfId="2240" xr:uid="{00000000-0005-0000-0000-000062030000}"/>
    <cellStyle name="20% - Accent3 2 9 3" xfId="3518" xr:uid="{00000000-0005-0000-0000-000063030000}"/>
    <cellStyle name="20% - Accent3 2 9 4" xfId="4805" xr:uid="{00000000-0005-0000-0000-000064030000}"/>
    <cellStyle name="20% - Accent3 3" xfId="108" xr:uid="{00000000-0005-0000-0000-000065030000}"/>
    <cellStyle name="20% - Accent3 3 2" xfId="109" xr:uid="{00000000-0005-0000-0000-000066030000}"/>
    <cellStyle name="20% - Accent3 3 2 2" xfId="316" xr:uid="{00000000-0005-0000-0000-000067030000}"/>
    <cellStyle name="20% - Accent3 3 2 2 2" xfId="742" xr:uid="{00000000-0005-0000-0000-000068030000}"/>
    <cellStyle name="20% - Accent3 3 2 2 2 2" xfId="2034" xr:uid="{00000000-0005-0000-0000-000069030000}"/>
    <cellStyle name="20% - Accent3 3 2 2 2 3" xfId="3312" xr:uid="{00000000-0005-0000-0000-00006A030000}"/>
    <cellStyle name="20% - Accent3 3 2 2 2 4" xfId="4599" xr:uid="{00000000-0005-0000-0000-00006B030000}"/>
    <cellStyle name="20% - Accent3 3 2 2 3" xfId="1168" xr:uid="{00000000-0005-0000-0000-00006C030000}"/>
    <cellStyle name="20% - Accent3 3 2 2 3 2" xfId="2460" xr:uid="{00000000-0005-0000-0000-00006D030000}"/>
    <cellStyle name="20% - Accent3 3 2 2 3 3" xfId="3738" xr:uid="{00000000-0005-0000-0000-00006E030000}"/>
    <cellStyle name="20% - Accent3 3 2 2 3 4" xfId="5025" xr:uid="{00000000-0005-0000-0000-00006F030000}"/>
    <cellStyle name="20% - Accent3 3 2 2 4" xfId="1608" xr:uid="{00000000-0005-0000-0000-000070030000}"/>
    <cellStyle name="20% - Accent3 3 2 2 5" xfId="2886" xr:uid="{00000000-0005-0000-0000-000071030000}"/>
    <cellStyle name="20% - Accent3 3 2 2 6" xfId="4173" xr:uid="{00000000-0005-0000-0000-000072030000}"/>
    <cellStyle name="20% - Accent3 3 2 3" xfId="529" xr:uid="{00000000-0005-0000-0000-000073030000}"/>
    <cellStyle name="20% - Accent3 3 2 3 2" xfId="1821" xr:uid="{00000000-0005-0000-0000-000074030000}"/>
    <cellStyle name="20% - Accent3 3 2 3 3" xfId="3099" xr:uid="{00000000-0005-0000-0000-000075030000}"/>
    <cellStyle name="20% - Accent3 3 2 3 4" xfId="4386" xr:uid="{00000000-0005-0000-0000-000076030000}"/>
    <cellStyle name="20% - Accent3 3 2 4" xfId="955" xr:uid="{00000000-0005-0000-0000-000077030000}"/>
    <cellStyle name="20% - Accent3 3 2 4 2" xfId="2247" xr:uid="{00000000-0005-0000-0000-000078030000}"/>
    <cellStyle name="20% - Accent3 3 2 4 3" xfId="3525" xr:uid="{00000000-0005-0000-0000-000079030000}"/>
    <cellStyle name="20% - Accent3 3 2 4 4" xfId="4812" xr:uid="{00000000-0005-0000-0000-00007A030000}"/>
    <cellStyle name="20% - Accent3 3 2 5" xfId="1395" xr:uid="{00000000-0005-0000-0000-00007B030000}"/>
    <cellStyle name="20% - Accent3 3 2 6" xfId="2673" xr:uid="{00000000-0005-0000-0000-00007C030000}"/>
    <cellStyle name="20% - Accent3 3 2 7" xfId="3960" xr:uid="{00000000-0005-0000-0000-00007D030000}"/>
    <cellStyle name="20% - Accent3 3 2 8" xfId="5228" xr:uid="{00000000-0005-0000-0000-00007E030000}"/>
    <cellStyle name="20% - Accent3 3 3" xfId="315" xr:uid="{00000000-0005-0000-0000-00007F030000}"/>
    <cellStyle name="20% - Accent3 3 3 2" xfId="741" xr:uid="{00000000-0005-0000-0000-000080030000}"/>
    <cellStyle name="20% - Accent3 3 3 2 2" xfId="2033" xr:uid="{00000000-0005-0000-0000-000081030000}"/>
    <cellStyle name="20% - Accent3 3 3 2 3" xfId="3311" xr:uid="{00000000-0005-0000-0000-000082030000}"/>
    <cellStyle name="20% - Accent3 3 3 2 4" xfId="4598" xr:uid="{00000000-0005-0000-0000-000083030000}"/>
    <cellStyle name="20% - Accent3 3 3 3" xfId="1167" xr:uid="{00000000-0005-0000-0000-000084030000}"/>
    <cellStyle name="20% - Accent3 3 3 3 2" xfId="2459" xr:uid="{00000000-0005-0000-0000-000085030000}"/>
    <cellStyle name="20% - Accent3 3 3 3 3" xfId="3737" xr:uid="{00000000-0005-0000-0000-000086030000}"/>
    <cellStyle name="20% - Accent3 3 3 3 4" xfId="5024" xr:uid="{00000000-0005-0000-0000-000087030000}"/>
    <cellStyle name="20% - Accent3 3 3 4" xfId="1607" xr:uid="{00000000-0005-0000-0000-000088030000}"/>
    <cellStyle name="20% - Accent3 3 3 5" xfId="2885" xr:uid="{00000000-0005-0000-0000-000089030000}"/>
    <cellStyle name="20% - Accent3 3 3 6" xfId="4172" xr:uid="{00000000-0005-0000-0000-00008A030000}"/>
    <cellStyle name="20% - Accent3 3 4" xfId="528" xr:uid="{00000000-0005-0000-0000-00008B030000}"/>
    <cellStyle name="20% - Accent3 3 4 2" xfId="1820" xr:uid="{00000000-0005-0000-0000-00008C030000}"/>
    <cellStyle name="20% - Accent3 3 4 3" xfId="3098" xr:uid="{00000000-0005-0000-0000-00008D030000}"/>
    <cellStyle name="20% - Accent3 3 4 4" xfId="4385" xr:uid="{00000000-0005-0000-0000-00008E030000}"/>
    <cellStyle name="20% - Accent3 3 5" xfId="954" xr:uid="{00000000-0005-0000-0000-00008F030000}"/>
    <cellStyle name="20% - Accent3 3 5 2" xfId="2246" xr:uid="{00000000-0005-0000-0000-000090030000}"/>
    <cellStyle name="20% - Accent3 3 5 3" xfId="3524" xr:uid="{00000000-0005-0000-0000-000091030000}"/>
    <cellStyle name="20% - Accent3 3 5 4" xfId="4811" xr:uid="{00000000-0005-0000-0000-000092030000}"/>
    <cellStyle name="20% - Accent3 3 6" xfId="1394" xr:uid="{00000000-0005-0000-0000-000093030000}"/>
    <cellStyle name="20% - Accent3 3 7" xfId="2672" xr:uid="{00000000-0005-0000-0000-000094030000}"/>
    <cellStyle name="20% - Accent3 3 8" xfId="3959" xr:uid="{00000000-0005-0000-0000-000095030000}"/>
    <cellStyle name="20% - Accent3 3 9" xfId="5227" xr:uid="{00000000-0005-0000-0000-000096030000}"/>
    <cellStyle name="20% - Accent3 4" xfId="110" xr:uid="{00000000-0005-0000-0000-000097030000}"/>
    <cellStyle name="20% - Accent3 4 2" xfId="317" xr:uid="{00000000-0005-0000-0000-000098030000}"/>
    <cellStyle name="20% - Accent3 4 2 2" xfId="743" xr:uid="{00000000-0005-0000-0000-000099030000}"/>
    <cellStyle name="20% - Accent3 4 2 2 2" xfId="2035" xr:uid="{00000000-0005-0000-0000-00009A030000}"/>
    <cellStyle name="20% - Accent3 4 2 2 3" xfId="3313" xr:uid="{00000000-0005-0000-0000-00009B030000}"/>
    <cellStyle name="20% - Accent3 4 2 2 4" xfId="4600" xr:uid="{00000000-0005-0000-0000-00009C030000}"/>
    <cellStyle name="20% - Accent3 4 2 3" xfId="1169" xr:uid="{00000000-0005-0000-0000-00009D030000}"/>
    <cellStyle name="20% - Accent3 4 2 3 2" xfId="2461" xr:uid="{00000000-0005-0000-0000-00009E030000}"/>
    <cellStyle name="20% - Accent3 4 2 3 3" xfId="3739" xr:uid="{00000000-0005-0000-0000-00009F030000}"/>
    <cellStyle name="20% - Accent3 4 2 3 4" xfId="5026" xr:uid="{00000000-0005-0000-0000-0000A0030000}"/>
    <cellStyle name="20% - Accent3 4 2 4" xfId="1609" xr:uid="{00000000-0005-0000-0000-0000A1030000}"/>
    <cellStyle name="20% - Accent3 4 2 5" xfId="2887" xr:uid="{00000000-0005-0000-0000-0000A2030000}"/>
    <cellStyle name="20% - Accent3 4 2 6" xfId="4174" xr:uid="{00000000-0005-0000-0000-0000A3030000}"/>
    <cellStyle name="20% - Accent3 4 3" xfId="530" xr:uid="{00000000-0005-0000-0000-0000A4030000}"/>
    <cellStyle name="20% - Accent3 4 3 2" xfId="1822" xr:uid="{00000000-0005-0000-0000-0000A5030000}"/>
    <cellStyle name="20% - Accent3 4 3 3" xfId="3100" xr:uid="{00000000-0005-0000-0000-0000A6030000}"/>
    <cellStyle name="20% - Accent3 4 3 4" xfId="4387" xr:uid="{00000000-0005-0000-0000-0000A7030000}"/>
    <cellStyle name="20% - Accent3 4 4" xfId="956" xr:uid="{00000000-0005-0000-0000-0000A8030000}"/>
    <cellStyle name="20% - Accent3 4 4 2" xfId="2248" xr:uid="{00000000-0005-0000-0000-0000A9030000}"/>
    <cellStyle name="20% - Accent3 4 4 3" xfId="3526" xr:uid="{00000000-0005-0000-0000-0000AA030000}"/>
    <cellStyle name="20% - Accent3 4 4 4" xfId="4813" xr:uid="{00000000-0005-0000-0000-0000AB030000}"/>
    <cellStyle name="20% - Accent3 4 5" xfId="1396" xr:uid="{00000000-0005-0000-0000-0000AC030000}"/>
    <cellStyle name="20% - Accent3 4 6" xfId="2674" xr:uid="{00000000-0005-0000-0000-0000AD030000}"/>
    <cellStyle name="20% - Accent3 4 7" xfId="3961" xr:uid="{00000000-0005-0000-0000-0000AE030000}"/>
    <cellStyle name="20% - Accent3 4 8" xfId="5229" xr:uid="{00000000-0005-0000-0000-0000AF030000}"/>
    <cellStyle name="20% - Accent3 5" xfId="111" xr:uid="{00000000-0005-0000-0000-0000B0030000}"/>
    <cellStyle name="20% - Accent3 5 2" xfId="318" xr:uid="{00000000-0005-0000-0000-0000B1030000}"/>
    <cellStyle name="20% - Accent3 5 2 2" xfId="744" xr:uid="{00000000-0005-0000-0000-0000B2030000}"/>
    <cellStyle name="20% - Accent3 5 2 2 2" xfId="2036" xr:uid="{00000000-0005-0000-0000-0000B3030000}"/>
    <cellStyle name="20% - Accent3 5 2 2 3" xfId="3314" xr:uid="{00000000-0005-0000-0000-0000B4030000}"/>
    <cellStyle name="20% - Accent3 5 2 2 4" xfId="4601" xr:uid="{00000000-0005-0000-0000-0000B5030000}"/>
    <cellStyle name="20% - Accent3 5 2 3" xfId="1170" xr:uid="{00000000-0005-0000-0000-0000B6030000}"/>
    <cellStyle name="20% - Accent3 5 2 3 2" xfId="2462" xr:uid="{00000000-0005-0000-0000-0000B7030000}"/>
    <cellStyle name="20% - Accent3 5 2 3 3" xfId="3740" xr:uid="{00000000-0005-0000-0000-0000B8030000}"/>
    <cellStyle name="20% - Accent3 5 2 3 4" xfId="5027" xr:uid="{00000000-0005-0000-0000-0000B9030000}"/>
    <cellStyle name="20% - Accent3 5 2 4" xfId="1610" xr:uid="{00000000-0005-0000-0000-0000BA030000}"/>
    <cellStyle name="20% - Accent3 5 2 5" xfId="2888" xr:uid="{00000000-0005-0000-0000-0000BB030000}"/>
    <cellStyle name="20% - Accent3 5 2 6" xfId="4175" xr:uid="{00000000-0005-0000-0000-0000BC030000}"/>
    <cellStyle name="20% - Accent3 5 3" xfId="531" xr:uid="{00000000-0005-0000-0000-0000BD030000}"/>
    <cellStyle name="20% - Accent3 5 3 2" xfId="1823" xr:uid="{00000000-0005-0000-0000-0000BE030000}"/>
    <cellStyle name="20% - Accent3 5 3 3" xfId="3101" xr:uid="{00000000-0005-0000-0000-0000BF030000}"/>
    <cellStyle name="20% - Accent3 5 3 4" xfId="4388" xr:uid="{00000000-0005-0000-0000-0000C0030000}"/>
    <cellStyle name="20% - Accent3 5 4" xfId="957" xr:uid="{00000000-0005-0000-0000-0000C1030000}"/>
    <cellStyle name="20% - Accent3 5 4 2" xfId="2249" xr:uid="{00000000-0005-0000-0000-0000C2030000}"/>
    <cellStyle name="20% - Accent3 5 4 3" xfId="3527" xr:uid="{00000000-0005-0000-0000-0000C3030000}"/>
    <cellStyle name="20% - Accent3 5 4 4" xfId="4814" xr:uid="{00000000-0005-0000-0000-0000C4030000}"/>
    <cellStyle name="20% - Accent3 5 5" xfId="1397" xr:uid="{00000000-0005-0000-0000-0000C5030000}"/>
    <cellStyle name="20% - Accent3 5 6" xfId="2675" xr:uid="{00000000-0005-0000-0000-0000C6030000}"/>
    <cellStyle name="20% - Accent3 5 7" xfId="3962" xr:uid="{00000000-0005-0000-0000-0000C7030000}"/>
    <cellStyle name="20% - Accent3 6" xfId="112" xr:uid="{00000000-0005-0000-0000-0000C8030000}"/>
    <cellStyle name="20% - Accent3 6 2" xfId="319" xr:uid="{00000000-0005-0000-0000-0000C9030000}"/>
    <cellStyle name="20% - Accent3 6 2 2" xfId="745" xr:uid="{00000000-0005-0000-0000-0000CA030000}"/>
    <cellStyle name="20% - Accent3 6 2 2 2" xfId="2037" xr:uid="{00000000-0005-0000-0000-0000CB030000}"/>
    <cellStyle name="20% - Accent3 6 2 2 3" xfId="3315" xr:uid="{00000000-0005-0000-0000-0000CC030000}"/>
    <cellStyle name="20% - Accent3 6 2 2 4" xfId="4602" xr:uid="{00000000-0005-0000-0000-0000CD030000}"/>
    <cellStyle name="20% - Accent3 6 2 3" xfId="1171" xr:uid="{00000000-0005-0000-0000-0000CE030000}"/>
    <cellStyle name="20% - Accent3 6 2 3 2" xfId="2463" xr:uid="{00000000-0005-0000-0000-0000CF030000}"/>
    <cellStyle name="20% - Accent3 6 2 3 3" xfId="3741" xr:uid="{00000000-0005-0000-0000-0000D0030000}"/>
    <cellStyle name="20% - Accent3 6 2 3 4" xfId="5028" xr:uid="{00000000-0005-0000-0000-0000D1030000}"/>
    <cellStyle name="20% - Accent3 6 2 4" xfId="1611" xr:uid="{00000000-0005-0000-0000-0000D2030000}"/>
    <cellStyle name="20% - Accent3 6 2 5" xfId="2889" xr:uid="{00000000-0005-0000-0000-0000D3030000}"/>
    <cellStyle name="20% - Accent3 6 2 6" xfId="4176" xr:uid="{00000000-0005-0000-0000-0000D4030000}"/>
    <cellStyle name="20% - Accent3 6 3" xfId="532" xr:uid="{00000000-0005-0000-0000-0000D5030000}"/>
    <cellStyle name="20% - Accent3 6 3 2" xfId="1824" xr:uid="{00000000-0005-0000-0000-0000D6030000}"/>
    <cellStyle name="20% - Accent3 6 3 3" xfId="3102" xr:uid="{00000000-0005-0000-0000-0000D7030000}"/>
    <cellStyle name="20% - Accent3 6 3 4" xfId="4389" xr:uid="{00000000-0005-0000-0000-0000D8030000}"/>
    <cellStyle name="20% - Accent3 6 4" xfId="958" xr:uid="{00000000-0005-0000-0000-0000D9030000}"/>
    <cellStyle name="20% - Accent3 6 4 2" xfId="2250" xr:uid="{00000000-0005-0000-0000-0000DA030000}"/>
    <cellStyle name="20% - Accent3 6 4 3" xfId="3528" xr:uid="{00000000-0005-0000-0000-0000DB030000}"/>
    <cellStyle name="20% - Accent3 6 4 4" xfId="4815" xr:uid="{00000000-0005-0000-0000-0000DC030000}"/>
    <cellStyle name="20% - Accent3 6 5" xfId="1398" xr:uid="{00000000-0005-0000-0000-0000DD030000}"/>
    <cellStyle name="20% - Accent3 6 6" xfId="2676" xr:uid="{00000000-0005-0000-0000-0000DE030000}"/>
    <cellStyle name="20% - Accent3 6 7" xfId="3963" xr:uid="{00000000-0005-0000-0000-0000DF030000}"/>
    <cellStyle name="20% - Accent3 7" xfId="256" xr:uid="{00000000-0005-0000-0000-0000E0030000}"/>
    <cellStyle name="20% - Accent3 7 2" xfId="469" xr:uid="{00000000-0005-0000-0000-0000E1030000}"/>
    <cellStyle name="20% - Accent3 7 2 2" xfId="894" xr:uid="{00000000-0005-0000-0000-0000E2030000}"/>
    <cellStyle name="20% - Accent3 7 2 2 2" xfId="2186" xr:uid="{00000000-0005-0000-0000-0000E3030000}"/>
    <cellStyle name="20% - Accent3 7 2 2 3" xfId="3464" xr:uid="{00000000-0005-0000-0000-0000E4030000}"/>
    <cellStyle name="20% - Accent3 7 2 2 4" xfId="4751" xr:uid="{00000000-0005-0000-0000-0000E5030000}"/>
    <cellStyle name="20% - Accent3 7 2 3" xfId="1320" xr:uid="{00000000-0005-0000-0000-0000E6030000}"/>
    <cellStyle name="20% - Accent3 7 2 3 2" xfId="2612" xr:uid="{00000000-0005-0000-0000-0000E7030000}"/>
    <cellStyle name="20% - Accent3 7 2 3 3" xfId="3890" xr:uid="{00000000-0005-0000-0000-0000E8030000}"/>
    <cellStyle name="20% - Accent3 7 2 3 4" xfId="5177" xr:uid="{00000000-0005-0000-0000-0000E9030000}"/>
    <cellStyle name="20% - Accent3 7 2 4" xfId="1760" xr:uid="{00000000-0005-0000-0000-0000EA030000}"/>
    <cellStyle name="20% - Accent3 7 2 5" xfId="3038" xr:uid="{00000000-0005-0000-0000-0000EB030000}"/>
    <cellStyle name="20% - Accent3 7 2 6" xfId="4325" xr:uid="{00000000-0005-0000-0000-0000EC030000}"/>
    <cellStyle name="20% - Accent3 7 3" xfId="681" xr:uid="{00000000-0005-0000-0000-0000ED030000}"/>
    <cellStyle name="20% - Accent3 7 3 2" xfId="1973" xr:uid="{00000000-0005-0000-0000-0000EE030000}"/>
    <cellStyle name="20% - Accent3 7 3 3" xfId="3251" xr:uid="{00000000-0005-0000-0000-0000EF030000}"/>
    <cellStyle name="20% - Accent3 7 3 4" xfId="4538" xr:uid="{00000000-0005-0000-0000-0000F0030000}"/>
    <cellStyle name="20% - Accent3 7 4" xfId="1107" xr:uid="{00000000-0005-0000-0000-0000F1030000}"/>
    <cellStyle name="20% - Accent3 7 4 2" xfId="2399" xr:uid="{00000000-0005-0000-0000-0000F2030000}"/>
    <cellStyle name="20% - Accent3 7 4 3" xfId="3677" xr:uid="{00000000-0005-0000-0000-0000F3030000}"/>
    <cellStyle name="20% - Accent3 7 4 4" xfId="4964" xr:uid="{00000000-0005-0000-0000-0000F4030000}"/>
    <cellStyle name="20% - Accent3 7 5" xfId="1547" xr:uid="{00000000-0005-0000-0000-0000F5030000}"/>
    <cellStyle name="20% - Accent3 7 6" xfId="2825" xr:uid="{00000000-0005-0000-0000-0000F6030000}"/>
    <cellStyle name="20% - Accent3 7 7" xfId="4112" xr:uid="{00000000-0005-0000-0000-0000F7030000}"/>
    <cellStyle name="20% - Accent3 8" xfId="308" xr:uid="{00000000-0005-0000-0000-0000F8030000}"/>
    <cellStyle name="20% - Accent3 8 2" xfId="734" xr:uid="{00000000-0005-0000-0000-0000F9030000}"/>
    <cellStyle name="20% - Accent3 8 2 2" xfId="2026" xr:uid="{00000000-0005-0000-0000-0000FA030000}"/>
    <cellStyle name="20% - Accent3 8 2 3" xfId="3304" xr:uid="{00000000-0005-0000-0000-0000FB030000}"/>
    <cellStyle name="20% - Accent3 8 2 4" xfId="4591" xr:uid="{00000000-0005-0000-0000-0000FC030000}"/>
    <cellStyle name="20% - Accent3 8 3" xfId="1160" xr:uid="{00000000-0005-0000-0000-0000FD030000}"/>
    <cellStyle name="20% - Accent3 8 3 2" xfId="2452" xr:uid="{00000000-0005-0000-0000-0000FE030000}"/>
    <cellStyle name="20% - Accent3 8 3 3" xfId="3730" xr:uid="{00000000-0005-0000-0000-0000FF030000}"/>
    <cellStyle name="20% - Accent3 8 3 4" xfId="5017" xr:uid="{00000000-0005-0000-0000-000000040000}"/>
    <cellStyle name="20% - Accent3 8 4" xfId="1600" xr:uid="{00000000-0005-0000-0000-000001040000}"/>
    <cellStyle name="20% - Accent3 8 5" xfId="2878" xr:uid="{00000000-0005-0000-0000-000002040000}"/>
    <cellStyle name="20% - Accent3 8 6" xfId="4165" xr:uid="{00000000-0005-0000-0000-000003040000}"/>
    <cellStyle name="20% - Accent3 9" xfId="521" xr:uid="{00000000-0005-0000-0000-000004040000}"/>
    <cellStyle name="20% - Accent3 9 2" xfId="1813" xr:uid="{00000000-0005-0000-0000-000005040000}"/>
    <cellStyle name="20% - Accent3 9 3" xfId="3091" xr:uid="{00000000-0005-0000-0000-000006040000}"/>
    <cellStyle name="20% - Accent3 9 4" xfId="4378" xr:uid="{00000000-0005-0000-0000-000007040000}"/>
    <cellStyle name="20% - Accent4" xfId="70" builtinId="42" customBuiltin="1"/>
    <cellStyle name="20% - Accent4 10" xfId="959" xr:uid="{00000000-0005-0000-0000-000009040000}"/>
    <cellStyle name="20% - Accent4 10 2" xfId="2251" xr:uid="{00000000-0005-0000-0000-00000A040000}"/>
    <cellStyle name="20% - Accent4 10 3" xfId="3529" xr:uid="{00000000-0005-0000-0000-00000B040000}"/>
    <cellStyle name="20% - Accent4 10 4" xfId="4816" xr:uid="{00000000-0005-0000-0000-00000C040000}"/>
    <cellStyle name="20% - Accent4 11" xfId="1399" xr:uid="{00000000-0005-0000-0000-00000D040000}"/>
    <cellStyle name="20% - Accent4 12" xfId="2677" xr:uid="{00000000-0005-0000-0000-00000E040000}"/>
    <cellStyle name="20% - Accent4 13" xfId="3964" xr:uid="{00000000-0005-0000-0000-00000F040000}"/>
    <cellStyle name="20% - Accent4 14" xfId="5230" xr:uid="{00000000-0005-0000-0000-000010040000}"/>
    <cellStyle name="20% - Accent4 2" xfId="13" xr:uid="{00000000-0005-0000-0000-000011040000}"/>
    <cellStyle name="20% - Accent4 2 10" xfId="1400" xr:uid="{00000000-0005-0000-0000-000012040000}"/>
    <cellStyle name="20% - Accent4 2 11" xfId="2678" xr:uid="{00000000-0005-0000-0000-000013040000}"/>
    <cellStyle name="20% - Accent4 2 12" xfId="3965" xr:uid="{00000000-0005-0000-0000-000014040000}"/>
    <cellStyle name="20% - Accent4 2 13" xfId="5231" xr:uid="{00000000-0005-0000-0000-000015040000}"/>
    <cellStyle name="20% - Accent4 2 2" xfId="113" xr:uid="{00000000-0005-0000-0000-000016040000}"/>
    <cellStyle name="20% - Accent4 2 2 2" xfId="114" xr:uid="{00000000-0005-0000-0000-000017040000}"/>
    <cellStyle name="20% - Accent4 2 2 2 2" xfId="323" xr:uid="{00000000-0005-0000-0000-000018040000}"/>
    <cellStyle name="20% - Accent4 2 2 2 2 2" xfId="749" xr:uid="{00000000-0005-0000-0000-000019040000}"/>
    <cellStyle name="20% - Accent4 2 2 2 2 2 2" xfId="2041" xr:uid="{00000000-0005-0000-0000-00001A040000}"/>
    <cellStyle name="20% - Accent4 2 2 2 2 2 3" xfId="3319" xr:uid="{00000000-0005-0000-0000-00001B040000}"/>
    <cellStyle name="20% - Accent4 2 2 2 2 2 4" xfId="4606" xr:uid="{00000000-0005-0000-0000-00001C040000}"/>
    <cellStyle name="20% - Accent4 2 2 2 2 3" xfId="1175" xr:uid="{00000000-0005-0000-0000-00001D040000}"/>
    <cellStyle name="20% - Accent4 2 2 2 2 3 2" xfId="2467" xr:uid="{00000000-0005-0000-0000-00001E040000}"/>
    <cellStyle name="20% - Accent4 2 2 2 2 3 3" xfId="3745" xr:uid="{00000000-0005-0000-0000-00001F040000}"/>
    <cellStyle name="20% - Accent4 2 2 2 2 3 4" xfId="5032" xr:uid="{00000000-0005-0000-0000-000020040000}"/>
    <cellStyle name="20% - Accent4 2 2 2 2 4" xfId="1615" xr:uid="{00000000-0005-0000-0000-000021040000}"/>
    <cellStyle name="20% - Accent4 2 2 2 2 5" xfId="2893" xr:uid="{00000000-0005-0000-0000-000022040000}"/>
    <cellStyle name="20% - Accent4 2 2 2 2 6" xfId="4180" xr:uid="{00000000-0005-0000-0000-000023040000}"/>
    <cellStyle name="20% - Accent4 2 2 2 3" xfId="536" xr:uid="{00000000-0005-0000-0000-000024040000}"/>
    <cellStyle name="20% - Accent4 2 2 2 3 2" xfId="1828" xr:uid="{00000000-0005-0000-0000-000025040000}"/>
    <cellStyle name="20% - Accent4 2 2 2 3 3" xfId="3106" xr:uid="{00000000-0005-0000-0000-000026040000}"/>
    <cellStyle name="20% - Accent4 2 2 2 3 4" xfId="4393" xr:uid="{00000000-0005-0000-0000-000027040000}"/>
    <cellStyle name="20% - Accent4 2 2 2 4" xfId="962" xr:uid="{00000000-0005-0000-0000-000028040000}"/>
    <cellStyle name="20% - Accent4 2 2 2 4 2" xfId="2254" xr:uid="{00000000-0005-0000-0000-000029040000}"/>
    <cellStyle name="20% - Accent4 2 2 2 4 3" xfId="3532" xr:uid="{00000000-0005-0000-0000-00002A040000}"/>
    <cellStyle name="20% - Accent4 2 2 2 4 4" xfId="4819" xr:uid="{00000000-0005-0000-0000-00002B040000}"/>
    <cellStyle name="20% - Accent4 2 2 2 5" xfId="1402" xr:uid="{00000000-0005-0000-0000-00002C040000}"/>
    <cellStyle name="20% - Accent4 2 2 2 6" xfId="2680" xr:uid="{00000000-0005-0000-0000-00002D040000}"/>
    <cellStyle name="20% - Accent4 2 2 2 7" xfId="3967" xr:uid="{00000000-0005-0000-0000-00002E040000}"/>
    <cellStyle name="20% - Accent4 2 2 2 8" xfId="5233" xr:uid="{00000000-0005-0000-0000-00002F040000}"/>
    <cellStyle name="20% - Accent4 2 2 3" xfId="322" xr:uid="{00000000-0005-0000-0000-000030040000}"/>
    <cellStyle name="20% - Accent4 2 2 3 2" xfId="748" xr:uid="{00000000-0005-0000-0000-000031040000}"/>
    <cellStyle name="20% - Accent4 2 2 3 2 2" xfId="2040" xr:uid="{00000000-0005-0000-0000-000032040000}"/>
    <cellStyle name="20% - Accent4 2 2 3 2 3" xfId="3318" xr:uid="{00000000-0005-0000-0000-000033040000}"/>
    <cellStyle name="20% - Accent4 2 2 3 2 4" xfId="4605" xr:uid="{00000000-0005-0000-0000-000034040000}"/>
    <cellStyle name="20% - Accent4 2 2 3 3" xfId="1174" xr:uid="{00000000-0005-0000-0000-000035040000}"/>
    <cellStyle name="20% - Accent4 2 2 3 3 2" xfId="2466" xr:uid="{00000000-0005-0000-0000-000036040000}"/>
    <cellStyle name="20% - Accent4 2 2 3 3 3" xfId="3744" xr:uid="{00000000-0005-0000-0000-000037040000}"/>
    <cellStyle name="20% - Accent4 2 2 3 3 4" xfId="5031" xr:uid="{00000000-0005-0000-0000-000038040000}"/>
    <cellStyle name="20% - Accent4 2 2 3 4" xfId="1614" xr:uid="{00000000-0005-0000-0000-000039040000}"/>
    <cellStyle name="20% - Accent4 2 2 3 5" xfId="2892" xr:uid="{00000000-0005-0000-0000-00003A040000}"/>
    <cellStyle name="20% - Accent4 2 2 3 6" xfId="4179" xr:uid="{00000000-0005-0000-0000-00003B040000}"/>
    <cellStyle name="20% - Accent4 2 2 4" xfId="535" xr:uid="{00000000-0005-0000-0000-00003C040000}"/>
    <cellStyle name="20% - Accent4 2 2 4 2" xfId="1827" xr:uid="{00000000-0005-0000-0000-00003D040000}"/>
    <cellStyle name="20% - Accent4 2 2 4 3" xfId="3105" xr:uid="{00000000-0005-0000-0000-00003E040000}"/>
    <cellStyle name="20% - Accent4 2 2 4 4" xfId="4392" xr:uid="{00000000-0005-0000-0000-00003F040000}"/>
    <cellStyle name="20% - Accent4 2 2 5" xfId="961" xr:uid="{00000000-0005-0000-0000-000040040000}"/>
    <cellStyle name="20% - Accent4 2 2 5 2" xfId="2253" xr:uid="{00000000-0005-0000-0000-000041040000}"/>
    <cellStyle name="20% - Accent4 2 2 5 3" xfId="3531" xr:uid="{00000000-0005-0000-0000-000042040000}"/>
    <cellStyle name="20% - Accent4 2 2 5 4" xfId="4818" xr:uid="{00000000-0005-0000-0000-000043040000}"/>
    <cellStyle name="20% - Accent4 2 2 6" xfId="1401" xr:uid="{00000000-0005-0000-0000-000044040000}"/>
    <cellStyle name="20% - Accent4 2 2 7" xfId="2679" xr:uid="{00000000-0005-0000-0000-000045040000}"/>
    <cellStyle name="20% - Accent4 2 2 8" xfId="3966" xr:uid="{00000000-0005-0000-0000-000046040000}"/>
    <cellStyle name="20% - Accent4 2 2 9" xfId="5232" xr:uid="{00000000-0005-0000-0000-000047040000}"/>
    <cellStyle name="20% - Accent4 2 3" xfId="115" xr:uid="{00000000-0005-0000-0000-000048040000}"/>
    <cellStyle name="20% - Accent4 2 3 2" xfId="324" xr:uid="{00000000-0005-0000-0000-000049040000}"/>
    <cellStyle name="20% - Accent4 2 3 2 2" xfId="750" xr:uid="{00000000-0005-0000-0000-00004A040000}"/>
    <cellStyle name="20% - Accent4 2 3 2 2 2" xfId="2042" xr:uid="{00000000-0005-0000-0000-00004B040000}"/>
    <cellStyle name="20% - Accent4 2 3 2 2 3" xfId="3320" xr:uid="{00000000-0005-0000-0000-00004C040000}"/>
    <cellStyle name="20% - Accent4 2 3 2 2 4" xfId="4607" xr:uid="{00000000-0005-0000-0000-00004D040000}"/>
    <cellStyle name="20% - Accent4 2 3 2 3" xfId="1176" xr:uid="{00000000-0005-0000-0000-00004E040000}"/>
    <cellStyle name="20% - Accent4 2 3 2 3 2" xfId="2468" xr:uid="{00000000-0005-0000-0000-00004F040000}"/>
    <cellStyle name="20% - Accent4 2 3 2 3 3" xfId="3746" xr:uid="{00000000-0005-0000-0000-000050040000}"/>
    <cellStyle name="20% - Accent4 2 3 2 3 4" xfId="5033" xr:uid="{00000000-0005-0000-0000-000051040000}"/>
    <cellStyle name="20% - Accent4 2 3 2 4" xfId="1616" xr:uid="{00000000-0005-0000-0000-000052040000}"/>
    <cellStyle name="20% - Accent4 2 3 2 5" xfId="2894" xr:uid="{00000000-0005-0000-0000-000053040000}"/>
    <cellStyle name="20% - Accent4 2 3 2 6" xfId="4181" xr:uid="{00000000-0005-0000-0000-000054040000}"/>
    <cellStyle name="20% - Accent4 2 3 3" xfId="537" xr:uid="{00000000-0005-0000-0000-000055040000}"/>
    <cellStyle name="20% - Accent4 2 3 3 2" xfId="1829" xr:uid="{00000000-0005-0000-0000-000056040000}"/>
    <cellStyle name="20% - Accent4 2 3 3 3" xfId="3107" xr:uid="{00000000-0005-0000-0000-000057040000}"/>
    <cellStyle name="20% - Accent4 2 3 3 4" xfId="4394" xr:uid="{00000000-0005-0000-0000-000058040000}"/>
    <cellStyle name="20% - Accent4 2 3 4" xfId="963" xr:uid="{00000000-0005-0000-0000-000059040000}"/>
    <cellStyle name="20% - Accent4 2 3 4 2" xfId="2255" xr:uid="{00000000-0005-0000-0000-00005A040000}"/>
    <cellStyle name="20% - Accent4 2 3 4 3" xfId="3533" xr:uid="{00000000-0005-0000-0000-00005B040000}"/>
    <cellStyle name="20% - Accent4 2 3 4 4" xfId="4820" xr:uid="{00000000-0005-0000-0000-00005C040000}"/>
    <cellStyle name="20% - Accent4 2 3 5" xfId="1403" xr:uid="{00000000-0005-0000-0000-00005D040000}"/>
    <cellStyle name="20% - Accent4 2 3 6" xfId="2681" xr:uid="{00000000-0005-0000-0000-00005E040000}"/>
    <cellStyle name="20% - Accent4 2 3 7" xfId="3968" xr:uid="{00000000-0005-0000-0000-00005F040000}"/>
    <cellStyle name="20% - Accent4 2 3 8" xfId="5234" xr:uid="{00000000-0005-0000-0000-000060040000}"/>
    <cellStyle name="20% - Accent4 2 4" xfId="116" xr:uid="{00000000-0005-0000-0000-000061040000}"/>
    <cellStyle name="20% - Accent4 2 4 2" xfId="325" xr:uid="{00000000-0005-0000-0000-000062040000}"/>
    <cellStyle name="20% - Accent4 2 4 2 2" xfId="751" xr:uid="{00000000-0005-0000-0000-000063040000}"/>
    <cellStyle name="20% - Accent4 2 4 2 2 2" xfId="2043" xr:uid="{00000000-0005-0000-0000-000064040000}"/>
    <cellStyle name="20% - Accent4 2 4 2 2 3" xfId="3321" xr:uid="{00000000-0005-0000-0000-000065040000}"/>
    <cellStyle name="20% - Accent4 2 4 2 2 4" xfId="4608" xr:uid="{00000000-0005-0000-0000-000066040000}"/>
    <cellStyle name="20% - Accent4 2 4 2 3" xfId="1177" xr:uid="{00000000-0005-0000-0000-000067040000}"/>
    <cellStyle name="20% - Accent4 2 4 2 3 2" xfId="2469" xr:uid="{00000000-0005-0000-0000-000068040000}"/>
    <cellStyle name="20% - Accent4 2 4 2 3 3" xfId="3747" xr:uid="{00000000-0005-0000-0000-000069040000}"/>
    <cellStyle name="20% - Accent4 2 4 2 3 4" xfId="5034" xr:uid="{00000000-0005-0000-0000-00006A040000}"/>
    <cellStyle name="20% - Accent4 2 4 2 4" xfId="1617" xr:uid="{00000000-0005-0000-0000-00006B040000}"/>
    <cellStyle name="20% - Accent4 2 4 2 5" xfId="2895" xr:uid="{00000000-0005-0000-0000-00006C040000}"/>
    <cellStyle name="20% - Accent4 2 4 2 6" xfId="4182" xr:uid="{00000000-0005-0000-0000-00006D040000}"/>
    <cellStyle name="20% - Accent4 2 4 3" xfId="538" xr:uid="{00000000-0005-0000-0000-00006E040000}"/>
    <cellStyle name="20% - Accent4 2 4 3 2" xfId="1830" xr:uid="{00000000-0005-0000-0000-00006F040000}"/>
    <cellStyle name="20% - Accent4 2 4 3 3" xfId="3108" xr:uid="{00000000-0005-0000-0000-000070040000}"/>
    <cellStyle name="20% - Accent4 2 4 3 4" xfId="4395" xr:uid="{00000000-0005-0000-0000-000071040000}"/>
    <cellStyle name="20% - Accent4 2 4 4" xfId="964" xr:uid="{00000000-0005-0000-0000-000072040000}"/>
    <cellStyle name="20% - Accent4 2 4 4 2" xfId="2256" xr:uid="{00000000-0005-0000-0000-000073040000}"/>
    <cellStyle name="20% - Accent4 2 4 4 3" xfId="3534" xr:uid="{00000000-0005-0000-0000-000074040000}"/>
    <cellStyle name="20% - Accent4 2 4 4 4" xfId="4821" xr:uid="{00000000-0005-0000-0000-000075040000}"/>
    <cellStyle name="20% - Accent4 2 4 5" xfId="1404" xr:uid="{00000000-0005-0000-0000-000076040000}"/>
    <cellStyle name="20% - Accent4 2 4 6" xfId="2682" xr:uid="{00000000-0005-0000-0000-000077040000}"/>
    <cellStyle name="20% - Accent4 2 4 7" xfId="3969" xr:uid="{00000000-0005-0000-0000-000078040000}"/>
    <cellStyle name="20% - Accent4 2 5" xfId="117" xr:uid="{00000000-0005-0000-0000-000079040000}"/>
    <cellStyle name="20% - Accent4 2 5 2" xfId="326" xr:uid="{00000000-0005-0000-0000-00007A040000}"/>
    <cellStyle name="20% - Accent4 2 5 2 2" xfId="752" xr:uid="{00000000-0005-0000-0000-00007B040000}"/>
    <cellStyle name="20% - Accent4 2 5 2 2 2" xfId="2044" xr:uid="{00000000-0005-0000-0000-00007C040000}"/>
    <cellStyle name="20% - Accent4 2 5 2 2 3" xfId="3322" xr:uid="{00000000-0005-0000-0000-00007D040000}"/>
    <cellStyle name="20% - Accent4 2 5 2 2 4" xfId="4609" xr:uid="{00000000-0005-0000-0000-00007E040000}"/>
    <cellStyle name="20% - Accent4 2 5 2 3" xfId="1178" xr:uid="{00000000-0005-0000-0000-00007F040000}"/>
    <cellStyle name="20% - Accent4 2 5 2 3 2" xfId="2470" xr:uid="{00000000-0005-0000-0000-000080040000}"/>
    <cellStyle name="20% - Accent4 2 5 2 3 3" xfId="3748" xr:uid="{00000000-0005-0000-0000-000081040000}"/>
    <cellStyle name="20% - Accent4 2 5 2 3 4" xfId="5035" xr:uid="{00000000-0005-0000-0000-000082040000}"/>
    <cellStyle name="20% - Accent4 2 5 2 4" xfId="1618" xr:uid="{00000000-0005-0000-0000-000083040000}"/>
    <cellStyle name="20% - Accent4 2 5 2 5" xfId="2896" xr:uid="{00000000-0005-0000-0000-000084040000}"/>
    <cellStyle name="20% - Accent4 2 5 2 6" xfId="4183" xr:uid="{00000000-0005-0000-0000-000085040000}"/>
    <cellStyle name="20% - Accent4 2 5 3" xfId="539" xr:uid="{00000000-0005-0000-0000-000086040000}"/>
    <cellStyle name="20% - Accent4 2 5 3 2" xfId="1831" xr:uid="{00000000-0005-0000-0000-000087040000}"/>
    <cellStyle name="20% - Accent4 2 5 3 3" xfId="3109" xr:uid="{00000000-0005-0000-0000-000088040000}"/>
    <cellStyle name="20% - Accent4 2 5 3 4" xfId="4396" xr:uid="{00000000-0005-0000-0000-000089040000}"/>
    <cellStyle name="20% - Accent4 2 5 4" xfId="965" xr:uid="{00000000-0005-0000-0000-00008A040000}"/>
    <cellStyle name="20% - Accent4 2 5 4 2" xfId="2257" xr:uid="{00000000-0005-0000-0000-00008B040000}"/>
    <cellStyle name="20% - Accent4 2 5 4 3" xfId="3535" xr:uid="{00000000-0005-0000-0000-00008C040000}"/>
    <cellStyle name="20% - Accent4 2 5 4 4" xfId="4822" xr:uid="{00000000-0005-0000-0000-00008D040000}"/>
    <cellStyle name="20% - Accent4 2 5 5" xfId="1405" xr:uid="{00000000-0005-0000-0000-00008E040000}"/>
    <cellStyle name="20% - Accent4 2 5 6" xfId="2683" xr:uid="{00000000-0005-0000-0000-00008F040000}"/>
    <cellStyle name="20% - Accent4 2 5 7" xfId="3970" xr:uid="{00000000-0005-0000-0000-000090040000}"/>
    <cellStyle name="20% - Accent4 2 6" xfId="275" xr:uid="{00000000-0005-0000-0000-000091040000}"/>
    <cellStyle name="20% - Accent4 2 6 2" xfId="488" xr:uid="{00000000-0005-0000-0000-000092040000}"/>
    <cellStyle name="20% - Accent4 2 6 2 2" xfId="913" xr:uid="{00000000-0005-0000-0000-000093040000}"/>
    <cellStyle name="20% - Accent4 2 6 2 2 2" xfId="2205" xr:uid="{00000000-0005-0000-0000-000094040000}"/>
    <cellStyle name="20% - Accent4 2 6 2 2 3" xfId="3483" xr:uid="{00000000-0005-0000-0000-000095040000}"/>
    <cellStyle name="20% - Accent4 2 6 2 2 4" xfId="4770" xr:uid="{00000000-0005-0000-0000-000096040000}"/>
    <cellStyle name="20% - Accent4 2 6 2 3" xfId="1339" xr:uid="{00000000-0005-0000-0000-000097040000}"/>
    <cellStyle name="20% - Accent4 2 6 2 3 2" xfId="2631" xr:uid="{00000000-0005-0000-0000-000098040000}"/>
    <cellStyle name="20% - Accent4 2 6 2 3 3" xfId="3909" xr:uid="{00000000-0005-0000-0000-000099040000}"/>
    <cellStyle name="20% - Accent4 2 6 2 3 4" xfId="5196" xr:uid="{00000000-0005-0000-0000-00009A040000}"/>
    <cellStyle name="20% - Accent4 2 6 2 4" xfId="1779" xr:uid="{00000000-0005-0000-0000-00009B040000}"/>
    <cellStyle name="20% - Accent4 2 6 2 5" xfId="3057" xr:uid="{00000000-0005-0000-0000-00009C040000}"/>
    <cellStyle name="20% - Accent4 2 6 2 6" xfId="4344" xr:uid="{00000000-0005-0000-0000-00009D040000}"/>
    <cellStyle name="20% - Accent4 2 6 3" xfId="700" xr:uid="{00000000-0005-0000-0000-00009E040000}"/>
    <cellStyle name="20% - Accent4 2 6 3 2" xfId="1992" xr:uid="{00000000-0005-0000-0000-00009F040000}"/>
    <cellStyle name="20% - Accent4 2 6 3 3" xfId="3270" xr:uid="{00000000-0005-0000-0000-0000A0040000}"/>
    <cellStyle name="20% - Accent4 2 6 3 4" xfId="4557" xr:uid="{00000000-0005-0000-0000-0000A1040000}"/>
    <cellStyle name="20% - Accent4 2 6 4" xfId="1126" xr:uid="{00000000-0005-0000-0000-0000A2040000}"/>
    <cellStyle name="20% - Accent4 2 6 4 2" xfId="2418" xr:uid="{00000000-0005-0000-0000-0000A3040000}"/>
    <cellStyle name="20% - Accent4 2 6 4 3" xfId="3696" xr:uid="{00000000-0005-0000-0000-0000A4040000}"/>
    <cellStyle name="20% - Accent4 2 6 4 4" xfId="4983" xr:uid="{00000000-0005-0000-0000-0000A5040000}"/>
    <cellStyle name="20% - Accent4 2 6 5" xfId="1566" xr:uid="{00000000-0005-0000-0000-0000A6040000}"/>
    <cellStyle name="20% - Accent4 2 6 6" xfId="2844" xr:uid="{00000000-0005-0000-0000-0000A7040000}"/>
    <cellStyle name="20% - Accent4 2 6 7" xfId="4131" xr:uid="{00000000-0005-0000-0000-0000A8040000}"/>
    <cellStyle name="20% - Accent4 2 7" xfId="321" xr:uid="{00000000-0005-0000-0000-0000A9040000}"/>
    <cellStyle name="20% - Accent4 2 7 2" xfId="747" xr:uid="{00000000-0005-0000-0000-0000AA040000}"/>
    <cellStyle name="20% - Accent4 2 7 2 2" xfId="2039" xr:uid="{00000000-0005-0000-0000-0000AB040000}"/>
    <cellStyle name="20% - Accent4 2 7 2 3" xfId="3317" xr:uid="{00000000-0005-0000-0000-0000AC040000}"/>
    <cellStyle name="20% - Accent4 2 7 2 4" xfId="4604" xr:uid="{00000000-0005-0000-0000-0000AD040000}"/>
    <cellStyle name="20% - Accent4 2 7 3" xfId="1173" xr:uid="{00000000-0005-0000-0000-0000AE040000}"/>
    <cellStyle name="20% - Accent4 2 7 3 2" xfId="2465" xr:uid="{00000000-0005-0000-0000-0000AF040000}"/>
    <cellStyle name="20% - Accent4 2 7 3 3" xfId="3743" xr:uid="{00000000-0005-0000-0000-0000B0040000}"/>
    <cellStyle name="20% - Accent4 2 7 3 4" xfId="5030" xr:uid="{00000000-0005-0000-0000-0000B1040000}"/>
    <cellStyle name="20% - Accent4 2 7 4" xfId="1613" xr:uid="{00000000-0005-0000-0000-0000B2040000}"/>
    <cellStyle name="20% - Accent4 2 7 5" xfId="2891" xr:uid="{00000000-0005-0000-0000-0000B3040000}"/>
    <cellStyle name="20% - Accent4 2 7 6" xfId="4178" xr:uid="{00000000-0005-0000-0000-0000B4040000}"/>
    <cellStyle name="20% - Accent4 2 8" xfId="534" xr:uid="{00000000-0005-0000-0000-0000B5040000}"/>
    <cellStyle name="20% - Accent4 2 8 2" xfId="1826" xr:uid="{00000000-0005-0000-0000-0000B6040000}"/>
    <cellStyle name="20% - Accent4 2 8 3" xfId="3104" xr:uid="{00000000-0005-0000-0000-0000B7040000}"/>
    <cellStyle name="20% - Accent4 2 8 4" xfId="4391" xr:uid="{00000000-0005-0000-0000-0000B8040000}"/>
    <cellStyle name="20% - Accent4 2 9" xfId="960" xr:uid="{00000000-0005-0000-0000-0000B9040000}"/>
    <cellStyle name="20% - Accent4 2 9 2" xfId="2252" xr:uid="{00000000-0005-0000-0000-0000BA040000}"/>
    <cellStyle name="20% - Accent4 2 9 3" xfId="3530" xr:uid="{00000000-0005-0000-0000-0000BB040000}"/>
    <cellStyle name="20% - Accent4 2 9 4" xfId="4817" xr:uid="{00000000-0005-0000-0000-0000BC040000}"/>
    <cellStyle name="20% - Accent4 3" xfId="118" xr:uid="{00000000-0005-0000-0000-0000BD040000}"/>
    <cellStyle name="20% - Accent4 3 2" xfId="119" xr:uid="{00000000-0005-0000-0000-0000BE040000}"/>
    <cellStyle name="20% - Accent4 3 2 2" xfId="328" xr:uid="{00000000-0005-0000-0000-0000BF040000}"/>
    <cellStyle name="20% - Accent4 3 2 2 2" xfId="754" xr:uid="{00000000-0005-0000-0000-0000C0040000}"/>
    <cellStyle name="20% - Accent4 3 2 2 2 2" xfId="2046" xr:uid="{00000000-0005-0000-0000-0000C1040000}"/>
    <cellStyle name="20% - Accent4 3 2 2 2 3" xfId="3324" xr:uid="{00000000-0005-0000-0000-0000C2040000}"/>
    <cellStyle name="20% - Accent4 3 2 2 2 4" xfId="4611" xr:uid="{00000000-0005-0000-0000-0000C3040000}"/>
    <cellStyle name="20% - Accent4 3 2 2 3" xfId="1180" xr:uid="{00000000-0005-0000-0000-0000C4040000}"/>
    <cellStyle name="20% - Accent4 3 2 2 3 2" xfId="2472" xr:uid="{00000000-0005-0000-0000-0000C5040000}"/>
    <cellStyle name="20% - Accent4 3 2 2 3 3" xfId="3750" xr:uid="{00000000-0005-0000-0000-0000C6040000}"/>
    <cellStyle name="20% - Accent4 3 2 2 3 4" xfId="5037" xr:uid="{00000000-0005-0000-0000-0000C7040000}"/>
    <cellStyle name="20% - Accent4 3 2 2 4" xfId="1620" xr:uid="{00000000-0005-0000-0000-0000C8040000}"/>
    <cellStyle name="20% - Accent4 3 2 2 5" xfId="2898" xr:uid="{00000000-0005-0000-0000-0000C9040000}"/>
    <cellStyle name="20% - Accent4 3 2 2 6" xfId="4185" xr:uid="{00000000-0005-0000-0000-0000CA040000}"/>
    <cellStyle name="20% - Accent4 3 2 3" xfId="541" xr:uid="{00000000-0005-0000-0000-0000CB040000}"/>
    <cellStyle name="20% - Accent4 3 2 3 2" xfId="1833" xr:uid="{00000000-0005-0000-0000-0000CC040000}"/>
    <cellStyle name="20% - Accent4 3 2 3 3" xfId="3111" xr:uid="{00000000-0005-0000-0000-0000CD040000}"/>
    <cellStyle name="20% - Accent4 3 2 3 4" xfId="4398" xr:uid="{00000000-0005-0000-0000-0000CE040000}"/>
    <cellStyle name="20% - Accent4 3 2 4" xfId="967" xr:uid="{00000000-0005-0000-0000-0000CF040000}"/>
    <cellStyle name="20% - Accent4 3 2 4 2" xfId="2259" xr:uid="{00000000-0005-0000-0000-0000D0040000}"/>
    <cellStyle name="20% - Accent4 3 2 4 3" xfId="3537" xr:uid="{00000000-0005-0000-0000-0000D1040000}"/>
    <cellStyle name="20% - Accent4 3 2 4 4" xfId="4824" xr:uid="{00000000-0005-0000-0000-0000D2040000}"/>
    <cellStyle name="20% - Accent4 3 2 5" xfId="1407" xr:uid="{00000000-0005-0000-0000-0000D3040000}"/>
    <cellStyle name="20% - Accent4 3 2 6" xfId="2685" xr:uid="{00000000-0005-0000-0000-0000D4040000}"/>
    <cellStyle name="20% - Accent4 3 2 7" xfId="3972" xr:uid="{00000000-0005-0000-0000-0000D5040000}"/>
    <cellStyle name="20% - Accent4 3 2 8" xfId="5236" xr:uid="{00000000-0005-0000-0000-0000D6040000}"/>
    <cellStyle name="20% - Accent4 3 3" xfId="327" xr:uid="{00000000-0005-0000-0000-0000D7040000}"/>
    <cellStyle name="20% - Accent4 3 3 2" xfId="753" xr:uid="{00000000-0005-0000-0000-0000D8040000}"/>
    <cellStyle name="20% - Accent4 3 3 2 2" xfId="2045" xr:uid="{00000000-0005-0000-0000-0000D9040000}"/>
    <cellStyle name="20% - Accent4 3 3 2 3" xfId="3323" xr:uid="{00000000-0005-0000-0000-0000DA040000}"/>
    <cellStyle name="20% - Accent4 3 3 2 4" xfId="4610" xr:uid="{00000000-0005-0000-0000-0000DB040000}"/>
    <cellStyle name="20% - Accent4 3 3 3" xfId="1179" xr:uid="{00000000-0005-0000-0000-0000DC040000}"/>
    <cellStyle name="20% - Accent4 3 3 3 2" xfId="2471" xr:uid="{00000000-0005-0000-0000-0000DD040000}"/>
    <cellStyle name="20% - Accent4 3 3 3 3" xfId="3749" xr:uid="{00000000-0005-0000-0000-0000DE040000}"/>
    <cellStyle name="20% - Accent4 3 3 3 4" xfId="5036" xr:uid="{00000000-0005-0000-0000-0000DF040000}"/>
    <cellStyle name="20% - Accent4 3 3 4" xfId="1619" xr:uid="{00000000-0005-0000-0000-0000E0040000}"/>
    <cellStyle name="20% - Accent4 3 3 5" xfId="2897" xr:uid="{00000000-0005-0000-0000-0000E1040000}"/>
    <cellStyle name="20% - Accent4 3 3 6" xfId="4184" xr:uid="{00000000-0005-0000-0000-0000E2040000}"/>
    <cellStyle name="20% - Accent4 3 4" xfId="540" xr:uid="{00000000-0005-0000-0000-0000E3040000}"/>
    <cellStyle name="20% - Accent4 3 4 2" xfId="1832" xr:uid="{00000000-0005-0000-0000-0000E4040000}"/>
    <cellStyle name="20% - Accent4 3 4 3" xfId="3110" xr:uid="{00000000-0005-0000-0000-0000E5040000}"/>
    <cellStyle name="20% - Accent4 3 4 4" xfId="4397" xr:uid="{00000000-0005-0000-0000-0000E6040000}"/>
    <cellStyle name="20% - Accent4 3 5" xfId="966" xr:uid="{00000000-0005-0000-0000-0000E7040000}"/>
    <cellStyle name="20% - Accent4 3 5 2" xfId="2258" xr:uid="{00000000-0005-0000-0000-0000E8040000}"/>
    <cellStyle name="20% - Accent4 3 5 3" xfId="3536" xr:uid="{00000000-0005-0000-0000-0000E9040000}"/>
    <cellStyle name="20% - Accent4 3 5 4" xfId="4823" xr:uid="{00000000-0005-0000-0000-0000EA040000}"/>
    <cellStyle name="20% - Accent4 3 6" xfId="1406" xr:uid="{00000000-0005-0000-0000-0000EB040000}"/>
    <cellStyle name="20% - Accent4 3 7" xfId="2684" xr:uid="{00000000-0005-0000-0000-0000EC040000}"/>
    <cellStyle name="20% - Accent4 3 8" xfId="3971" xr:uid="{00000000-0005-0000-0000-0000ED040000}"/>
    <cellStyle name="20% - Accent4 3 9" xfId="5235" xr:uid="{00000000-0005-0000-0000-0000EE040000}"/>
    <cellStyle name="20% - Accent4 4" xfId="120" xr:uid="{00000000-0005-0000-0000-0000EF040000}"/>
    <cellStyle name="20% - Accent4 4 2" xfId="329" xr:uid="{00000000-0005-0000-0000-0000F0040000}"/>
    <cellStyle name="20% - Accent4 4 2 2" xfId="755" xr:uid="{00000000-0005-0000-0000-0000F1040000}"/>
    <cellStyle name="20% - Accent4 4 2 2 2" xfId="2047" xr:uid="{00000000-0005-0000-0000-0000F2040000}"/>
    <cellStyle name="20% - Accent4 4 2 2 3" xfId="3325" xr:uid="{00000000-0005-0000-0000-0000F3040000}"/>
    <cellStyle name="20% - Accent4 4 2 2 4" xfId="4612" xr:uid="{00000000-0005-0000-0000-0000F4040000}"/>
    <cellStyle name="20% - Accent4 4 2 3" xfId="1181" xr:uid="{00000000-0005-0000-0000-0000F5040000}"/>
    <cellStyle name="20% - Accent4 4 2 3 2" xfId="2473" xr:uid="{00000000-0005-0000-0000-0000F6040000}"/>
    <cellStyle name="20% - Accent4 4 2 3 3" xfId="3751" xr:uid="{00000000-0005-0000-0000-0000F7040000}"/>
    <cellStyle name="20% - Accent4 4 2 3 4" xfId="5038" xr:uid="{00000000-0005-0000-0000-0000F8040000}"/>
    <cellStyle name="20% - Accent4 4 2 4" xfId="1621" xr:uid="{00000000-0005-0000-0000-0000F9040000}"/>
    <cellStyle name="20% - Accent4 4 2 5" xfId="2899" xr:uid="{00000000-0005-0000-0000-0000FA040000}"/>
    <cellStyle name="20% - Accent4 4 2 6" xfId="4186" xr:uid="{00000000-0005-0000-0000-0000FB040000}"/>
    <cellStyle name="20% - Accent4 4 3" xfId="542" xr:uid="{00000000-0005-0000-0000-0000FC040000}"/>
    <cellStyle name="20% - Accent4 4 3 2" xfId="1834" xr:uid="{00000000-0005-0000-0000-0000FD040000}"/>
    <cellStyle name="20% - Accent4 4 3 3" xfId="3112" xr:uid="{00000000-0005-0000-0000-0000FE040000}"/>
    <cellStyle name="20% - Accent4 4 3 4" xfId="4399" xr:uid="{00000000-0005-0000-0000-0000FF040000}"/>
    <cellStyle name="20% - Accent4 4 4" xfId="968" xr:uid="{00000000-0005-0000-0000-000000050000}"/>
    <cellStyle name="20% - Accent4 4 4 2" xfId="2260" xr:uid="{00000000-0005-0000-0000-000001050000}"/>
    <cellStyle name="20% - Accent4 4 4 3" xfId="3538" xr:uid="{00000000-0005-0000-0000-000002050000}"/>
    <cellStyle name="20% - Accent4 4 4 4" xfId="4825" xr:uid="{00000000-0005-0000-0000-000003050000}"/>
    <cellStyle name="20% - Accent4 4 5" xfId="1408" xr:uid="{00000000-0005-0000-0000-000004050000}"/>
    <cellStyle name="20% - Accent4 4 6" xfId="2686" xr:uid="{00000000-0005-0000-0000-000005050000}"/>
    <cellStyle name="20% - Accent4 4 7" xfId="3973" xr:uid="{00000000-0005-0000-0000-000006050000}"/>
    <cellStyle name="20% - Accent4 4 8" xfId="5237" xr:uid="{00000000-0005-0000-0000-000007050000}"/>
    <cellStyle name="20% - Accent4 5" xfId="121" xr:uid="{00000000-0005-0000-0000-000008050000}"/>
    <cellStyle name="20% - Accent4 5 2" xfId="330" xr:uid="{00000000-0005-0000-0000-000009050000}"/>
    <cellStyle name="20% - Accent4 5 2 2" xfId="756" xr:uid="{00000000-0005-0000-0000-00000A050000}"/>
    <cellStyle name="20% - Accent4 5 2 2 2" xfId="2048" xr:uid="{00000000-0005-0000-0000-00000B050000}"/>
    <cellStyle name="20% - Accent4 5 2 2 3" xfId="3326" xr:uid="{00000000-0005-0000-0000-00000C050000}"/>
    <cellStyle name="20% - Accent4 5 2 2 4" xfId="4613" xr:uid="{00000000-0005-0000-0000-00000D050000}"/>
    <cellStyle name="20% - Accent4 5 2 3" xfId="1182" xr:uid="{00000000-0005-0000-0000-00000E050000}"/>
    <cellStyle name="20% - Accent4 5 2 3 2" xfId="2474" xr:uid="{00000000-0005-0000-0000-00000F050000}"/>
    <cellStyle name="20% - Accent4 5 2 3 3" xfId="3752" xr:uid="{00000000-0005-0000-0000-000010050000}"/>
    <cellStyle name="20% - Accent4 5 2 3 4" xfId="5039" xr:uid="{00000000-0005-0000-0000-000011050000}"/>
    <cellStyle name="20% - Accent4 5 2 4" xfId="1622" xr:uid="{00000000-0005-0000-0000-000012050000}"/>
    <cellStyle name="20% - Accent4 5 2 5" xfId="2900" xr:uid="{00000000-0005-0000-0000-000013050000}"/>
    <cellStyle name="20% - Accent4 5 2 6" xfId="4187" xr:uid="{00000000-0005-0000-0000-000014050000}"/>
    <cellStyle name="20% - Accent4 5 3" xfId="543" xr:uid="{00000000-0005-0000-0000-000015050000}"/>
    <cellStyle name="20% - Accent4 5 3 2" xfId="1835" xr:uid="{00000000-0005-0000-0000-000016050000}"/>
    <cellStyle name="20% - Accent4 5 3 3" xfId="3113" xr:uid="{00000000-0005-0000-0000-000017050000}"/>
    <cellStyle name="20% - Accent4 5 3 4" xfId="4400" xr:uid="{00000000-0005-0000-0000-000018050000}"/>
    <cellStyle name="20% - Accent4 5 4" xfId="969" xr:uid="{00000000-0005-0000-0000-000019050000}"/>
    <cellStyle name="20% - Accent4 5 4 2" xfId="2261" xr:uid="{00000000-0005-0000-0000-00001A050000}"/>
    <cellStyle name="20% - Accent4 5 4 3" xfId="3539" xr:uid="{00000000-0005-0000-0000-00001B050000}"/>
    <cellStyle name="20% - Accent4 5 4 4" xfId="4826" xr:uid="{00000000-0005-0000-0000-00001C050000}"/>
    <cellStyle name="20% - Accent4 5 5" xfId="1409" xr:uid="{00000000-0005-0000-0000-00001D050000}"/>
    <cellStyle name="20% - Accent4 5 6" xfId="2687" xr:uid="{00000000-0005-0000-0000-00001E050000}"/>
    <cellStyle name="20% - Accent4 5 7" xfId="3974" xr:uid="{00000000-0005-0000-0000-00001F050000}"/>
    <cellStyle name="20% - Accent4 6" xfId="122" xr:uid="{00000000-0005-0000-0000-000020050000}"/>
    <cellStyle name="20% - Accent4 6 2" xfId="331" xr:uid="{00000000-0005-0000-0000-000021050000}"/>
    <cellStyle name="20% - Accent4 6 2 2" xfId="757" xr:uid="{00000000-0005-0000-0000-000022050000}"/>
    <cellStyle name="20% - Accent4 6 2 2 2" xfId="2049" xr:uid="{00000000-0005-0000-0000-000023050000}"/>
    <cellStyle name="20% - Accent4 6 2 2 3" xfId="3327" xr:uid="{00000000-0005-0000-0000-000024050000}"/>
    <cellStyle name="20% - Accent4 6 2 2 4" xfId="4614" xr:uid="{00000000-0005-0000-0000-000025050000}"/>
    <cellStyle name="20% - Accent4 6 2 3" xfId="1183" xr:uid="{00000000-0005-0000-0000-000026050000}"/>
    <cellStyle name="20% - Accent4 6 2 3 2" xfId="2475" xr:uid="{00000000-0005-0000-0000-000027050000}"/>
    <cellStyle name="20% - Accent4 6 2 3 3" xfId="3753" xr:uid="{00000000-0005-0000-0000-000028050000}"/>
    <cellStyle name="20% - Accent4 6 2 3 4" xfId="5040" xr:uid="{00000000-0005-0000-0000-000029050000}"/>
    <cellStyle name="20% - Accent4 6 2 4" xfId="1623" xr:uid="{00000000-0005-0000-0000-00002A050000}"/>
    <cellStyle name="20% - Accent4 6 2 5" xfId="2901" xr:uid="{00000000-0005-0000-0000-00002B050000}"/>
    <cellStyle name="20% - Accent4 6 2 6" xfId="4188" xr:uid="{00000000-0005-0000-0000-00002C050000}"/>
    <cellStyle name="20% - Accent4 6 3" xfId="544" xr:uid="{00000000-0005-0000-0000-00002D050000}"/>
    <cellStyle name="20% - Accent4 6 3 2" xfId="1836" xr:uid="{00000000-0005-0000-0000-00002E050000}"/>
    <cellStyle name="20% - Accent4 6 3 3" xfId="3114" xr:uid="{00000000-0005-0000-0000-00002F050000}"/>
    <cellStyle name="20% - Accent4 6 3 4" xfId="4401" xr:uid="{00000000-0005-0000-0000-000030050000}"/>
    <cellStyle name="20% - Accent4 6 4" xfId="970" xr:uid="{00000000-0005-0000-0000-000031050000}"/>
    <cellStyle name="20% - Accent4 6 4 2" xfId="2262" xr:uid="{00000000-0005-0000-0000-000032050000}"/>
    <cellStyle name="20% - Accent4 6 4 3" xfId="3540" xr:uid="{00000000-0005-0000-0000-000033050000}"/>
    <cellStyle name="20% - Accent4 6 4 4" xfId="4827" xr:uid="{00000000-0005-0000-0000-000034050000}"/>
    <cellStyle name="20% - Accent4 6 5" xfId="1410" xr:uid="{00000000-0005-0000-0000-000035050000}"/>
    <cellStyle name="20% - Accent4 6 6" xfId="2688" xr:uid="{00000000-0005-0000-0000-000036050000}"/>
    <cellStyle name="20% - Accent4 6 7" xfId="3975" xr:uid="{00000000-0005-0000-0000-000037050000}"/>
    <cellStyle name="20% - Accent4 7" xfId="257" xr:uid="{00000000-0005-0000-0000-000038050000}"/>
    <cellStyle name="20% - Accent4 7 2" xfId="470" xr:uid="{00000000-0005-0000-0000-000039050000}"/>
    <cellStyle name="20% - Accent4 7 2 2" xfId="895" xr:uid="{00000000-0005-0000-0000-00003A050000}"/>
    <cellStyle name="20% - Accent4 7 2 2 2" xfId="2187" xr:uid="{00000000-0005-0000-0000-00003B050000}"/>
    <cellStyle name="20% - Accent4 7 2 2 3" xfId="3465" xr:uid="{00000000-0005-0000-0000-00003C050000}"/>
    <cellStyle name="20% - Accent4 7 2 2 4" xfId="4752" xr:uid="{00000000-0005-0000-0000-00003D050000}"/>
    <cellStyle name="20% - Accent4 7 2 3" xfId="1321" xr:uid="{00000000-0005-0000-0000-00003E050000}"/>
    <cellStyle name="20% - Accent4 7 2 3 2" xfId="2613" xr:uid="{00000000-0005-0000-0000-00003F050000}"/>
    <cellStyle name="20% - Accent4 7 2 3 3" xfId="3891" xr:uid="{00000000-0005-0000-0000-000040050000}"/>
    <cellStyle name="20% - Accent4 7 2 3 4" xfId="5178" xr:uid="{00000000-0005-0000-0000-000041050000}"/>
    <cellStyle name="20% - Accent4 7 2 4" xfId="1761" xr:uid="{00000000-0005-0000-0000-000042050000}"/>
    <cellStyle name="20% - Accent4 7 2 5" xfId="3039" xr:uid="{00000000-0005-0000-0000-000043050000}"/>
    <cellStyle name="20% - Accent4 7 2 6" xfId="4326" xr:uid="{00000000-0005-0000-0000-000044050000}"/>
    <cellStyle name="20% - Accent4 7 3" xfId="682" xr:uid="{00000000-0005-0000-0000-000045050000}"/>
    <cellStyle name="20% - Accent4 7 3 2" xfId="1974" xr:uid="{00000000-0005-0000-0000-000046050000}"/>
    <cellStyle name="20% - Accent4 7 3 3" xfId="3252" xr:uid="{00000000-0005-0000-0000-000047050000}"/>
    <cellStyle name="20% - Accent4 7 3 4" xfId="4539" xr:uid="{00000000-0005-0000-0000-000048050000}"/>
    <cellStyle name="20% - Accent4 7 4" xfId="1108" xr:uid="{00000000-0005-0000-0000-000049050000}"/>
    <cellStyle name="20% - Accent4 7 4 2" xfId="2400" xr:uid="{00000000-0005-0000-0000-00004A050000}"/>
    <cellStyle name="20% - Accent4 7 4 3" xfId="3678" xr:uid="{00000000-0005-0000-0000-00004B050000}"/>
    <cellStyle name="20% - Accent4 7 4 4" xfId="4965" xr:uid="{00000000-0005-0000-0000-00004C050000}"/>
    <cellStyle name="20% - Accent4 7 5" xfId="1548" xr:uid="{00000000-0005-0000-0000-00004D050000}"/>
    <cellStyle name="20% - Accent4 7 6" xfId="2826" xr:uid="{00000000-0005-0000-0000-00004E050000}"/>
    <cellStyle name="20% - Accent4 7 7" xfId="4113" xr:uid="{00000000-0005-0000-0000-00004F050000}"/>
    <cellStyle name="20% - Accent4 8" xfId="320" xr:uid="{00000000-0005-0000-0000-000050050000}"/>
    <cellStyle name="20% - Accent4 8 2" xfId="746" xr:uid="{00000000-0005-0000-0000-000051050000}"/>
    <cellStyle name="20% - Accent4 8 2 2" xfId="2038" xr:uid="{00000000-0005-0000-0000-000052050000}"/>
    <cellStyle name="20% - Accent4 8 2 3" xfId="3316" xr:uid="{00000000-0005-0000-0000-000053050000}"/>
    <cellStyle name="20% - Accent4 8 2 4" xfId="4603" xr:uid="{00000000-0005-0000-0000-000054050000}"/>
    <cellStyle name="20% - Accent4 8 3" xfId="1172" xr:uid="{00000000-0005-0000-0000-000055050000}"/>
    <cellStyle name="20% - Accent4 8 3 2" xfId="2464" xr:uid="{00000000-0005-0000-0000-000056050000}"/>
    <cellStyle name="20% - Accent4 8 3 3" xfId="3742" xr:uid="{00000000-0005-0000-0000-000057050000}"/>
    <cellStyle name="20% - Accent4 8 3 4" xfId="5029" xr:uid="{00000000-0005-0000-0000-000058050000}"/>
    <cellStyle name="20% - Accent4 8 4" xfId="1612" xr:uid="{00000000-0005-0000-0000-000059050000}"/>
    <cellStyle name="20% - Accent4 8 5" xfId="2890" xr:uid="{00000000-0005-0000-0000-00005A050000}"/>
    <cellStyle name="20% - Accent4 8 6" xfId="4177" xr:uid="{00000000-0005-0000-0000-00005B050000}"/>
    <cellStyle name="20% - Accent4 9" xfId="533" xr:uid="{00000000-0005-0000-0000-00005C050000}"/>
    <cellStyle name="20% - Accent4 9 2" xfId="1825" xr:uid="{00000000-0005-0000-0000-00005D050000}"/>
    <cellStyle name="20% - Accent4 9 3" xfId="3103" xr:uid="{00000000-0005-0000-0000-00005E050000}"/>
    <cellStyle name="20% - Accent4 9 4" xfId="4390" xr:uid="{00000000-0005-0000-0000-00005F050000}"/>
    <cellStyle name="20% - Accent5" xfId="73" builtinId="46" customBuiltin="1"/>
    <cellStyle name="20% - Accent5 10" xfId="971" xr:uid="{00000000-0005-0000-0000-000061050000}"/>
    <cellStyle name="20% - Accent5 10 2" xfId="2263" xr:uid="{00000000-0005-0000-0000-000062050000}"/>
    <cellStyle name="20% - Accent5 10 3" xfId="3541" xr:uid="{00000000-0005-0000-0000-000063050000}"/>
    <cellStyle name="20% - Accent5 10 4" xfId="4828" xr:uid="{00000000-0005-0000-0000-000064050000}"/>
    <cellStyle name="20% - Accent5 11" xfId="1411" xr:uid="{00000000-0005-0000-0000-000065050000}"/>
    <cellStyle name="20% - Accent5 12" xfId="2689" xr:uid="{00000000-0005-0000-0000-000066050000}"/>
    <cellStyle name="20% - Accent5 13" xfId="3976" xr:uid="{00000000-0005-0000-0000-000067050000}"/>
    <cellStyle name="20% - Accent5 14" xfId="5238" xr:uid="{00000000-0005-0000-0000-000068050000}"/>
    <cellStyle name="20% - Accent5 2" xfId="14" xr:uid="{00000000-0005-0000-0000-000069050000}"/>
    <cellStyle name="20% - Accent5 2 10" xfId="1412" xr:uid="{00000000-0005-0000-0000-00006A050000}"/>
    <cellStyle name="20% - Accent5 2 11" xfId="2690" xr:uid="{00000000-0005-0000-0000-00006B050000}"/>
    <cellStyle name="20% - Accent5 2 12" xfId="3977" xr:uid="{00000000-0005-0000-0000-00006C050000}"/>
    <cellStyle name="20% - Accent5 2 13" xfId="5239" xr:uid="{00000000-0005-0000-0000-00006D050000}"/>
    <cellStyle name="20% - Accent5 2 2" xfId="123" xr:uid="{00000000-0005-0000-0000-00006E050000}"/>
    <cellStyle name="20% - Accent5 2 2 2" xfId="124" xr:uid="{00000000-0005-0000-0000-00006F050000}"/>
    <cellStyle name="20% - Accent5 2 2 2 2" xfId="335" xr:uid="{00000000-0005-0000-0000-000070050000}"/>
    <cellStyle name="20% - Accent5 2 2 2 2 2" xfId="761" xr:uid="{00000000-0005-0000-0000-000071050000}"/>
    <cellStyle name="20% - Accent5 2 2 2 2 2 2" xfId="2053" xr:uid="{00000000-0005-0000-0000-000072050000}"/>
    <cellStyle name="20% - Accent5 2 2 2 2 2 3" xfId="3331" xr:uid="{00000000-0005-0000-0000-000073050000}"/>
    <cellStyle name="20% - Accent5 2 2 2 2 2 4" xfId="4618" xr:uid="{00000000-0005-0000-0000-000074050000}"/>
    <cellStyle name="20% - Accent5 2 2 2 2 3" xfId="1187" xr:uid="{00000000-0005-0000-0000-000075050000}"/>
    <cellStyle name="20% - Accent5 2 2 2 2 3 2" xfId="2479" xr:uid="{00000000-0005-0000-0000-000076050000}"/>
    <cellStyle name="20% - Accent5 2 2 2 2 3 3" xfId="3757" xr:uid="{00000000-0005-0000-0000-000077050000}"/>
    <cellStyle name="20% - Accent5 2 2 2 2 3 4" xfId="5044" xr:uid="{00000000-0005-0000-0000-000078050000}"/>
    <cellStyle name="20% - Accent5 2 2 2 2 4" xfId="1627" xr:uid="{00000000-0005-0000-0000-000079050000}"/>
    <cellStyle name="20% - Accent5 2 2 2 2 5" xfId="2905" xr:uid="{00000000-0005-0000-0000-00007A050000}"/>
    <cellStyle name="20% - Accent5 2 2 2 2 6" xfId="4192" xr:uid="{00000000-0005-0000-0000-00007B050000}"/>
    <cellStyle name="20% - Accent5 2 2 2 3" xfId="548" xr:uid="{00000000-0005-0000-0000-00007C050000}"/>
    <cellStyle name="20% - Accent5 2 2 2 3 2" xfId="1840" xr:uid="{00000000-0005-0000-0000-00007D050000}"/>
    <cellStyle name="20% - Accent5 2 2 2 3 3" xfId="3118" xr:uid="{00000000-0005-0000-0000-00007E050000}"/>
    <cellStyle name="20% - Accent5 2 2 2 3 4" xfId="4405" xr:uid="{00000000-0005-0000-0000-00007F050000}"/>
    <cellStyle name="20% - Accent5 2 2 2 4" xfId="974" xr:uid="{00000000-0005-0000-0000-000080050000}"/>
    <cellStyle name="20% - Accent5 2 2 2 4 2" xfId="2266" xr:uid="{00000000-0005-0000-0000-000081050000}"/>
    <cellStyle name="20% - Accent5 2 2 2 4 3" xfId="3544" xr:uid="{00000000-0005-0000-0000-000082050000}"/>
    <cellStyle name="20% - Accent5 2 2 2 4 4" xfId="4831" xr:uid="{00000000-0005-0000-0000-000083050000}"/>
    <cellStyle name="20% - Accent5 2 2 2 5" xfId="1414" xr:uid="{00000000-0005-0000-0000-000084050000}"/>
    <cellStyle name="20% - Accent5 2 2 2 6" xfId="2692" xr:uid="{00000000-0005-0000-0000-000085050000}"/>
    <cellStyle name="20% - Accent5 2 2 2 7" xfId="3979" xr:uid="{00000000-0005-0000-0000-000086050000}"/>
    <cellStyle name="20% - Accent5 2 2 2 8" xfId="5241" xr:uid="{00000000-0005-0000-0000-000087050000}"/>
    <cellStyle name="20% - Accent5 2 2 3" xfId="334" xr:uid="{00000000-0005-0000-0000-000088050000}"/>
    <cellStyle name="20% - Accent5 2 2 3 2" xfId="760" xr:uid="{00000000-0005-0000-0000-000089050000}"/>
    <cellStyle name="20% - Accent5 2 2 3 2 2" xfId="2052" xr:uid="{00000000-0005-0000-0000-00008A050000}"/>
    <cellStyle name="20% - Accent5 2 2 3 2 3" xfId="3330" xr:uid="{00000000-0005-0000-0000-00008B050000}"/>
    <cellStyle name="20% - Accent5 2 2 3 2 4" xfId="4617" xr:uid="{00000000-0005-0000-0000-00008C050000}"/>
    <cellStyle name="20% - Accent5 2 2 3 3" xfId="1186" xr:uid="{00000000-0005-0000-0000-00008D050000}"/>
    <cellStyle name="20% - Accent5 2 2 3 3 2" xfId="2478" xr:uid="{00000000-0005-0000-0000-00008E050000}"/>
    <cellStyle name="20% - Accent5 2 2 3 3 3" xfId="3756" xr:uid="{00000000-0005-0000-0000-00008F050000}"/>
    <cellStyle name="20% - Accent5 2 2 3 3 4" xfId="5043" xr:uid="{00000000-0005-0000-0000-000090050000}"/>
    <cellStyle name="20% - Accent5 2 2 3 4" xfId="1626" xr:uid="{00000000-0005-0000-0000-000091050000}"/>
    <cellStyle name="20% - Accent5 2 2 3 5" xfId="2904" xr:uid="{00000000-0005-0000-0000-000092050000}"/>
    <cellStyle name="20% - Accent5 2 2 3 6" xfId="4191" xr:uid="{00000000-0005-0000-0000-000093050000}"/>
    <cellStyle name="20% - Accent5 2 2 4" xfId="547" xr:uid="{00000000-0005-0000-0000-000094050000}"/>
    <cellStyle name="20% - Accent5 2 2 4 2" xfId="1839" xr:uid="{00000000-0005-0000-0000-000095050000}"/>
    <cellStyle name="20% - Accent5 2 2 4 3" xfId="3117" xr:uid="{00000000-0005-0000-0000-000096050000}"/>
    <cellStyle name="20% - Accent5 2 2 4 4" xfId="4404" xr:uid="{00000000-0005-0000-0000-000097050000}"/>
    <cellStyle name="20% - Accent5 2 2 5" xfId="973" xr:uid="{00000000-0005-0000-0000-000098050000}"/>
    <cellStyle name="20% - Accent5 2 2 5 2" xfId="2265" xr:uid="{00000000-0005-0000-0000-000099050000}"/>
    <cellStyle name="20% - Accent5 2 2 5 3" xfId="3543" xr:uid="{00000000-0005-0000-0000-00009A050000}"/>
    <cellStyle name="20% - Accent5 2 2 5 4" xfId="4830" xr:uid="{00000000-0005-0000-0000-00009B050000}"/>
    <cellStyle name="20% - Accent5 2 2 6" xfId="1413" xr:uid="{00000000-0005-0000-0000-00009C050000}"/>
    <cellStyle name="20% - Accent5 2 2 7" xfId="2691" xr:uid="{00000000-0005-0000-0000-00009D050000}"/>
    <cellStyle name="20% - Accent5 2 2 8" xfId="3978" xr:uid="{00000000-0005-0000-0000-00009E050000}"/>
    <cellStyle name="20% - Accent5 2 2 9" xfId="5240" xr:uid="{00000000-0005-0000-0000-00009F050000}"/>
    <cellStyle name="20% - Accent5 2 3" xfId="125" xr:uid="{00000000-0005-0000-0000-0000A0050000}"/>
    <cellStyle name="20% - Accent5 2 3 2" xfId="336" xr:uid="{00000000-0005-0000-0000-0000A1050000}"/>
    <cellStyle name="20% - Accent5 2 3 2 2" xfId="762" xr:uid="{00000000-0005-0000-0000-0000A2050000}"/>
    <cellStyle name="20% - Accent5 2 3 2 2 2" xfId="2054" xr:uid="{00000000-0005-0000-0000-0000A3050000}"/>
    <cellStyle name="20% - Accent5 2 3 2 2 3" xfId="3332" xr:uid="{00000000-0005-0000-0000-0000A4050000}"/>
    <cellStyle name="20% - Accent5 2 3 2 2 4" xfId="4619" xr:uid="{00000000-0005-0000-0000-0000A5050000}"/>
    <cellStyle name="20% - Accent5 2 3 2 3" xfId="1188" xr:uid="{00000000-0005-0000-0000-0000A6050000}"/>
    <cellStyle name="20% - Accent5 2 3 2 3 2" xfId="2480" xr:uid="{00000000-0005-0000-0000-0000A7050000}"/>
    <cellStyle name="20% - Accent5 2 3 2 3 3" xfId="3758" xr:uid="{00000000-0005-0000-0000-0000A8050000}"/>
    <cellStyle name="20% - Accent5 2 3 2 3 4" xfId="5045" xr:uid="{00000000-0005-0000-0000-0000A9050000}"/>
    <cellStyle name="20% - Accent5 2 3 2 4" xfId="1628" xr:uid="{00000000-0005-0000-0000-0000AA050000}"/>
    <cellStyle name="20% - Accent5 2 3 2 5" xfId="2906" xr:uid="{00000000-0005-0000-0000-0000AB050000}"/>
    <cellStyle name="20% - Accent5 2 3 2 6" xfId="4193" xr:uid="{00000000-0005-0000-0000-0000AC050000}"/>
    <cellStyle name="20% - Accent5 2 3 3" xfId="549" xr:uid="{00000000-0005-0000-0000-0000AD050000}"/>
    <cellStyle name="20% - Accent5 2 3 3 2" xfId="1841" xr:uid="{00000000-0005-0000-0000-0000AE050000}"/>
    <cellStyle name="20% - Accent5 2 3 3 3" xfId="3119" xr:uid="{00000000-0005-0000-0000-0000AF050000}"/>
    <cellStyle name="20% - Accent5 2 3 3 4" xfId="4406" xr:uid="{00000000-0005-0000-0000-0000B0050000}"/>
    <cellStyle name="20% - Accent5 2 3 4" xfId="975" xr:uid="{00000000-0005-0000-0000-0000B1050000}"/>
    <cellStyle name="20% - Accent5 2 3 4 2" xfId="2267" xr:uid="{00000000-0005-0000-0000-0000B2050000}"/>
    <cellStyle name="20% - Accent5 2 3 4 3" xfId="3545" xr:uid="{00000000-0005-0000-0000-0000B3050000}"/>
    <cellStyle name="20% - Accent5 2 3 4 4" xfId="4832" xr:uid="{00000000-0005-0000-0000-0000B4050000}"/>
    <cellStyle name="20% - Accent5 2 3 5" xfId="1415" xr:uid="{00000000-0005-0000-0000-0000B5050000}"/>
    <cellStyle name="20% - Accent5 2 3 6" xfId="2693" xr:uid="{00000000-0005-0000-0000-0000B6050000}"/>
    <cellStyle name="20% - Accent5 2 3 7" xfId="3980" xr:uid="{00000000-0005-0000-0000-0000B7050000}"/>
    <cellStyle name="20% - Accent5 2 3 8" xfId="5242" xr:uid="{00000000-0005-0000-0000-0000B8050000}"/>
    <cellStyle name="20% - Accent5 2 4" xfId="126" xr:uid="{00000000-0005-0000-0000-0000B9050000}"/>
    <cellStyle name="20% - Accent5 2 4 2" xfId="337" xr:uid="{00000000-0005-0000-0000-0000BA050000}"/>
    <cellStyle name="20% - Accent5 2 4 2 2" xfId="763" xr:uid="{00000000-0005-0000-0000-0000BB050000}"/>
    <cellStyle name="20% - Accent5 2 4 2 2 2" xfId="2055" xr:uid="{00000000-0005-0000-0000-0000BC050000}"/>
    <cellStyle name="20% - Accent5 2 4 2 2 3" xfId="3333" xr:uid="{00000000-0005-0000-0000-0000BD050000}"/>
    <cellStyle name="20% - Accent5 2 4 2 2 4" xfId="4620" xr:uid="{00000000-0005-0000-0000-0000BE050000}"/>
    <cellStyle name="20% - Accent5 2 4 2 3" xfId="1189" xr:uid="{00000000-0005-0000-0000-0000BF050000}"/>
    <cellStyle name="20% - Accent5 2 4 2 3 2" xfId="2481" xr:uid="{00000000-0005-0000-0000-0000C0050000}"/>
    <cellStyle name="20% - Accent5 2 4 2 3 3" xfId="3759" xr:uid="{00000000-0005-0000-0000-0000C1050000}"/>
    <cellStyle name="20% - Accent5 2 4 2 3 4" xfId="5046" xr:uid="{00000000-0005-0000-0000-0000C2050000}"/>
    <cellStyle name="20% - Accent5 2 4 2 4" xfId="1629" xr:uid="{00000000-0005-0000-0000-0000C3050000}"/>
    <cellStyle name="20% - Accent5 2 4 2 5" xfId="2907" xr:uid="{00000000-0005-0000-0000-0000C4050000}"/>
    <cellStyle name="20% - Accent5 2 4 2 6" xfId="4194" xr:uid="{00000000-0005-0000-0000-0000C5050000}"/>
    <cellStyle name="20% - Accent5 2 4 3" xfId="550" xr:uid="{00000000-0005-0000-0000-0000C6050000}"/>
    <cellStyle name="20% - Accent5 2 4 3 2" xfId="1842" xr:uid="{00000000-0005-0000-0000-0000C7050000}"/>
    <cellStyle name="20% - Accent5 2 4 3 3" xfId="3120" xr:uid="{00000000-0005-0000-0000-0000C8050000}"/>
    <cellStyle name="20% - Accent5 2 4 3 4" xfId="4407" xr:uid="{00000000-0005-0000-0000-0000C9050000}"/>
    <cellStyle name="20% - Accent5 2 4 4" xfId="976" xr:uid="{00000000-0005-0000-0000-0000CA050000}"/>
    <cellStyle name="20% - Accent5 2 4 4 2" xfId="2268" xr:uid="{00000000-0005-0000-0000-0000CB050000}"/>
    <cellStyle name="20% - Accent5 2 4 4 3" xfId="3546" xr:uid="{00000000-0005-0000-0000-0000CC050000}"/>
    <cellStyle name="20% - Accent5 2 4 4 4" xfId="4833" xr:uid="{00000000-0005-0000-0000-0000CD050000}"/>
    <cellStyle name="20% - Accent5 2 4 5" xfId="1416" xr:uid="{00000000-0005-0000-0000-0000CE050000}"/>
    <cellStyle name="20% - Accent5 2 4 6" xfId="2694" xr:uid="{00000000-0005-0000-0000-0000CF050000}"/>
    <cellStyle name="20% - Accent5 2 4 7" xfId="3981" xr:uid="{00000000-0005-0000-0000-0000D0050000}"/>
    <cellStyle name="20% - Accent5 2 5" xfId="127" xr:uid="{00000000-0005-0000-0000-0000D1050000}"/>
    <cellStyle name="20% - Accent5 2 5 2" xfId="338" xr:uid="{00000000-0005-0000-0000-0000D2050000}"/>
    <cellStyle name="20% - Accent5 2 5 2 2" xfId="764" xr:uid="{00000000-0005-0000-0000-0000D3050000}"/>
    <cellStyle name="20% - Accent5 2 5 2 2 2" xfId="2056" xr:uid="{00000000-0005-0000-0000-0000D4050000}"/>
    <cellStyle name="20% - Accent5 2 5 2 2 3" xfId="3334" xr:uid="{00000000-0005-0000-0000-0000D5050000}"/>
    <cellStyle name="20% - Accent5 2 5 2 2 4" xfId="4621" xr:uid="{00000000-0005-0000-0000-0000D6050000}"/>
    <cellStyle name="20% - Accent5 2 5 2 3" xfId="1190" xr:uid="{00000000-0005-0000-0000-0000D7050000}"/>
    <cellStyle name="20% - Accent5 2 5 2 3 2" xfId="2482" xr:uid="{00000000-0005-0000-0000-0000D8050000}"/>
    <cellStyle name="20% - Accent5 2 5 2 3 3" xfId="3760" xr:uid="{00000000-0005-0000-0000-0000D9050000}"/>
    <cellStyle name="20% - Accent5 2 5 2 3 4" xfId="5047" xr:uid="{00000000-0005-0000-0000-0000DA050000}"/>
    <cellStyle name="20% - Accent5 2 5 2 4" xfId="1630" xr:uid="{00000000-0005-0000-0000-0000DB050000}"/>
    <cellStyle name="20% - Accent5 2 5 2 5" xfId="2908" xr:uid="{00000000-0005-0000-0000-0000DC050000}"/>
    <cellStyle name="20% - Accent5 2 5 2 6" xfId="4195" xr:uid="{00000000-0005-0000-0000-0000DD050000}"/>
    <cellStyle name="20% - Accent5 2 5 3" xfId="551" xr:uid="{00000000-0005-0000-0000-0000DE050000}"/>
    <cellStyle name="20% - Accent5 2 5 3 2" xfId="1843" xr:uid="{00000000-0005-0000-0000-0000DF050000}"/>
    <cellStyle name="20% - Accent5 2 5 3 3" xfId="3121" xr:uid="{00000000-0005-0000-0000-0000E0050000}"/>
    <cellStyle name="20% - Accent5 2 5 3 4" xfId="4408" xr:uid="{00000000-0005-0000-0000-0000E1050000}"/>
    <cellStyle name="20% - Accent5 2 5 4" xfId="977" xr:uid="{00000000-0005-0000-0000-0000E2050000}"/>
    <cellStyle name="20% - Accent5 2 5 4 2" xfId="2269" xr:uid="{00000000-0005-0000-0000-0000E3050000}"/>
    <cellStyle name="20% - Accent5 2 5 4 3" xfId="3547" xr:uid="{00000000-0005-0000-0000-0000E4050000}"/>
    <cellStyle name="20% - Accent5 2 5 4 4" xfId="4834" xr:uid="{00000000-0005-0000-0000-0000E5050000}"/>
    <cellStyle name="20% - Accent5 2 5 5" xfId="1417" xr:uid="{00000000-0005-0000-0000-0000E6050000}"/>
    <cellStyle name="20% - Accent5 2 5 6" xfId="2695" xr:uid="{00000000-0005-0000-0000-0000E7050000}"/>
    <cellStyle name="20% - Accent5 2 5 7" xfId="3982" xr:uid="{00000000-0005-0000-0000-0000E8050000}"/>
    <cellStyle name="20% - Accent5 2 6" xfId="277" xr:uid="{00000000-0005-0000-0000-0000E9050000}"/>
    <cellStyle name="20% - Accent5 2 6 2" xfId="490" xr:uid="{00000000-0005-0000-0000-0000EA050000}"/>
    <cellStyle name="20% - Accent5 2 6 2 2" xfId="915" xr:uid="{00000000-0005-0000-0000-0000EB050000}"/>
    <cellStyle name="20% - Accent5 2 6 2 2 2" xfId="2207" xr:uid="{00000000-0005-0000-0000-0000EC050000}"/>
    <cellStyle name="20% - Accent5 2 6 2 2 3" xfId="3485" xr:uid="{00000000-0005-0000-0000-0000ED050000}"/>
    <cellStyle name="20% - Accent5 2 6 2 2 4" xfId="4772" xr:uid="{00000000-0005-0000-0000-0000EE050000}"/>
    <cellStyle name="20% - Accent5 2 6 2 3" xfId="1341" xr:uid="{00000000-0005-0000-0000-0000EF050000}"/>
    <cellStyle name="20% - Accent5 2 6 2 3 2" xfId="2633" xr:uid="{00000000-0005-0000-0000-0000F0050000}"/>
    <cellStyle name="20% - Accent5 2 6 2 3 3" xfId="3911" xr:uid="{00000000-0005-0000-0000-0000F1050000}"/>
    <cellStyle name="20% - Accent5 2 6 2 3 4" xfId="5198" xr:uid="{00000000-0005-0000-0000-0000F2050000}"/>
    <cellStyle name="20% - Accent5 2 6 2 4" xfId="1781" xr:uid="{00000000-0005-0000-0000-0000F3050000}"/>
    <cellStyle name="20% - Accent5 2 6 2 5" xfId="3059" xr:uid="{00000000-0005-0000-0000-0000F4050000}"/>
    <cellStyle name="20% - Accent5 2 6 2 6" xfId="4346" xr:uid="{00000000-0005-0000-0000-0000F5050000}"/>
    <cellStyle name="20% - Accent5 2 6 3" xfId="702" xr:uid="{00000000-0005-0000-0000-0000F6050000}"/>
    <cellStyle name="20% - Accent5 2 6 3 2" xfId="1994" xr:uid="{00000000-0005-0000-0000-0000F7050000}"/>
    <cellStyle name="20% - Accent5 2 6 3 3" xfId="3272" xr:uid="{00000000-0005-0000-0000-0000F8050000}"/>
    <cellStyle name="20% - Accent5 2 6 3 4" xfId="4559" xr:uid="{00000000-0005-0000-0000-0000F9050000}"/>
    <cellStyle name="20% - Accent5 2 6 4" xfId="1128" xr:uid="{00000000-0005-0000-0000-0000FA050000}"/>
    <cellStyle name="20% - Accent5 2 6 4 2" xfId="2420" xr:uid="{00000000-0005-0000-0000-0000FB050000}"/>
    <cellStyle name="20% - Accent5 2 6 4 3" xfId="3698" xr:uid="{00000000-0005-0000-0000-0000FC050000}"/>
    <cellStyle name="20% - Accent5 2 6 4 4" xfId="4985" xr:uid="{00000000-0005-0000-0000-0000FD050000}"/>
    <cellStyle name="20% - Accent5 2 6 5" xfId="1568" xr:uid="{00000000-0005-0000-0000-0000FE050000}"/>
    <cellStyle name="20% - Accent5 2 6 6" xfId="2846" xr:uid="{00000000-0005-0000-0000-0000FF050000}"/>
    <cellStyle name="20% - Accent5 2 6 7" xfId="4133" xr:uid="{00000000-0005-0000-0000-000000060000}"/>
    <cellStyle name="20% - Accent5 2 7" xfId="333" xr:uid="{00000000-0005-0000-0000-000001060000}"/>
    <cellStyle name="20% - Accent5 2 7 2" xfId="759" xr:uid="{00000000-0005-0000-0000-000002060000}"/>
    <cellStyle name="20% - Accent5 2 7 2 2" xfId="2051" xr:uid="{00000000-0005-0000-0000-000003060000}"/>
    <cellStyle name="20% - Accent5 2 7 2 3" xfId="3329" xr:uid="{00000000-0005-0000-0000-000004060000}"/>
    <cellStyle name="20% - Accent5 2 7 2 4" xfId="4616" xr:uid="{00000000-0005-0000-0000-000005060000}"/>
    <cellStyle name="20% - Accent5 2 7 3" xfId="1185" xr:uid="{00000000-0005-0000-0000-000006060000}"/>
    <cellStyle name="20% - Accent5 2 7 3 2" xfId="2477" xr:uid="{00000000-0005-0000-0000-000007060000}"/>
    <cellStyle name="20% - Accent5 2 7 3 3" xfId="3755" xr:uid="{00000000-0005-0000-0000-000008060000}"/>
    <cellStyle name="20% - Accent5 2 7 3 4" xfId="5042" xr:uid="{00000000-0005-0000-0000-000009060000}"/>
    <cellStyle name="20% - Accent5 2 7 4" xfId="1625" xr:uid="{00000000-0005-0000-0000-00000A060000}"/>
    <cellStyle name="20% - Accent5 2 7 5" xfId="2903" xr:uid="{00000000-0005-0000-0000-00000B060000}"/>
    <cellStyle name="20% - Accent5 2 7 6" xfId="4190" xr:uid="{00000000-0005-0000-0000-00000C060000}"/>
    <cellStyle name="20% - Accent5 2 8" xfId="546" xr:uid="{00000000-0005-0000-0000-00000D060000}"/>
    <cellStyle name="20% - Accent5 2 8 2" xfId="1838" xr:uid="{00000000-0005-0000-0000-00000E060000}"/>
    <cellStyle name="20% - Accent5 2 8 3" xfId="3116" xr:uid="{00000000-0005-0000-0000-00000F060000}"/>
    <cellStyle name="20% - Accent5 2 8 4" xfId="4403" xr:uid="{00000000-0005-0000-0000-000010060000}"/>
    <cellStyle name="20% - Accent5 2 9" xfId="972" xr:uid="{00000000-0005-0000-0000-000011060000}"/>
    <cellStyle name="20% - Accent5 2 9 2" xfId="2264" xr:uid="{00000000-0005-0000-0000-000012060000}"/>
    <cellStyle name="20% - Accent5 2 9 3" xfId="3542" xr:uid="{00000000-0005-0000-0000-000013060000}"/>
    <cellStyle name="20% - Accent5 2 9 4" xfId="4829" xr:uid="{00000000-0005-0000-0000-000014060000}"/>
    <cellStyle name="20% - Accent5 3" xfId="128" xr:uid="{00000000-0005-0000-0000-000015060000}"/>
    <cellStyle name="20% - Accent5 3 2" xfId="129" xr:uid="{00000000-0005-0000-0000-000016060000}"/>
    <cellStyle name="20% - Accent5 3 2 2" xfId="340" xr:uid="{00000000-0005-0000-0000-000017060000}"/>
    <cellStyle name="20% - Accent5 3 2 2 2" xfId="766" xr:uid="{00000000-0005-0000-0000-000018060000}"/>
    <cellStyle name="20% - Accent5 3 2 2 2 2" xfId="2058" xr:uid="{00000000-0005-0000-0000-000019060000}"/>
    <cellStyle name="20% - Accent5 3 2 2 2 3" xfId="3336" xr:uid="{00000000-0005-0000-0000-00001A060000}"/>
    <cellStyle name="20% - Accent5 3 2 2 2 4" xfId="4623" xr:uid="{00000000-0005-0000-0000-00001B060000}"/>
    <cellStyle name="20% - Accent5 3 2 2 3" xfId="1192" xr:uid="{00000000-0005-0000-0000-00001C060000}"/>
    <cellStyle name="20% - Accent5 3 2 2 3 2" xfId="2484" xr:uid="{00000000-0005-0000-0000-00001D060000}"/>
    <cellStyle name="20% - Accent5 3 2 2 3 3" xfId="3762" xr:uid="{00000000-0005-0000-0000-00001E060000}"/>
    <cellStyle name="20% - Accent5 3 2 2 3 4" xfId="5049" xr:uid="{00000000-0005-0000-0000-00001F060000}"/>
    <cellStyle name="20% - Accent5 3 2 2 4" xfId="1632" xr:uid="{00000000-0005-0000-0000-000020060000}"/>
    <cellStyle name="20% - Accent5 3 2 2 5" xfId="2910" xr:uid="{00000000-0005-0000-0000-000021060000}"/>
    <cellStyle name="20% - Accent5 3 2 2 6" xfId="4197" xr:uid="{00000000-0005-0000-0000-000022060000}"/>
    <cellStyle name="20% - Accent5 3 2 3" xfId="553" xr:uid="{00000000-0005-0000-0000-000023060000}"/>
    <cellStyle name="20% - Accent5 3 2 3 2" xfId="1845" xr:uid="{00000000-0005-0000-0000-000024060000}"/>
    <cellStyle name="20% - Accent5 3 2 3 3" xfId="3123" xr:uid="{00000000-0005-0000-0000-000025060000}"/>
    <cellStyle name="20% - Accent5 3 2 3 4" xfId="4410" xr:uid="{00000000-0005-0000-0000-000026060000}"/>
    <cellStyle name="20% - Accent5 3 2 4" xfId="979" xr:uid="{00000000-0005-0000-0000-000027060000}"/>
    <cellStyle name="20% - Accent5 3 2 4 2" xfId="2271" xr:uid="{00000000-0005-0000-0000-000028060000}"/>
    <cellStyle name="20% - Accent5 3 2 4 3" xfId="3549" xr:uid="{00000000-0005-0000-0000-000029060000}"/>
    <cellStyle name="20% - Accent5 3 2 4 4" xfId="4836" xr:uid="{00000000-0005-0000-0000-00002A060000}"/>
    <cellStyle name="20% - Accent5 3 2 5" xfId="1419" xr:uid="{00000000-0005-0000-0000-00002B060000}"/>
    <cellStyle name="20% - Accent5 3 2 6" xfId="2697" xr:uid="{00000000-0005-0000-0000-00002C060000}"/>
    <cellStyle name="20% - Accent5 3 2 7" xfId="3984" xr:uid="{00000000-0005-0000-0000-00002D060000}"/>
    <cellStyle name="20% - Accent5 3 2 8" xfId="5244" xr:uid="{00000000-0005-0000-0000-00002E060000}"/>
    <cellStyle name="20% - Accent5 3 3" xfId="339" xr:uid="{00000000-0005-0000-0000-00002F060000}"/>
    <cellStyle name="20% - Accent5 3 3 2" xfId="765" xr:uid="{00000000-0005-0000-0000-000030060000}"/>
    <cellStyle name="20% - Accent5 3 3 2 2" xfId="2057" xr:uid="{00000000-0005-0000-0000-000031060000}"/>
    <cellStyle name="20% - Accent5 3 3 2 3" xfId="3335" xr:uid="{00000000-0005-0000-0000-000032060000}"/>
    <cellStyle name="20% - Accent5 3 3 2 4" xfId="4622" xr:uid="{00000000-0005-0000-0000-000033060000}"/>
    <cellStyle name="20% - Accent5 3 3 3" xfId="1191" xr:uid="{00000000-0005-0000-0000-000034060000}"/>
    <cellStyle name="20% - Accent5 3 3 3 2" xfId="2483" xr:uid="{00000000-0005-0000-0000-000035060000}"/>
    <cellStyle name="20% - Accent5 3 3 3 3" xfId="3761" xr:uid="{00000000-0005-0000-0000-000036060000}"/>
    <cellStyle name="20% - Accent5 3 3 3 4" xfId="5048" xr:uid="{00000000-0005-0000-0000-000037060000}"/>
    <cellStyle name="20% - Accent5 3 3 4" xfId="1631" xr:uid="{00000000-0005-0000-0000-000038060000}"/>
    <cellStyle name="20% - Accent5 3 3 5" xfId="2909" xr:uid="{00000000-0005-0000-0000-000039060000}"/>
    <cellStyle name="20% - Accent5 3 3 6" xfId="4196" xr:uid="{00000000-0005-0000-0000-00003A060000}"/>
    <cellStyle name="20% - Accent5 3 4" xfId="552" xr:uid="{00000000-0005-0000-0000-00003B060000}"/>
    <cellStyle name="20% - Accent5 3 4 2" xfId="1844" xr:uid="{00000000-0005-0000-0000-00003C060000}"/>
    <cellStyle name="20% - Accent5 3 4 3" xfId="3122" xr:uid="{00000000-0005-0000-0000-00003D060000}"/>
    <cellStyle name="20% - Accent5 3 4 4" xfId="4409" xr:uid="{00000000-0005-0000-0000-00003E060000}"/>
    <cellStyle name="20% - Accent5 3 5" xfId="978" xr:uid="{00000000-0005-0000-0000-00003F060000}"/>
    <cellStyle name="20% - Accent5 3 5 2" xfId="2270" xr:uid="{00000000-0005-0000-0000-000040060000}"/>
    <cellStyle name="20% - Accent5 3 5 3" xfId="3548" xr:uid="{00000000-0005-0000-0000-000041060000}"/>
    <cellStyle name="20% - Accent5 3 5 4" xfId="4835" xr:uid="{00000000-0005-0000-0000-000042060000}"/>
    <cellStyle name="20% - Accent5 3 6" xfId="1418" xr:uid="{00000000-0005-0000-0000-000043060000}"/>
    <cellStyle name="20% - Accent5 3 7" xfId="2696" xr:uid="{00000000-0005-0000-0000-000044060000}"/>
    <cellStyle name="20% - Accent5 3 8" xfId="3983" xr:uid="{00000000-0005-0000-0000-000045060000}"/>
    <cellStyle name="20% - Accent5 3 9" xfId="5243" xr:uid="{00000000-0005-0000-0000-000046060000}"/>
    <cellStyle name="20% - Accent5 4" xfId="130" xr:uid="{00000000-0005-0000-0000-000047060000}"/>
    <cellStyle name="20% - Accent5 4 2" xfId="341" xr:uid="{00000000-0005-0000-0000-000048060000}"/>
    <cellStyle name="20% - Accent5 4 2 2" xfId="767" xr:uid="{00000000-0005-0000-0000-000049060000}"/>
    <cellStyle name="20% - Accent5 4 2 2 2" xfId="2059" xr:uid="{00000000-0005-0000-0000-00004A060000}"/>
    <cellStyle name="20% - Accent5 4 2 2 3" xfId="3337" xr:uid="{00000000-0005-0000-0000-00004B060000}"/>
    <cellStyle name="20% - Accent5 4 2 2 4" xfId="4624" xr:uid="{00000000-0005-0000-0000-00004C060000}"/>
    <cellStyle name="20% - Accent5 4 2 3" xfId="1193" xr:uid="{00000000-0005-0000-0000-00004D060000}"/>
    <cellStyle name="20% - Accent5 4 2 3 2" xfId="2485" xr:uid="{00000000-0005-0000-0000-00004E060000}"/>
    <cellStyle name="20% - Accent5 4 2 3 3" xfId="3763" xr:uid="{00000000-0005-0000-0000-00004F060000}"/>
    <cellStyle name="20% - Accent5 4 2 3 4" xfId="5050" xr:uid="{00000000-0005-0000-0000-000050060000}"/>
    <cellStyle name="20% - Accent5 4 2 4" xfId="1633" xr:uid="{00000000-0005-0000-0000-000051060000}"/>
    <cellStyle name="20% - Accent5 4 2 5" xfId="2911" xr:uid="{00000000-0005-0000-0000-000052060000}"/>
    <cellStyle name="20% - Accent5 4 2 6" xfId="4198" xr:uid="{00000000-0005-0000-0000-000053060000}"/>
    <cellStyle name="20% - Accent5 4 3" xfId="554" xr:uid="{00000000-0005-0000-0000-000054060000}"/>
    <cellStyle name="20% - Accent5 4 3 2" xfId="1846" xr:uid="{00000000-0005-0000-0000-000055060000}"/>
    <cellStyle name="20% - Accent5 4 3 3" xfId="3124" xr:uid="{00000000-0005-0000-0000-000056060000}"/>
    <cellStyle name="20% - Accent5 4 3 4" xfId="4411" xr:uid="{00000000-0005-0000-0000-000057060000}"/>
    <cellStyle name="20% - Accent5 4 4" xfId="980" xr:uid="{00000000-0005-0000-0000-000058060000}"/>
    <cellStyle name="20% - Accent5 4 4 2" xfId="2272" xr:uid="{00000000-0005-0000-0000-000059060000}"/>
    <cellStyle name="20% - Accent5 4 4 3" xfId="3550" xr:uid="{00000000-0005-0000-0000-00005A060000}"/>
    <cellStyle name="20% - Accent5 4 4 4" xfId="4837" xr:uid="{00000000-0005-0000-0000-00005B060000}"/>
    <cellStyle name="20% - Accent5 4 5" xfId="1420" xr:uid="{00000000-0005-0000-0000-00005C060000}"/>
    <cellStyle name="20% - Accent5 4 6" xfId="2698" xr:uid="{00000000-0005-0000-0000-00005D060000}"/>
    <cellStyle name="20% - Accent5 4 7" xfId="3985" xr:uid="{00000000-0005-0000-0000-00005E060000}"/>
    <cellStyle name="20% - Accent5 4 8" xfId="5245" xr:uid="{00000000-0005-0000-0000-00005F060000}"/>
    <cellStyle name="20% - Accent5 5" xfId="131" xr:uid="{00000000-0005-0000-0000-000060060000}"/>
    <cellStyle name="20% - Accent5 5 2" xfId="342" xr:uid="{00000000-0005-0000-0000-000061060000}"/>
    <cellStyle name="20% - Accent5 5 2 2" xfId="768" xr:uid="{00000000-0005-0000-0000-000062060000}"/>
    <cellStyle name="20% - Accent5 5 2 2 2" xfId="2060" xr:uid="{00000000-0005-0000-0000-000063060000}"/>
    <cellStyle name="20% - Accent5 5 2 2 3" xfId="3338" xr:uid="{00000000-0005-0000-0000-000064060000}"/>
    <cellStyle name="20% - Accent5 5 2 2 4" xfId="4625" xr:uid="{00000000-0005-0000-0000-000065060000}"/>
    <cellStyle name="20% - Accent5 5 2 3" xfId="1194" xr:uid="{00000000-0005-0000-0000-000066060000}"/>
    <cellStyle name="20% - Accent5 5 2 3 2" xfId="2486" xr:uid="{00000000-0005-0000-0000-000067060000}"/>
    <cellStyle name="20% - Accent5 5 2 3 3" xfId="3764" xr:uid="{00000000-0005-0000-0000-000068060000}"/>
    <cellStyle name="20% - Accent5 5 2 3 4" xfId="5051" xr:uid="{00000000-0005-0000-0000-000069060000}"/>
    <cellStyle name="20% - Accent5 5 2 4" xfId="1634" xr:uid="{00000000-0005-0000-0000-00006A060000}"/>
    <cellStyle name="20% - Accent5 5 2 5" xfId="2912" xr:uid="{00000000-0005-0000-0000-00006B060000}"/>
    <cellStyle name="20% - Accent5 5 2 6" xfId="4199" xr:uid="{00000000-0005-0000-0000-00006C060000}"/>
    <cellStyle name="20% - Accent5 5 3" xfId="555" xr:uid="{00000000-0005-0000-0000-00006D060000}"/>
    <cellStyle name="20% - Accent5 5 3 2" xfId="1847" xr:uid="{00000000-0005-0000-0000-00006E060000}"/>
    <cellStyle name="20% - Accent5 5 3 3" xfId="3125" xr:uid="{00000000-0005-0000-0000-00006F060000}"/>
    <cellStyle name="20% - Accent5 5 3 4" xfId="4412" xr:uid="{00000000-0005-0000-0000-000070060000}"/>
    <cellStyle name="20% - Accent5 5 4" xfId="981" xr:uid="{00000000-0005-0000-0000-000071060000}"/>
    <cellStyle name="20% - Accent5 5 4 2" xfId="2273" xr:uid="{00000000-0005-0000-0000-000072060000}"/>
    <cellStyle name="20% - Accent5 5 4 3" xfId="3551" xr:uid="{00000000-0005-0000-0000-000073060000}"/>
    <cellStyle name="20% - Accent5 5 4 4" xfId="4838" xr:uid="{00000000-0005-0000-0000-000074060000}"/>
    <cellStyle name="20% - Accent5 5 5" xfId="1421" xr:uid="{00000000-0005-0000-0000-000075060000}"/>
    <cellStyle name="20% - Accent5 5 6" xfId="2699" xr:uid="{00000000-0005-0000-0000-000076060000}"/>
    <cellStyle name="20% - Accent5 5 7" xfId="3986" xr:uid="{00000000-0005-0000-0000-000077060000}"/>
    <cellStyle name="20% - Accent5 6" xfId="132" xr:uid="{00000000-0005-0000-0000-000078060000}"/>
    <cellStyle name="20% - Accent5 6 2" xfId="343" xr:uid="{00000000-0005-0000-0000-000079060000}"/>
    <cellStyle name="20% - Accent5 6 2 2" xfId="769" xr:uid="{00000000-0005-0000-0000-00007A060000}"/>
    <cellStyle name="20% - Accent5 6 2 2 2" xfId="2061" xr:uid="{00000000-0005-0000-0000-00007B060000}"/>
    <cellStyle name="20% - Accent5 6 2 2 3" xfId="3339" xr:uid="{00000000-0005-0000-0000-00007C060000}"/>
    <cellStyle name="20% - Accent5 6 2 2 4" xfId="4626" xr:uid="{00000000-0005-0000-0000-00007D060000}"/>
    <cellStyle name="20% - Accent5 6 2 3" xfId="1195" xr:uid="{00000000-0005-0000-0000-00007E060000}"/>
    <cellStyle name="20% - Accent5 6 2 3 2" xfId="2487" xr:uid="{00000000-0005-0000-0000-00007F060000}"/>
    <cellStyle name="20% - Accent5 6 2 3 3" xfId="3765" xr:uid="{00000000-0005-0000-0000-000080060000}"/>
    <cellStyle name="20% - Accent5 6 2 3 4" xfId="5052" xr:uid="{00000000-0005-0000-0000-000081060000}"/>
    <cellStyle name="20% - Accent5 6 2 4" xfId="1635" xr:uid="{00000000-0005-0000-0000-000082060000}"/>
    <cellStyle name="20% - Accent5 6 2 5" xfId="2913" xr:uid="{00000000-0005-0000-0000-000083060000}"/>
    <cellStyle name="20% - Accent5 6 2 6" xfId="4200" xr:uid="{00000000-0005-0000-0000-000084060000}"/>
    <cellStyle name="20% - Accent5 6 3" xfId="556" xr:uid="{00000000-0005-0000-0000-000085060000}"/>
    <cellStyle name="20% - Accent5 6 3 2" xfId="1848" xr:uid="{00000000-0005-0000-0000-000086060000}"/>
    <cellStyle name="20% - Accent5 6 3 3" xfId="3126" xr:uid="{00000000-0005-0000-0000-000087060000}"/>
    <cellStyle name="20% - Accent5 6 3 4" xfId="4413" xr:uid="{00000000-0005-0000-0000-000088060000}"/>
    <cellStyle name="20% - Accent5 6 4" xfId="982" xr:uid="{00000000-0005-0000-0000-000089060000}"/>
    <cellStyle name="20% - Accent5 6 4 2" xfId="2274" xr:uid="{00000000-0005-0000-0000-00008A060000}"/>
    <cellStyle name="20% - Accent5 6 4 3" xfId="3552" xr:uid="{00000000-0005-0000-0000-00008B060000}"/>
    <cellStyle name="20% - Accent5 6 4 4" xfId="4839" xr:uid="{00000000-0005-0000-0000-00008C060000}"/>
    <cellStyle name="20% - Accent5 6 5" xfId="1422" xr:uid="{00000000-0005-0000-0000-00008D060000}"/>
    <cellStyle name="20% - Accent5 6 6" xfId="2700" xr:uid="{00000000-0005-0000-0000-00008E060000}"/>
    <cellStyle name="20% - Accent5 6 7" xfId="3987" xr:uid="{00000000-0005-0000-0000-00008F060000}"/>
    <cellStyle name="20% - Accent5 7" xfId="258" xr:uid="{00000000-0005-0000-0000-000090060000}"/>
    <cellStyle name="20% - Accent5 7 2" xfId="471" xr:uid="{00000000-0005-0000-0000-000091060000}"/>
    <cellStyle name="20% - Accent5 7 2 2" xfId="896" xr:uid="{00000000-0005-0000-0000-000092060000}"/>
    <cellStyle name="20% - Accent5 7 2 2 2" xfId="2188" xr:uid="{00000000-0005-0000-0000-000093060000}"/>
    <cellStyle name="20% - Accent5 7 2 2 3" xfId="3466" xr:uid="{00000000-0005-0000-0000-000094060000}"/>
    <cellStyle name="20% - Accent5 7 2 2 4" xfId="4753" xr:uid="{00000000-0005-0000-0000-000095060000}"/>
    <cellStyle name="20% - Accent5 7 2 3" xfId="1322" xr:uid="{00000000-0005-0000-0000-000096060000}"/>
    <cellStyle name="20% - Accent5 7 2 3 2" xfId="2614" xr:uid="{00000000-0005-0000-0000-000097060000}"/>
    <cellStyle name="20% - Accent5 7 2 3 3" xfId="3892" xr:uid="{00000000-0005-0000-0000-000098060000}"/>
    <cellStyle name="20% - Accent5 7 2 3 4" xfId="5179" xr:uid="{00000000-0005-0000-0000-000099060000}"/>
    <cellStyle name="20% - Accent5 7 2 4" xfId="1762" xr:uid="{00000000-0005-0000-0000-00009A060000}"/>
    <cellStyle name="20% - Accent5 7 2 5" xfId="3040" xr:uid="{00000000-0005-0000-0000-00009B060000}"/>
    <cellStyle name="20% - Accent5 7 2 6" xfId="4327" xr:uid="{00000000-0005-0000-0000-00009C060000}"/>
    <cellStyle name="20% - Accent5 7 3" xfId="683" xr:uid="{00000000-0005-0000-0000-00009D060000}"/>
    <cellStyle name="20% - Accent5 7 3 2" xfId="1975" xr:uid="{00000000-0005-0000-0000-00009E060000}"/>
    <cellStyle name="20% - Accent5 7 3 3" xfId="3253" xr:uid="{00000000-0005-0000-0000-00009F060000}"/>
    <cellStyle name="20% - Accent5 7 3 4" xfId="4540" xr:uid="{00000000-0005-0000-0000-0000A0060000}"/>
    <cellStyle name="20% - Accent5 7 4" xfId="1109" xr:uid="{00000000-0005-0000-0000-0000A1060000}"/>
    <cellStyle name="20% - Accent5 7 4 2" xfId="2401" xr:uid="{00000000-0005-0000-0000-0000A2060000}"/>
    <cellStyle name="20% - Accent5 7 4 3" xfId="3679" xr:uid="{00000000-0005-0000-0000-0000A3060000}"/>
    <cellStyle name="20% - Accent5 7 4 4" xfId="4966" xr:uid="{00000000-0005-0000-0000-0000A4060000}"/>
    <cellStyle name="20% - Accent5 7 5" xfId="1549" xr:uid="{00000000-0005-0000-0000-0000A5060000}"/>
    <cellStyle name="20% - Accent5 7 6" xfId="2827" xr:uid="{00000000-0005-0000-0000-0000A6060000}"/>
    <cellStyle name="20% - Accent5 7 7" xfId="4114" xr:uid="{00000000-0005-0000-0000-0000A7060000}"/>
    <cellStyle name="20% - Accent5 8" xfId="332" xr:uid="{00000000-0005-0000-0000-0000A8060000}"/>
    <cellStyle name="20% - Accent5 8 2" xfId="758" xr:uid="{00000000-0005-0000-0000-0000A9060000}"/>
    <cellStyle name="20% - Accent5 8 2 2" xfId="2050" xr:uid="{00000000-0005-0000-0000-0000AA060000}"/>
    <cellStyle name="20% - Accent5 8 2 3" xfId="3328" xr:uid="{00000000-0005-0000-0000-0000AB060000}"/>
    <cellStyle name="20% - Accent5 8 2 4" xfId="4615" xr:uid="{00000000-0005-0000-0000-0000AC060000}"/>
    <cellStyle name="20% - Accent5 8 3" xfId="1184" xr:uid="{00000000-0005-0000-0000-0000AD060000}"/>
    <cellStyle name="20% - Accent5 8 3 2" xfId="2476" xr:uid="{00000000-0005-0000-0000-0000AE060000}"/>
    <cellStyle name="20% - Accent5 8 3 3" xfId="3754" xr:uid="{00000000-0005-0000-0000-0000AF060000}"/>
    <cellStyle name="20% - Accent5 8 3 4" xfId="5041" xr:uid="{00000000-0005-0000-0000-0000B0060000}"/>
    <cellStyle name="20% - Accent5 8 4" xfId="1624" xr:uid="{00000000-0005-0000-0000-0000B1060000}"/>
    <cellStyle name="20% - Accent5 8 5" xfId="2902" xr:uid="{00000000-0005-0000-0000-0000B2060000}"/>
    <cellStyle name="20% - Accent5 8 6" xfId="4189" xr:uid="{00000000-0005-0000-0000-0000B3060000}"/>
    <cellStyle name="20% - Accent5 9" xfId="545" xr:uid="{00000000-0005-0000-0000-0000B4060000}"/>
    <cellStyle name="20% - Accent5 9 2" xfId="1837" xr:uid="{00000000-0005-0000-0000-0000B5060000}"/>
    <cellStyle name="20% - Accent5 9 3" xfId="3115" xr:uid="{00000000-0005-0000-0000-0000B6060000}"/>
    <cellStyle name="20% - Accent5 9 4" xfId="4402" xr:uid="{00000000-0005-0000-0000-0000B7060000}"/>
    <cellStyle name="20% - Accent6" xfId="77" builtinId="50" customBuiltin="1"/>
    <cellStyle name="20% - Accent6 10" xfId="983" xr:uid="{00000000-0005-0000-0000-0000B9060000}"/>
    <cellStyle name="20% - Accent6 10 2" xfId="2275" xr:uid="{00000000-0005-0000-0000-0000BA060000}"/>
    <cellStyle name="20% - Accent6 10 3" xfId="3553" xr:uid="{00000000-0005-0000-0000-0000BB060000}"/>
    <cellStyle name="20% - Accent6 10 4" xfId="4840" xr:uid="{00000000-0005-0000-0000-0000BC060000}"/>
    <cellStyle name="20% - Accent6 11" xfId="1423" xr:uid="{00000000-0005-0000-0000-0000BD060000}"/>
    <cellStyle name="20% - Accent6 12" xfId="2701" xr:uid="{00000000-0005-0000-0000-0000BE060000}"/>
    <cellStyle name="20% - Accent6 13" xfId="3988" xr:uid="{00000000-0005-0000-0000-0000BF060000}"/>
    <cellStyle name="20% - Accent6 14" xfId="5246" xr:uid="{00000000-0005-0000-0000-0000C0060000}"/>
    <cellStyle name="20% - Accent6 2" xfId="15" xr:uid="{00000000-0005-0000-0000-0000C1060000}"/>
    <cellStyle name="20% - Accent6 2 10" xfId="1424" xr:uid="{00000000-0005-0000-0000-0000C2060000}"/>
    <cellStyle name="20% - Accent6 2 11" xfId="2702" xr:uid="{00000000-0005-0000-0000-0000C3060000}"/>
    <cellStyle name="20% - Accent6 2 12" xfId="3989" xr:uid="{00000000-0005-0000-0000-0000C4060000}"/>
    <cellStyle name="20% - Accent6 2 13" xfId="5247" xr:uid="{00000000-0005-0000-0000-0000C5060000}"/>
    <cellStyle name="20% - Accent6 2 2" xfId="133" xr:uid="{00000000-0005-0000-0000-0000C6060000}"/>
    <cellStyle name="20% - Accent6 2 2 2" xfId="134" xr:uid="{00000000-0005-0000-0000-0000C7060000}"/>
    <cellStyle name="20% - Accent6 2 2 2 2" xfId="347" xr:uid="{00000000-0005-0000-0000-0000C8060000}"/>
    <cellStyle name="20% - Accent6 2 2 2 2 2" xfId="773" xr:uid="{00000000-0005-0000-0000-0000C9060000}"/>
    <cellStyle name="20% - Accent6 2 2 2 2 2 2" xfId="2065" xr:uid="{00000000-0005-0000-0000-0000CA060000}"/>
    <cellStyle name="20% - Accent6 2 2 2 2 2 3" xfId="3343" xr:uid="{00000000-0005-0000-0000-0000CB060000}"/>
    <cellStyle name="20% - Accent6 2 2 2 2 2 4" xfId="4630" xr:uid="{00000000-0005-0000-0000-0000CC060000}"/>
    <cellStyle name="20% - Accent6 2 2 2 2 3" xfId="1199" xr:uid="{00000000-0005-0000-0000-0000CD060000}"/>
    <cellStyle name="20% - Accent6 2 2 2 2 3 2" xfId="2491" xr:uid="{00000000-0005-0000-0000-0000CE060000}"/>
    <cellStyle name="20% - Accent6 2 2 2 2 3 3" xfId="3769" xr:uid="{00000000-0005-0000-0000-0000CF060000}"/>
    <cellStyle name="20% - Accent6 2 2 2 2 3 4" xfId="5056" xr:uid="{00000000-0005-0000-0000-0000D0060000}"/>
    <cellStyle name="20% - Accent6 2 2 2 2 4" xfId="1639" xr:uid="{00000000-0005-0000-0000-0000D1060000}"/>
    <cellStyle name="20% - Accent6 2 2 2 2 5" xfId="2917" xr:uid="{00000000-0005-0000-0000-0000D2060000}"/>
    <cellStyle name="20% - Accent6 2 2 2 2 6" xfId="4204" xr:uid="{00000000-0005-0000-0000-0000D3060000}"/>
    <cellStyle name="20% - Accent6 2 2 2 3" xfId="560" xr:uid="{00000000-0005-0000-0000-0000D4060000}"/>
    <cellStyle name="20% - Accent6 2 2 2 3 2" xfId="1852" xr:uid="{00000000-0005-0000-0000-0000D5060000}"/>
    <cellStyle name="20% - Accent6 2 2 2 3 3" xfId="3130" xr:uid="{00000000-0005-0000-0000-0000D6060000}"/>
    <cellStyle name="20% - Accent6 2 2 2 3 4" xfId="4417" xr:uid="{00000000-0005-0000-0000-0000D7060000}"/>
    <cellStyle name="20% - Accent6 2 2 2 4" xfId="986" xr:uid="{00000000-0005-0000-0000-0000D8060000}"/>
    <cellStyle name="20% - Accent6 2 2 2 4 2" xfId="2278" xr:uid="{00000000-0005-0000-0000-0000D9060000}"/>
    <cellStyle name="20% - Accent6 2 2 2 4 3" xfId="3556" xr:uid="{00000000-0005-0000-0000-0000DA060000}"/>
    <cellStyle name="20% - Accent6 2 2 2 4 4" xfId="4843" xr:uid="{00000000-0005-0000-0000-0000DB060000}"/>
    <cellStyle name="20% - Accent6 2 2 2 5" xfId="1426" xr:uid="{00000000-0005-0000-0000-0000DC060000}"/>
    <cellStyle name="20% - Accent6 2 2 2 6" xfId="2704" xr:uid="{00000000-0005-0000-0000-0000DD060000}"/>
    <cellStyle name="20% - Accent6 2 2 2 7" xfId="3991" xr:uid="{00000000-0005-0000-0000-0000DE060000}"/>
    <cellStyle name="20% - Accent6 2 2 2 8" xfId="5249" xr:uid="{00000000-0005-0000-0000-0000DF060000}"/>
    <cellStyle name="20% - Accent6 2 2 3" xfId="346" xr:uid="{00000000-0005-0000-0000-0000E0060000}"/>
    <cellStyle name="20% - Accent6 2 2 3 2" xfId="772" xr:uid="{00000000-0005-0000-0000-0000E1060000}"/>
    <cellStyle name="20% - Accent6 2 2 3 2 2" xfId="2064" xr:uid="{00000000-0005-0000-0000-0000E2060000}"/>
    <cellStyle name="20% - Accent6 2 2 3 2 3" xfId="3342" xr:uid="{00000000-0005-0000-0000-0000E3060000}"/>
    <cellStyle name="20% - Accent6 2 2 3 2 4" xfId="4629" xr:uid="{00000000-0005-0000-0000-0000E4060000}"/>
    <cellStyle name="20% - Accent6 2 2 3 3" xfId="1198" xr:uid="{00000000-0005-0000-0000-0000E5060000}"/>
    <cellStyle name="20% - Accent6 2 2 3 3 2" xfId="2490" xr:uid="{00000000-0005-0000-0000-0000E6060000}"/>
    <cellStyle name="20% - Accent6 2 2 3 3 3" xfId="3768" xr:uid="{00000000-0005-0000-0000-0000E7060000}"/>
    <cellStyle name="20% - Accent6 2 2 3 3 4" xfId="5055" xr:uid="{00000000-0005-0000-0000-0000E8060000}"/>
    <cellStyle name="20% - Accent6 2 2 3 4" xfId="1638" xr:uid="{00000000-0005-0000-0000-0000E9060000}"/>
    <cellStyle name="20% - Accent6 2 2 3 5" xfId="2916" xr:uid="{00000000-0005-0000-0000-0000EA060000}"/>
    <cellStyle name="20% - Accent6 2 2 3 6" xfId="4203" xr:uid="{00000000-0005-0000-0000-0000EB060000}"/>
    <cellStyle name="20% - Accent6 2 2 4" xfId="559" xr:uid="{00000000-0005-0000-0000-0000EC060000}"/>
    <cellStyle name="20% - Accent6 2 2 4 2" xfId="1851" xr:uid="{00000000-0005-0000-0000-0000ED060000}"/>
    <cellStyle name="20% - Accent6 2 2 4 3" xfId="3129" xr:uid="{00000000-0005-0000-0000-0000EE060000}"/>
    <cellStyle name="20% - Accent6 2 2 4 4" xfId="4416" xr:uid="{00000000-0005-0000-0000-0000EF060000}"/>
    <cellStyle name="20% - Accent6 2 2 5" xfId="985" xr:uid="{00000000-0005-0000-0000-0000F0060000}"/>
    <cellStyle name="20% - Accent6 2 2 5 2" xfId="2277" xr:uid="{00000000-0005-0000-0000-0000F1060000}"/>
    <cellStyle name="20% - Accent6 2 2 5 3" xfId="3555" xr:uid="{00000000-0005-0000-0000-0000F2060000}"/>
    <cellStyle name="20% - Accent6 2 2 5 4" xfId="4842" xr:uid="{00000000-0005-0000-0000-0000F3060000}"/>
    <cellStyle name="20% - Accent6 2 2 6" xfId="1425" xr:uid="{00000000-0005-0000-0000-0000F4060000}"/>
    <cellStyle name="20% - Accent6 2 2 7" xfId="2703" xr:uid="{00000000-0005-0000-0000-0000F5060000}"/>
    <cellStyle name="20% - Accent6 2 2 8" xfId="3990" xr:uid="{00000000-0005-0000-0000-0000F6060000}"/>
    <cellStyle name="20% - Accent6 2 2 9" xfId="5248" xr:uid="{00000000-0005-0000-0000-0000F7060000}"/>
    <cellStyle name="20% - Accent6 2 3" xfId="135" xr:uid="{00000000-0005-0000-0000-0000F8060000}"/>
    <cellStyle name="20% - Accent6 2 3 2" xfId="348" xr:uid="{00000000-0005-0000-0000-0000F9060000}"/>
    <cellStyle name="20% - Accent6 2 3 2 2" xfId="774" xr:uid="{00000000-0005-0000-0000-0000FA060000}"/>
    <cellStyle name="20% - Accent6 2 3 2 2 2" xfId="2066" xr:uid="{00000000-0005-0000-0000-0000FB060000}"/>
    <cellStyle name="20% - Accent6 2 3 2 2 3" xfId="3344" xr:uid="{00000000-0005-0000-0000-0000FC060000}"/>
    <cellStyle name="20% - Accent6 2 3 2 2 4" xfId="4631" xr:uid="{00000000-0005-0000-0000-0000FD060000}"/>
    <cellStyle name="20% - Accent6 2 3 2 3" xfId="1200" xr:uid="{00000000-0005-0000-0000-0000FE060000}"/>
    <cellStyle name="20% - Accent6 2 3 2 3 2" xfId="2492" xr:uid="{00000000-0005-0000-0000-0000FF060000}"/>
    <cellStyle name="20% - Accent6 2 3 2 3 3" xfId="3770" xr:uid="{00000000-0005-0000-0000-000000070000}"/>
    <cellStyle name="20% - Accent6 2 3 2 3 4" xfId="5057" xr:uid="{00000000-0005-0000-0000-000001070000}"/>
    <cellStyle name="20% - Accent6 2 3 2 4" xfId="1640" xr:uid="{00000000-0005-0000-0000-000002070000}"/>
    <cellStyle name="20% - Accent6 2 3 2 5" xfId="2918" xr:uid="{00000000-0005-0000-0000-000003070000}"/>
    <cellStyle name="20% - Accent6 2 3 2 6" xfId="4205" xr:uid="{00000000-0005-0000-0000-000004070000}"/>
    <cellStyle name="20% - Accent6 2 3 3" xfId="561" xr:uid="{00000000-0005-0000-0000-000005070000}"/>
    <cellStyle name="20% - Accent6 2 3 3 2" xfId="1853" xr:uid="{00000000-0005-0000-0000-000006070000}"/>
    <cellStyle name="20% - Accent6 2 3 3 3" xfId="3131" xr:uid="{00000000-0005-0000-0000-000007070000}"/>
    <cellStyle name="20% - Accent6 2 3 3 4" xfId="4418" xr:uid="{00000000-0005-0000-0000-000008070000}"/>
    <cellStyle name="20% - Accent6 2 3 4" xfId="987" xr:uid="{00000000-0005-0000-0000-000009070000}"/>
    <cellStyle name="20% - Accent6 2 3 4 2" xfId="2279" xr:uid="{00000000-0005-0000-0000-00000A070000}"/>
    <cellStyle name="20% - Accent6 2 3 4 3" xfId="3557" xr:uid="{00000000-0005-0000-0000-00000B070000}"/>
    <cellStyle name="20% - Accent6 2 3 4 4" xfId="4844" xr:uid="{00000000-0005-0000-0000-00000C070000}"/>
    <cellStyle name="20% - Accent6 2 3 5" xfId="1427" xr:uid="{00000000-0005-0000-0000-00000D070000}"/>
    <cellStyle name="20% - Accent6 2 3 6" xfId="2705" xr:uid="{00000000-0005-0000-0000-00000E070000}"/>
    <cellStyle name="20% - Accent6 2 3 7" xfId="3992" xr:uid="{00000000-0005-0000-0000-00000F070000}"/>
    <cellStyle name="20% - Accent6 2 3 8" xfId="5250" xr:uid="{00000000-0005-0000-0000-000010070000}"/>
    <cellStyle name="20% - Accent6 2 4" xfId="136" xr:uid="{00000000-0005-0000-0000-000011070000}"/>
    <cellStyle name="20% - Accent6 2 4 2" xfId="349" xr:uid="{00000000-0005-0000-0000-000012070000}"/>
    <cellStyle name="20% - Accent6 2 4 2 2" xfId="775" xr:uid="{00000000-0005-0000-0000-000013070000}"/>
    <cellStyle name="20% - Accent6 2 4 2 2 2" xfId="2067" xr:uid="{00000000-0005-0000-0000-000014070000}"/>
    <cellStyle name="20% - Accent6 2 4 2 2 3" xfId="3345" xr:uid="{00000000-0005-0000-0000-000015070000}"/>
    <cellStyle name="20% - Accent6 2 4 2 2 4" xfId="4632" xr:uid="{00000000-0005-0000-0000-000016070000}"/>
    <cellStyle name="20% - Accent6 2 4 2 3" xfId="1201" xr:uid="{00000000-0005-0000-0000-000017070000}"/>
    <cellStyle name="20% - Accent6 2 4 2 3 2" xfId="2493" xr:uid="{00000000-0005-0000-0000-000018070000}"/>
    <cellStyle name="20% - Accent6 2 4 2 3 3" xfId="3771" xr:uid="{00000000-0005-0000-0000-000019070000}"/>
    <cellStyle name="20% - Accent6 2 4 2 3 4" xfId="5058" xr:uid="{00000000-0005-0000-0000-00001A070000}"/>
    <cellStyle name="20% - Accent6 2 4 2 4" xfId="1641" xr:uid="{00000000-0005-0000-0000-00001B070000}"/>
    <cellStyle name="20% - Accent6 2 4 2 5" xfId="2919" xr:uid="{00000000-0005-0000-0000-00001C070000}"/>
    <cellStyle name="20% - Accent6 2 4 2 6" xfId="4206" xr:uid="{00000000-0005-0000-0000-00001D070000}"/>
    <cellStyle name="20% - Accent6 2 4 3" xfId="562" xr:uid="{00000000-0005-0000-0000-00001E070000}"/>
    <cellStyle name="20% - Accent6 2 4 3 2" xfId="1854" xr:uid="{00000000-0005-0000-0000-00001F070000}"/>
    <cellStyle name="20% - Accent6 2 4 3 3" xfId="3132" xr:uid="{00000000-0005-0000-0000-000020070000}"/>
    <cellStyle name="20% - Accent6 2 4 3 4" xfId="4419" xr:uid="{00000000-0005-0000-0000-000021070000}"/>
    <cellStyle name="20% - Accent6 2 4 4" xfId="988" xr:uid="{00000000-0005-0000-0000-000022070000}"/>
    <cellStyle name="20% - Accent6 2 4 4 2" xfId="2280" xr:uid="{00000000-0005-0000-0000-000023070000}"/>
    <cellStyle name="20% - Accent6 2 4 4 3" xfId="3558" xr:uid="{00000000-0005-0000-0000-000024070000}"/>
    <cellStyle name="20% - Accent6 2 4 4 4" xfId="4845" xr:uid="{00000000-0005-0000-0000-000025070000}"/>
    <cellStyle name="20% - Accent6 2 4 5" xfId="1428" xr:uid="{00000000-0005-0000-0000-000026070000}"/>
    <cellStyle name="20% - Accent6 2 4 6" xfId="2706" xr:uid="{00000000-0005-0000-0000-000027070000}"/>
    <cellStyle name="20% - Accent6 2 4 7" xfId="3993" xr:uid="{00000000-0005-0000-0000-000028070000}"/>
    <cellStyle name="20% - Accent6 2 5" xfId="137" xr:uid="{00000000-0005-0000-0000-000029070000}"/>
    <cellStyle name="20% - Accent6 2 5 2" xfId="350" xr:uid="{00000000-0005-0000-0000-00002A070000}"/>
    <cellStyle name="20% - Accent6 2 5 2 2" xfId="776" xr:uid="{00000000-0005-0000-0000-00002B070000}"/>
    <cellStyle name="20% - Accent6 2 5 2 2 2" xfId="2068" xr:uid="{00000000-0005-0000-0000-00002C070000}"/>
    <cellStyle name="20% - Accent6 2 5 2 2 3" xfId="3346" xr:uid="{00000000-0005-0000-0000-00002D070000}"/>
    <cellStyle name="20% - Accent6 2 5 2 2 4" xfId="4633" xr:uid="{00000000-0005-0000-0000-00002E070000}"/>
    <cellStyle name="20% - Accent6 2 5 2 3" xfId="1202" xr:uid="{00000000-0005-0000-0000-00002F070000}"/>
    <cellStyle name="20% - Accent6 2 5 2 3 2" xfId="2494" xr:uid="{00000000-0005-0000-0000-000030070000}"/>
    <cellStyle name="20% - Accent6 2 5 2 3 3" xfId="3772" xr:uid="{00000000-0005-0000-0000-000031070000}"/>
    <cellStyle name="20% - Accent6 2 5 2 3 4" xfId="5059" xr:uid="{00000000-0005-0000-0000-000032070000}"/>
    <cellStyle name="20% - Accent6 2 5 2 4" xfId="1642" xr:uid="{00000000-0005-0000-0000-000033070000}"/>
    <cellStyle name="20% - Accent6 2 5 2 5" xfId="2920" xr:uid="{00000000-0005-0000-0000-000034070000}"/>
    <cellStyle name="20% - Accent6 2 5 2 6" xfId="4207" xr:uid="{00000000-0005-0000-0000-000035070000}"/>
    <cellStyle name="20% - Accent6 2 5 3" xfId="563" xr:uid="{00000000-0005-0000-0000-000036070000}"/>
    <cellStyle name="20% - Accent6 2 5 3 2" xfId="1855" xr:uid="{00000000-0005-0000-0000-000037070000}"/>
    <cellStyle name="20% - Accent6 2 5 3 3" xfId="3133" xr:uid="{00000000-0005-0000-0000-000038070000}"/>
    <cellStyle name="20% - Accent6 2 5 3 4" xfId="4420" xr:uid="{00000000-0005-0000-0000-000039070000}"/>
    <cellStyle name="20% - Accent6 2 5 4" xfId="989" xr:uid="{00000000-0005-0000-0000-00003A070000}"/>
    <cellStyle name="20% - Accent6 2 5 4 2" xfId="2281" xr:uid="{00000000-0005-0000-0000-00003B070000}"/>
    <cellStyle name="20% - Accent6 2 5 4 3" xfId="3559" xr:uid="{00000000-0005-0000-0000-00003C070000}"/>
    <cellStyle name="20% - Accent6 2 5 4 4" xfId="4846" xr:uid="{00000000-0005-0000-0000-00003D070000}"/>
    <cellStyle name="20% - Accent6 2 5 5" xfId="1429" xr:uid="{00000000-0005-0000-0000-00003E070000}"/>
    <cellStyle name="20% - Accent6 2 5 6" xfId="2707" xr:uid="{00000000-0005-0000-0000-00003F070000}"/>
    <cellStyle name="20% - Accent6 2 5 7" xfId="3994" xr:uid="{00000000-0005-0000-0000-000040070000}"/>
    <cellStyle name="20% - Accent6 2 6" xfId="279" xr:uid="{00000000-0005-0000-0000-000041070000}"/>
    <cellStyle name="20% - Accent6 2 6 2" xfId="492" xr:uid="{00000000-0005-0000-0000-000042070000}"/>
    <cellStyle name="20% - Accent6 2 6 2 2" xfId="917" xr:uid="{00000000-0005-0000-0000-000043070000}"/>
    <cellStyle name="20% - Accent6 2 6 2 2 2" xfId="2209" xr:uid="{00000000-0005-0000-0000-000044070000}"/>
    <cellStyle name="20% - Accent6 2 6 2 2 3" xfId="3487" xr:uid="{00000000-0005-0000-0000-000045070000}"/>
    <cellStyle name="20% - Accent6 2 6 2 2 4" xfId="4774" xr:uid="{00000000-0005-0000-0000-000046070000}"/>
    <cellStyle name="20% - Accent6 2 6 2 3" xfId="1343" xr:uid="{00000000-0005-0000-0000-000047070000}"/>
    <cellStyle name="20% - Accent6 2 6 2 3 2" xfId="2635" xr:uid="{00000000-0005-0000-0000-000048070000}"/>
    <cellStyle name="20% - Accent6 2 6 2 3 3" xfId="3913" xr:uid="{00000000-0005-0000-0000-000049070000}"/>
    <cellStyle name="20% - Accent6 2 6 2 3 4" xfId="5200" xr:uid="{00000000-0005-0000-0000-00004A070000}"/>
    <cellStyle name="20% - Accent6 2 6 2 4" xfId="1783" xr:uid="{00000000-0005-0000-0000-00004B070000}"/>
    <cellStyle name="20% - Accent6 2 6 2 5" xfId="3061" xr:uid="{00000000-0005-0000-0000-00004C070000}"/>
    <cellStyle name="20% - Accent6 2 6 2 6" xfId="4348" xr:uid="{00000000-0005-0000-0000-00004D070000}"/>
    <cellStyle name="20% - Accent6 2 6 3" xfId="704" xr:uid="{00000000-0005-0000-0000-00004E070000}"/>
    <cellStyle name="20% - Accent6 2 6 3 2" xfId="1996" xr:uid="{00000000-0005-0000-0000-00004F070000}"/>
    <cellStyle name="20% - Accent6 2 6 3 3" xfId="3274" xr:uid="{00000000-0005-0000-0000-000050070000}"/>
    <cellStyle name="20% - Accent6 2 6 3 4" xfId="4561" xr:uid="{00000000-0005-0000-0000-000051070000}"/>
    <cellStyle name="20% - Accent6 2 6 4" xfId="1130" xr:uid="{00000000-0005-0000-0000-000052070000}"/>
    <cellStyle name="20% - Accent6 2 6 4 2" xfId="2422" xr:uid="{00000000-0005-0000-0000-000053070000}"/>
    <cellStyle name="20% - Accent6 2 6 4 3" xfId="3700" xr:uid="{00000000-0005-0000-0000-000054070000}"/>
    <cellStyle name="20% - Accent6 2 6 4 4" xfId="4987" xr:uid="{00000000-0005-0000-0000-000055070000}"/>
    <cellStyle name="20% - Accent6 2 6 5" xfId="1570" xr:uid="{00000000-0005-0000-0000-000056070000}"/>
    <cellStyle name="20% - Accent6 2 6 6" xfId="2848" xr:uid="{00000000-0005-0000-0000-000057070000}"/>
    <cellStyle name="20% - Accent6 2 6 7" xfId="4135" xr:uid="{00000000-0005-0000-0000-000058070000}"/>
    <cellStyle name="20% - Accent6 2 7" xfId="345" xr:uid="{00000000-0005-0000-0000-000059070000}"/>
    <cellStyle name="20% - Accent6 2 7 2" xfId="771" xr:uid="{00000000-0005-0000-0000-00005A070000}"/>
    <cellStyle name="20% - Accent6 2 7 2 2" xfId="2063" xr:uid="{00000000-0005-0000-0000-00005B070000}"/>
    <cellStyle name="20% - Accent6 2 7 2 3" xfId="3341" xr:uid="{00000000-0005-0000-0000-00005C070000}"/>
    <cellStyle name="20% - Accent6 2 7 2 4" xfId="4628" xr:uid="{00000000-0005-0000-0000-00005D070000}"/>
    <cellStyle name="20% - Accent6 2 7 3" xfId="1197" xr:uid="{00000000-0005-0000-0000-00005E070000}"/>
    <cellStyle name="20% - Accent6 2 7 3 2" xfId="2489" xr:uid="{00000000-0005-0000-0000-00005F070000}"/>
    <cellStyle name="20% - Accent6 2 7 3 3" xfId="3767" xr:uid="{00000000-0005-0000-0000-000060070000}"/>
    <cellStyle name="20% - Accent6 2 7 3 4" xfId="5054" xr:uid="{00000000-0005-0000-0000-000061070000}"/>
    <cellStyle name="20% - Accent6 2 7 4" xfId="1637" xr:uid="{00000000-0005-0000-0000-000062070000}"/>
    <cellStyle name="20% - Accent6 2 7 5" xfId="2915" xr:uid="{00000000-0005-0000-0000-000063070000}"/>
    <cellStyle name="20% - Accent6 2 7 6" xfId="4202" xr:uid="{00000000-0005-0000-0000-000064070000}"/>
    <cellStyle name="20% - Accent6 2 8" xfId="558" xr:uid="{00000000-0005-0000-0000-000065070000}"/>
    <cellStyle name="20% - Accent6 2 8 2" xfId="1850" xr:uid="{00000000-0005-0000-0000-000066070000}"/>
    <cellStyle name="20% - Accent6 2 8 3" xfId="3128" xr:uid="{00000000-0005-0000-0000-000067070000}"/>
    <cellStyle name="20% - Accent6 2 8 4" xfId="4415" xr:uid="{00000000-0005-0000-0000-000068070000}"/>
    <cellStyle name="20% - Accent6 2 9" xfId="984" xr:uid="{00000000-0005-0000-0000-000069070000}"/>
    <cellStyle name="20% - Accent6 2 9 2" xfId="2276" xr:uid="{00000000-0005-0000-0000-00006A070000}"/>
    <cellStyle name="20% - Accent6 2 9 3" xfId="3554" xr:uid="{00000000-0005-0000-0000-00006B070000}"/>
    <cellStyle name="20% - Accent6 2 9 4" xfId="4841" xr:uid="{00000000-0005-0000-0000-00006C070000}"/>
    <cellStyle name="20% - Accent6 3" xfId="138" xr:uid="{00000000-0005-0000-0000-00006D070000}"/>
    <cellStyle name="20% - Accent6 3 2" xfId="139" xr:uid="{00000000-0005-0000-0000-00006E070000}"/>
    <cellStyle name="20% - Accent6 3 2 2" xfId="352" xr:uid="{00000000-0005-0000-0000-00006F070000}"/>
    <cellStyle name="20% - Accent6 3 2 2 2" xfId="778" xr:uid="{00000000-0005-0000-0000-000070070000}"/>
    <cellStyle name="20% - Accent6 3 2 2 2 2" xfId="2070" xr:uid="{00000000-0005-0000-0000-000071070000}"/>
    <cellStyle name="20% - Accent6 3 2 2 2 3" xfId="3348" xr:uid="{00000000-0005-0000-0000-000072070000}"/>
    <cellStyle name="20% - Accent6 3 2 2 2 4" xfId="4635" xr:uid="{00000000-0005-0000-0000-000073070000}"/>
    <cellStyle name="20% - Accent6 3 2 2 3" xfId="1204" xr:uid="{00000000-0005-0000-0000-000074070000}"/>
    <cellStyle name="20% - Accent6 3 2 2 3 2" xfId="2496" xr:uid="{00000000-0005-0000-0000-000075070000}"/>
    <cellStyle name="20% - Accent6 3 2 2 3 3" xfId="3774" xr:uid="{00000000-0005-0000-0000-000076070000}"/>
    <cellStyle name="20% - Accent6 3 2 2 3 4" xfId="5061" xr:uid="{00000000-0005-0000-0000-000077070000}"/>
    <cellStyle name="20% - Accent6 3 2 2 4" xfId="1644" xr:uid="{00000000-0005-0000-0000-000078070000}"/>
    <cellStyle name="20% - Accent6 3 2 2 5" xfId="2922" xr:uid="{00000000-0005-0000-0000-000079070000}"/>
    <cellStyle name="20% - Accent6 3 2 2 6" xfId="4209" xr:uid="{00000000-0005-0000-0000-00007A070000}"/>
    <cellStyle name="20% - Accent6 3 2 3" xfId="565" xr:uid="{00000000-0005-0000-0000-00007B070000}"/>
    <cellStyle name="20% - Accent6 3 2 3 2" xfId="1857" xr:uid="{00000000-0005-0000-0000-00007C070000}"/>
    <cellStyle name="20% - Accent6 3 2 3 3" xfId="3135" xr:uid="{00000000-0005-0000-0000-00007D070000}"/>
    <cellStyle name="20% - Accent6 3 2 3 4" xfId="4422" xr:uid="{00000000-0005-0000-0000-00007E070000}"/>
    <cellStyle name="20% - Accent6 3 2 4" xfId="991" xr:uid="{00000000-0005-0000-0000-00007F070000}"/>
    <cellStyle name="20% - Accent6 3 2 4 2" xfId="2283" xr:uid="{00000000-0005-0000-0000-000080070000}"/>
    <cellStyle name="20% - Accent6 3 2 4 3" xfId="3561" xr:uid="{00000000-0005-0000-0000-000081070000}"/>
    <cellStyle name="20% - Accent6 3 2 4 4" xfId="4848" xr:uid="{00000000-0005-0000-0000-000082070000}"/>
    <cellStyle name="20% - Accent6 3 2 5" xfId="1431" xr:uid="{00000000-0005-0000-0000-000083070000}"/>
    <cellStyle name="20% - Accent6 3 2 6" xfId="2709" xr:uid="{00000000-0005-0000-0000-000084070000}"/>
    <cellStyle name="20% - Accent6 3 2 7" xfId="3996" xr:uid="{00000000-0005-0000-0000-000085070000}"/>
    <cellStyle name="20% - Accent6 3 2 8" xfId="5252" xr:uid="{00000000-0005-0000-0000-000086070000}"/>
    <cellStyle name="20% - Accent6 3 3" xfId="351" xr:uid="{00000000-0005-0000-0000-000087070000}"/>
    <cellStyle name="20% - Accent6 3 3 2" xfId="777" xr:uid="{00000000-0005-0000-0000-000088070000}"/>
    <cellStyle name="20% - Accent6 3 3 2 2" xfId="2069" xr:uid="{00000000-0005-0000-0000-000089070000}"/>
    <cellStyle name="20% - Accent6 3 3 2 3" xfId="3347" xr:uid="{00000000-0005-0000-0000-00008A070000}"/>
    <cellStyle name="20% - Accent6 3 3 2 4" xfId="4634" xr:uid="{00000000-0005-0000-0000-00008B070000}"/>
    <cellStyle name="20% - Accent6 3 3 3" xfId="1203" xr:uid="{00000000-0005-0000-0000-00008C070000}"/>
    <cellStyle name="20% - Accent6 3 3 3 2" xfId="2495" xr:uid="{00000000-0005-0000-0000-00008D070000}"/>
    <cellStyle name="20% - Accent6 3 3 3 3" xfId="3773" xr:uid="{00000000-0005-0000-0000-00008E070000}"/>
    <cellStyle name="20% - Accent6 3 3 3 4" xfId="5060" xr:uid="{00000000-0005-0000-0000-00008F070000}"/>
    <cellStyle name="20% - Accent6 3 3 4" xfId="1643" xr:uid="{00000000-0005-0000-0000-000090070000}"/>
    <cellStyle name="20% - Accent6 3 3 5" xfId="2921" xr:uid="{00000000-0005-0000-0000-000091070000}"/>
    <cellStyle name="20% - Accent6 3 3 6" xfId="4208" xr:uid="{00000000-0005-0000-0000-000092070000}"/>
    <cellStyle name="20% - Accent6 3 4" xfId="564" xr:uid="{00000000-0005-0000-0000-000093070000}"/>
    <cellStyle name="20% - Accent6 3 4 2" xfId="1856" xr:uid="{00000000-0005-0000-0000-000094070000}"/>
    <cellStyle name="20% - Accent6 3 4 3" xfId="3134" xr:uid="{00000000-0005-0000-0000-000095070000}"/>
    <cellStyle name="20% - Accent6 3 4 4" xfId="4421" xr:uid="{00000000-0005-0000-0000-000096070000}"/>
    <cellStyle name="20% - Accent6 3 5" xfId="990" xr:uid="{00000000-0005-0000-0000-000097070000}"/>
    <cellStyle name="20% - Accent6 3 5 2" xfId="2282" xr:uid="{00000000-0005-0000-0000-000098070000}"/>
    <cellStyle name="20% - Accent6 3 5 3" xfId="3560" xr:uid="{00000000-0005-0000-0000-000099070000}"/>
    <cellStyle name="20% - Accent6 3 5 4" xfId="4847" xr:uid="{00000000-0005-0000-0000-00009A070000}"/>
    <cellStyle name="20% - Accent6 3 6" xfId="1430" xr:uid="{00000000-0005-0000-0000-00009B070000}"/>
    <cellStyle name="20% - Accent6 3 7" xfId="2708" xr:uid="{00000000-0005-0000-0000-00009C070000}"/>
    <cellStyle name="20% - Accent6 3 8" xfId="3995" xr:uid="{00000000-0005-0000-0000-00009D070000}"/>
    <cellStyle name="20% - Accent6 3 9" xfId="5251" xr:uid="{00000000-0005-0000-0000-00009E070000}"/>
    <cellStyle name="20% - Accent6 4" xfId="140" xr:uid="{00000000-0005-0000-0000-00009F070000}"/>
    <cellStyle name="20% - Accent6 4 2" xfId="353" xr:uid="{00000000-0005-0000-0000-0000A0070000}"/>
    <cellStyle name="20% - Accent6 4 2 2" xfId="779" xr:uid="{00000000-0005-0000-0000-0000A1070000}"/>
    <cellStyle name="20% - Accent6 4 2 2 2" xfId="2071" xr:uid="{00000000-0005-0000-0000-0000A2070000}"/>
    <cellStyle name="20% - Accent6 4 2 2 3" xfId="3349" xr:uid="{00000000-0005-0000-0000-0000A3070000}"/>
    <cellStyle name="20% - Accent6 4 2 2 4" xfId="4636" xr:uid="{00000000-0005-0000-0000-0000A4070000}"/>
    <cellStyle name="20% - Accent6 4 2 3" xfId="1205" xr:uid="{00000000-0005-0000-0000-0000A5070000}"/>
    <cellStyle name="20% - Accent6 4 2 3 2" xfId="2497" xr:uid="{00000000-0005-0000-0000-0000A6070000}"/>
    <cellStyle name="20% - Accent6 4 2 3 3" xfId="3775" xr:uid="{00000000-0005-0000-0000-0000A7070000}"/>
    <cellStyle name="20% - Accent6 4 2 3 4" xfId="5062" xr:uid="{00000000-0005-0000-0000-0000A8070000}"/>
    <cellStyle name="20% - Accent6 4 2 4" xfId="1645" xr:uid="{00000000-0005-0000-0000-0000A9070000}"/>
    <cellStyle name="20% - Accent6 4 2 5" xfId="2923" xr:uid="{00000000-0005-0000-0000-0000AA070000}"/>
    <cellStyle name="20% - Accent6 4 2 6" xfId="4210" xr:uid="{00000000-0005-0000-0000-0000AB070000}"/>
    <cellStyle name="20% - Accent6 4 3" xfId="566" xr:uid="{00000000-0005-0000-0000-0000AC070000}"/>
    <cellStyle name="20% - Accent6 4 3 2" xfId="1858" xr:uid="{00000000-0005-0000-0000-0000AD070000}"/>
    <cellStyle name="20% - Accent6 4 3 3" xfId="3136" xr:uid="{00000000-0005-0000-0000-0000AE070000}"/>
    <cellStyle name="20% - Accent6 4 3 4" xfId="4423" xr:uid="{00000000-0005-0000-0000-0000AF070000}"/>
    <cellStyle name="20% - Accent6 4 4" xfId="992" xr:uid="{00000000-0005-0000-0000-0000B0070000}"/>
    <cellStyle name="20% - Accent6 4 4 2" xfId="2284" xr:uid="{00000000-0005-0000-0000-0000B1070000}"/>
    <cellStyle name="20% - Accent6 4 4 3" xfId="3562" xr:uid="{00000000-0005-0000-0000-0000B2070000}"/>
    <cellStyle name="20% - Accent6 4 4 4" xfId="4849" xr:uid="{00000000-0005-0000-0000-0000B3070000}"/>
    <cellStyle name="20% - Accent6 4 5" xfId="1432" xr:uid="{00000000-0005-0000-0000-0000B4070000}"/>
    <cellStyle name="20% - Accent6 4 6" xfId="2710" xr:uid="{00000000-0005-0000-0000-0000B5070000}"/>
    <cellStyle name="20% - Accent6 4 7" xfId="3997" xr:uid="{00000000-0005-0000-0000-0000B6070000}"/>
    <cellStyle name="20% - Accent6 4 8" xfId="5253" xr:uid="{00000000-0005-0000-0000-0000B7070000}"/>
    <cellStyle name="20% - Accent6 5" xfId="141" xr:uid="{00000000-0005-0000-0000-0000B8070000}"/>
    <cellStyle name="20% - Accent6 5 2" xfId="354" xr:uid="{00000000-0005-0000-0000-0000B9070000}"/>
    <cellStyle name="20% - Accent6 5 2 2" xfId="780" xr:uid="{00000000-0005-0000-0000-0000BA070000}"/>
    <cellStyle name="20% - Accent6 5 2 2 2" xfId="2072" xr:uid="{00000000-0005-0000-0000-0000BB070000}"/>
    <cellStyle name="20% - Accent6 5 2 2 3" xfId="3350" xr:uid="{00000000-0005-0000-0000-0000BC070000}"/>
    <cellStyle name="20% - Accent6 5 2 2 4" xfId="4637" xr:uid="{00000000-0005-0000-0000-0000BD070000}"/>
    <cellStyle name="20% - Accent6 5 2 3" xfId="1206" xr:uid="{00000000-0005-0000-0000-0000BE070000}"/>
    <cellStyle name="20% - Accent6 5 2 3 2" xfId="2498" xr:uid="{00000000-0005-0000-0000-0000BF070000}"/>
    <cellStyle name="20% - Accent6 5 2 3 3" xfId="3776" xr:uid="{00000000-0005-0000-0000-0000C0070000}"/>
    <cellStyle name="20% - Accent6 5 2 3 4" xfId="5063" xr:uid="{00000000-0005-0000-0000-0000C1070000}"/>
    <cellStyle name="20% - Accent6 5 2 4" xfId="1646" xr:uid="{00000000-0005-0000-0000-0000C2070000}"/>
    <cellStyle name="20% - Accent6 5 2 5" xfId="2924" xr:uid="{00000000-0005-0000-0000-0000C3070000}"/>
    <cellStyle name="20% - Accent6 5 2 6" xfId="4211" xr:uid="{00000000-0005-0000-0000-0000C4070000}"/>
    <cellStyle name="20% - Accent6 5 3" xfId="567" xr:uid="{00000000-0005-0000-0000-0000C5070000}"/>
    <cellStyle name="20% - Accent6 5 3 2" xfId="1859" xr:uid="{00000000-0005-0000-0000-0000C6070000}"/>
    <cellStyle name="20% - Accent6 5 3 3" xfId="3137" xr:uid="{00000000-0005-0000-0000-0000C7070000}"/>
    <cellStyle name="20% - Accent6 5 3 4" xfId="4424" xr:uid="{00000000-0005-0000-0000-0000C8070000}"/>
    <cellStyle name="20% - Accent6 5 4" xfId="993" xr:uid="{00000000-0005-0000-0000-0000C9070000}"/>
    <cellStyle name="20% - Accent6 5 4 2" xfId="2285" xr:uid="{00000000-0005-0000-0000-0000CA070000}"/>
    <cellStyle name="20% - Accent6 5 4 3" xfId="3563" xr:uid="{00000000-0005-0000-0000-0000CB070000}"/>
    <cellStyle name="20% - Accent6 5 4 4" xfId="4850" xr:uid="{00000000-0005-0000-0000-0000CC070000}"/>
    <cellStyle name="20% - Accent6 5 5" xfId="1433" xr:uid="{00000000-0005-0000-0000-0000CD070000}"/>
    <cellStyle name="20% - Accent6 5 6" xfId="2711" xr:uid="{00000000-0005-0000-0000-0000CE070000}"/>
    <cellStyle name="20% - Accent6 5 7" xfId="3998" xr:uid="{00000000-0005-0000-0000-0000CF070000}"/>
    <cellStyle name="20% - Accent6 6" xfId="142" xr:uid="{00000000-0005-0000-0000-0000D0070000}"/>
    <cellStyle name="20% - Accent6 6 2" xfId="355" xr:uid="{00000000-0005-0000-0000-0000D1070000}"/>
    <cellStyle name="20% - Accent6 6 2 2" xfId="781" xr:uid="{00000000-0005-0000-0000-0000D2070000}"/>
    <cellStyle name="20% - Accent6 6 2 2 2" xfId="2073" xr:uid="{00000000-0005-0000-0000-0000D3070000}"/>
    <cellStyle name="20% - Accent6 6 2 2 3" xfId="3351" xr:uid="{00000000-0005-0000-0000-0000D4070000}"/>
    <cellStyle name="20% - Accent6 6 2 2 4" xfId="4638" xr:uid="{00000000-0005-0000-0000-0000D5070000}"/>
    <cellStyle name="20% - Accent6 6 2 3" xfId="1207" xr:uid="{00000000-0005-0000-0000-0000D6070000}"/>
    <cellStyle name="20% - Accent6 6 2 3 2" xfId="2499" xr:uid="{00000000-0005-0000-0000-0000D7070000}"/>
    <cellStyle name="20% - Accent6 6 2 3 3" xfId="3777" xr:uid="{00000000-0005-0000-0000-0000D8070000}"/>
    <cellStyle name="20% - Accent6 6 2 3 4" xfId="5064" xr:uid="{00000000-0005-0000-0000-0000D9070000}"/>
    <cellStyle name="20% - Accent6 6 2 4" xfId="1647" xr:uid="{00000000-0005-0000-0000-0000DA070000}"/>
    <cellStyle name="20% - Accent6 6 2 5" xfId="2925" xr:uid="{00000000-0005-0000-0000-0000DB070000}"/>
    <cellStyle name="20% - Accent6 6 2 6" xfId="4212" xr:uid="{00000000-0005-0000-0000-0000DC070000}"/>
    <cellStyle name="20% - Accent6 6 3" xfId="568" xr:uid="{00000000-0005-0000-0000-0000DD070000}"/>
    <cellStyle name="20% - Accent6 6 3 2" xfId="1860" xr:uid="{00000000-0005-0000-0000-0000DE070000}"/>
    <cellStyle name="20% - Accent6 6 3 3" xfId="3138" xr:uid="{00000000-0005-0000-0000-0000DF070000}"/>
    <cellStyle name="20% - Accent6 6 3 4" xfId="4425" xr:uid="{00000000-0005-0000-0000-0000E0070000}"/>
    <cellStyle name="20% - Accent6 6 4" xfId="994" xr:uid="{00000000-0005-0000-0000-0000E1070000}"/>
    <cellStyle name="20% - Accent6 6 4 2" xfId="2286" xr:uid="{00000000-0005-0000-0000-0000E2070000}"/>
    <cellStyle name="20% - Accent6 6 4 3" xfId="3564" xr:uid="{00000000-0005-0000-0000-0000E3070000}"/>
    <cellStyle name="20% - Accent6 6 4 4" xfId="4851" xr:uid="{00000000-0005-0000-0000-0000E4070000}"/>
    <cellStyle name="20% - Accent6 6 5" xfId="1434" xr:uid="{00000000-0005-0000-0000-0000E5070000}"/>
    <cellStyle name="20% - Accent6 6 6" xfId="2712" xr:uid="{00000000-0005-0000-0000-0000E6070000}"/>
    <cellStyle name="20% - Accent6 6 7" xfId="3999" xr:uid="{00000000-0005-0000-0000-0000E7070000}"/>
    <cellStyle name="20% - Accent6 7" xfId="259" xr:uid="{00000000-0005-0000-0000-0000E8070000}"/>
    <cellStyle name="20% - Accent6 7 2" xfId="472" xr:uid="{00000000-0005-0000-0000-0000E9070000}"/>
    <cellStyle name="20% - Accent6 7 2 2" xfId="897" xr:uid="{00000000-0005-0000-0000-0000EA070000}"/>
    <cellStyle name="20% - Accent6 7 2 2 2" xfId="2189" xr:uid="{00000000-0005-0000-0000-0000EB070000}"/>
    <cellStyle name="20% - Accent6 7 2 2 3" xfId="3467" xr:uid="{00000000-0005-0000-0000-0000EC070000}"/>
    <cellStyle name="20% - Accent6 7 2 2 4" xfId="4754" xr:uid="{00000000-0005-0000-0000-0000ED070000}"/>
    <cellStyle name="20% - Accent6 7 2 3" xfId="1323" xr:uid="{00000000-0005-0000-0000-0000EE070000}"/>
    <cellStyle name="20% - Accent6 7 2 3 2" xfId="2615" xr:uid="{00000000-0005-0000-0000-0000EF070000}"/>
    <cellStyle name="20% - Accent6 7 2 3 3" xfId="3893" xr:uid="{00000000-0005-0000-0000-0000F0070000}"/>
    <cellStyle name="20% - Accent6 7 2 3 4" xfId="5180" xr:uid="{00000000-0005-0000-0000-0000F1070000}"/>
    <cellStyle name="20% - Accent6 7 2 4" xfId="1763" xr:uid="{00000000-0005-0000-0000-0000F2070000}"/>
    <cellStyle name="20% - Accent6 7 2 5" xfId="3041" xr:uid="{00000000-0005-0000-0000-0000F3070000}"/>
    <cellStyle name="20% - Accent6 7 2 6" xfId="4328" xr:uid="{00000000-0005-0000-0000-0000F4070000}"/>
    <cellStyle name="20% - Accent6 7 3" xfId="684" xr:uid="{00000000-0005-0000-0000-0000F5070000}"/>
    <cellStyle name="20% - Accent6 7 3 2" xfId="1976" xr:uid="{00000000-0005-0000-0000-0000F6070000}"/>
    <cellStyle name="20% - Accent6 7 3 3" xfId="3254" xr:uid="{00000000-0005-0000-0000-0000F7070000}"/>
    <cellStyle name="20% - Accent6 7 3 4" xfId="4541" xr:uid="{00000000-0005-0000-0000-0000F8070000}"/>
    <cellStyle name="20% - Accent6 7 4" xfId="1110" xr:uid="{00000000-0005-0000-0000-0000F9070000}"/>
    <cellStyle name="20% - Accent6 7 4 2" xfId="2402" xr:uid="{00000000-0005-0000-0000-0000FA070000}"/>
    <cellStyle name="20% - Accent6 7 4 3" xfId="3680" xr:uid="{00000000-0005-0000-0000-0000FB070000}"/>
    <cellStyle name="20% - Accent6 7 4 4" xfId="4967" xr:uid="{00000000-0005-0000-0000-0000FC070000}"/>
    <cellStyle name="20% - Accent6 7 5" xfId="1550" xr:uid="{00000000-0005-0000-0000-0000FD070000}"/>
    <cellStyle name="20% - Accent6 7 6" xfId="2828" xr:uid="{00000000-0005-0000-0000-0000FE070000}"/>
    <cellStyle name="20% - Accent6 7 7" xfId="4115" xr:uid="{00000000-0005-0000-0000-0000FF070000}"/>
    <cellStyle name="20% - Accent6 8" xfId="344" xr:uid="{00000000-0005-0000-0000-000000080000}"/>
    <cellStyle name="20% - Accent6 8 2" xfId="770" xr:uid="{00000000-0005-0000-0000-000001080000}"/>
    <cellStyle name="20% - Accent6 8 2 2" xfId="2062" xr:uid="{00000000-0005-0000-0000-000002080000}"/>
    <cellStyle name="20% - Accent6 8 2 3" xfId="3340" xr:uid="{00000000-0005-0000-0000-000003080000}"/>
    <cellStyle name="20% - Accent6 8 2 4" xfId="4627" xr:uid="{00000000-0005-0000-0000-000004080000}"/>
    <cellStyle name="20% - Accent6 8 3" xfId="1196" xr:uid="{00000000-0005-0000-0000-000005080000}"/>
    <cellStyle name="20% - Accent6 8 3 2" xfId="2488" xr:uid="{00000000-0005-0000-0000-000006080000}"/>
    <cellStyle name="20% - Accent6 8 3 3" xfId="3766" xr:uid="{00000000-0005-0000-0000-000007080000}"/>
    <cellStyle name="20% - Accent6 8 3 4" xfId="5053" xr:uid="{00000000-0005-0000-0000-000008080000}"/>
    <cellStyle name="20% - Accent6 8 4" xfId="1636" xr:uid="{00000000-0005-0000-0000-000009080000}"/>
    <cellStyle name="20% - Accent6 8 5" xfId="2914" xr:uid="{00000000-0005-0000-0000-00000A080000}"/>
    <cellStyle name="20% - Accent6 8 6" xfId="4201" xr:uid="{00000000-0005-0000-0000-00000B080000}"/>
    <cellStyle name="20% - Accent6 9" xfId="557" xr:uid="{00000000-0005-0000-0000-00000C080000}"/>
    <cellStyle name="20% - Accent6 9 2" xfId="1849" xr:uid="{00000000-0005-0000-0000-00000D080000}"/>
    <cellStyle name="20% - Accent6 9 3" xfId="3127" xr:uid="{00000000-0005-0000-0000-00000E080000}"/>
    <cellStyle name="20% - Accent6 9 4" xfId="4414" xr:uid="{00000000-0005-0000-0000-00000F080000}"/>
    <cellStyle name="40% - Accent1" xfId="59" builtinId="31" customBuiltin="1"/>
    <cellStyle name="40% - Accent1 10" xfId="995" xr:uid="{00000000-0005-0000-0000-000011080000}"/>
    <cellStyle name="40% - Accent1 10 2" xfId="2287" xr:uid="{00000000-0005-0000-0000-000012080000}"/>
    <cellStyle name="40% - Accent1 10 3" xfId="3565" xr:uid="{00000000-0005-0000-0000-000013080000}"/>
    <cellStyle name="40% - Accent1 10 4" xfId="4852" xr:uid="{00000000-0005-0000-0000-000014080000}"/>
    <cellStyle name="40% - Accent1 11" xfId="1435" xr:uid="{00000000-0005-0000-0000-000015080000}"/>
    <cellStyle name="40% - Accent1 12" xfId="2713" xr:uid="{00000000-0005-0000-0000-000016080000}"/>
    <cellStyle name="40% - Accent1 13" xfId="4000" xr:uid="{00000000-0005-0000-0000-000017080000}"/>
    <cellStyle name="40% - Accent1 14" xfId="5254" xr:uid="{00000000-0005-0000-0000-000018080000}"/>
    <cellStyle name="40% - Accent1 2" xfId="16" xr:uid="{00000000-0005-0000-0000-000019080000}"/>
    <cellStyle name="40% - Accent1 2 10" xfId="1436" xr:uid="{00000000-0005-0000-0000-00001A080000}"/>
    <cellStyle name="40% - Accent1 2 11" xfId="2714" xr:uid="{00000000-0005-0000-0000-00001B080000}"/>
    <cellStyle name="40% - Accent1 2 12" xfId="4001" xr:uid="{00000000-0005-0000-0000-00001C080000}"/>
    <cellStyle name="40% - Accent1 2 13" xfId="5255" xr:uid="{00000000-0005-0000-0000-00001D080000}"/>
    <cellStyle name="40% - Accent1 2 2" xfId="143" xr:uid="{00000000-0005-0000-0000-00001E080000}"/>
    <cellStyle name="40% - Accent1 2 2 2" xfId="144" xr:uid="{00000000-0005-0000-0000-00001F080000}"/>
    <cellStyle name="40% - Accent1 2 2 2 2" xfId="359" xr:uid="{00000000-0005-0000-0000-000020080000}"/>
    <cellStyle name="40% - Accent1 2 2 2 2 2" xfId="785" xr:uid="{00000000-0005-0000-0000-000021080000}"/>
    <cellStyle name="40% - Accent1 2 2 2 2 2 2" xfId="2077" xr:uid="{00000000-0005-0000-0000-000022080000}"/>
    <cellStyle name="40% - Accent1 2 2 2 2 2 3" xfId="3355" xr:uid="{00000000-0005-0000-0000-000023080000}"/>
    <cellStyle name="40% - Accent1 2 2 2 2 2 4" xfId="4642" xr:uid="{00000000-0005-0000-0000-000024080000}"/>
    <cellStyle name="40% - Accent1 2 2 2 2 3" xfId="1211" xr:uid="{00000000-0005-0000-0000-000025080000}"/>
    <cellStyle name="40% - Accent1 2 2 2 2 3 2" xfId="2503" xr:uid="{00000000-0005-0000-0000-000026080000}"/>
    <cellStyle name="40% - Accent1 2 2 2 2 3 3" xfId="3781" xr:uid="{00000000-0005-0000-0000-000027080000}"/>
    <cellStyle name="40% - Accent1 2 2 2 2 3 4" xfId="5068" xr:uid="{00000000-0005-0000-0000-000028080000}"/>
    <cellStyle name="40% - Accent1 2 2 2 2 4" xfId="1651" xr:uid="{00000000-0005-0000-0000-000029080000}"/>
    <cellStyle name="40% - Accent1 2 2 2 2 5" xfId="2929" xr:uid="{00000000-0005-0000-0000-00002A080000}"/>
    <cellStyle name="40% - Accent1 2 2 2 2 6" xfId="4216" xr:uid="{00000000-0005-0000-0000-00002B080000}"/>
    <cellStyle name="40% - Accent1 2 2 2 3" xfId="572" xr:uid="{00000000-0005-0000-0000-00002C080000}"/>
    <cellStyle name="40% - Accent1 2 2 2 3 2" xfId="1864" xr:uid="{00000000-0005-0000-0000-00002D080000}"/>
    <cellStyle name="40% - Accent1 2 2 2 3 3" xfId="3142" xr:uid="{00000000-0005-0000-0000-00002E080000}"/>
    <cellStyle name="40% - Accent1 2 2 2 3 4" xfId="4429" xr:uid="{00000000-0005-0000-0000-00002F080000}"/>
    <cellStyle name="40% - Accent1 2 2 2 4" xfId="998" xr:uid="{00000000-0005-0000-0000-000030080000}"/>
    <cellStyle name="40% - Accent1 2 2 2 4 2" xfId="2290" xr:uid="{00000000-0005-0000-0000-000031080000}"/>
    <cellStyle name="40% - Accent1 2 2 2 4 3" xfId="3568" xr:uid="{00000000-0005-0000-0000-000032080000}"/>
    <cellStyle name="40% - Accent1 2 2 2 4 4" xfId="4855" xr:uid="{00000000-0005-0000-0000-000033080000}"/>
    <cellStyle name="40% - Accent1 2 2 2 5" xfId="1438" xr:uid="{00000000-0005-0000-0000-000034080000}"/>
    <cellStyle name="40% - Accent1 2 2 2 6" xfId="2716" xr:uid="{00000000-0005-0000-0000-000035080000}"/>
    <cellStyle name="40% - Accent1 2 2 2 7" xfId="4003" xr:uid="{00000000-0005-0000-0000-000036080000}"/>
    <cellStyle name="40% - Accent1 2 2 2 8" xfId="5257" xr:uid="{00000000-0005-0000-0000-000037080000}"/>
    <cellStyle name="40% - Accent1 2 2 3" xfId="358" xr:uid="{00000000-0005-0000-0000-000038080000}"/>
    <cellStyle name="40% - Accent1 2 2 3 2" xfId="784" xr:uid="{00000000-0005-0000-0000-000039080000}"/>
    <cellStyle name="40% - Accent1 2 2 3 2 2" xfId="2076" xr:uid="{00000000-0005-0000-0000-00003A080000}"/>
    <cellStyle name="40% - Accent1 2 2 3 2 3" xfId="3354" xr:uid="{00000000-0005-0000-0000-00003B080000}"/>
    <cellStyle name="40% - Accent1 2 2 3 2 4" xfId="4641" xr:uid="{00000000-0005-0000-0000-00003C080000}"/>
    <cellStyle name="40% - Accent1 2 2 3 3" xfId="1210" xr:uid="{00000000-0005-0000-0000-00003D080000}"/>
    <cellStyle name="40% - Accent1 2 2 3 3 2" xfId="2502" xr:uid="{00000000-0005-0000-0000-00003E080000}"/>
    <cellStyle name="40% - Accent1 2 2 3 3 3" xfId="3780" xr:uid="{00000000-0005-0000-0000-00003F080000}"/>
    <cellStyle name="40% - Accent1 2 2 3 3 4" xfId="5067" xr:uid="{00000000-0005-0000-0000-000040080000}"/>
    <cellStyle name="40% - Accent1 2 2 3 4" xfId="1650" xr:uid="{00000000-0005-0000-0000-000041080000}"/>
    <cellStyle name="40% - Accent1 2 2 3 5" xfId="2928" xr:uid="{00000000-0005-0000-0000-000042080000}"/>
    <cellStyle name="40% - Accent1 2 2 3 6" xfId="4215" xr:uid="{00000000-0005-0000-0000-000043080000}"/>
    <cellStyle name="40% - Accent1 2 2 4" xfId="571" xr:uid="{00000000-0005-0000-0000-000044080000}"/>
    <cellStyle name="40% - Accent1 2 2 4 2" xfId="1863" xr:uid="{00000000-0005-0000-0000-000045080000}"/>
    <cellStyle name="40% - Accent1 2 2 4 3" xfId="3141" xr:uid="{00000000-0005-0000-0000-000046080000}"/>
    <cellStyle name="40% - Accent1 2 2 4 4" xfId="4428" xr:uid="{00000000-0005-0000-0000-000047080000}"/>
    <cellStyle name="40% - Accent1 2 2 5" xfId="997" xr:uid="{00000000-0005-0000-0000-000048080000}"/>
    <cellStyle name="40% - Accent1 2 2 5 2" xfId="2289" xr:uid="{00000000-0005-0000-0000-000049080000}"/>
    <cellStyle name="40% - Accent1 2 2 5 3" xfId="3567" xr:uid="{00000000-0005-0000-0000-00004A080000}"/>
    <cellStyle name="40% - Accent1 2 2 5 4" xfId="4854" xr:uid="{00000000-0005-0000-0000-00004B080000}"/>
    <cellStyle name="40% - Accent1 2 2 6" xfId="1437" xr:uid="{00000000-0005-0000-0000-00004C080000}"/>
    <cellStyle name="40% - Accent1 2 2 7" xfId="2715" xr:uid="{00000000-0005-0000-0000-00004D080000}"/>
    <cellStyle name="40% - Accent1 2 2 8" xfId="4002" xr:uid="{00000000-0005-0000-0000-00004E080000}"/>
    <cellStyle name="40% - Accent1 2 2 9" xfId="5256" xr:uid="{00000000-0005-0000-0000-00004F080000}"/>
    <cellStyle name="40% - Accent1 2 3" xfId="145" xr:uid="{00000000-0005-0000-0000-000050080000}"/>
    <cellStyle name="40% - Accent1 2 3 2" xfId="360" xr:uid="{00000000-0005-0000-0000-000051080000}"/>
    <cellStyle name="40% - Accent1 2 3 2 2" xfId="786" xr:uid="{00000000-0005-0000-0000-000052080000}"/>
    <cellStyle name="40% - Accent1 2 3 2 2 2" xfId="2078" xr:uid="{00000000-0005-0000-0000-000053080000}"/>
    <cellStyle name="40% - Accent1 2 3 2 2 3" xfId="3356" xr:uid="{00000000-0005-0000-0000-000054080000}"/>
    <cellStyle name="40% - Accent1 2 3 2 2 4" xfId="4643" xr:uid="{00000000-0005-0000-0000-000055080000}"/>
    <cellStyle name="40% - Accent1 2 3 2 3" xfId="1212" xr:uid="{00000000-0005-0000-0000-000056080000}"/>
    <cellStyle name="40% - Accent1 2 3 2 3 2" xfId="2504" xr:uid="{00000000-0005-0000-0000-000057080000}"/>
    <cellStyle name="40% - Accent1 2 3 2 3 3" xfId="3782" xr:uid="{00000000-0005-0000-0000-000058080000}"/>
    <cellStyle name="40% - Accent1 2 3 2 3 4" xfId="5069" xr:uid="{00000000-0005-0000-0000-000059080000}"/>
    <cellStyle name="40% - Accent1 2 3 2 4" xfId="1652" xr:uid="{00000000-0005-0000-0000-00005A080000}"/>
    <cellStyle name="40% - Accent1 2 3 2 5" xfId="2930" xr:uid="{00000000-0005-0000-0000-00005B080000}"/>
    <cellStyle name="40% - Accent1 2 3 2 6" xfId="4217" xr:uid="{00000000-0005-0000-0000-00005C080000}"/>
    <cellStyle name="40% - Accent1 2 3 3" xfId="573" xr:uid="{00000000-0005-0000-0000-00005D080000}"/>
    <cellStyle name="40% - Accent1 2 3 3 2" xfId="1865" xr:uid="{00000000-0005-0000-0000-00005E080000}"/>
    <cellStyle name="40% - Accent1 2 3 3 3" xfId="3143" xr:uid="{00000000-0005-0000-0000-00005F080000}"/>
    <cellStyle name="40% - Accent1 2 3 3 4" xfId="4430" xr:uid="{00000000-0005-0000-0000-000060080000}"/>
    <cellStyle name="40% - Accent1 2 3 4" xfId="999" xr:uid="{00000000-0005-0000-0000-000061080000}"/>
    <cellStyle name="40% - Accent1 2 3 4 2" xfId="2291" xr:uid="{00000000-0005-0000-0000-000062080000}"/>
    <cellStyle name="40% - Accent1 2 3 4 3" xfId="3569" xr:uid="{00000000-0005-0000-0000-000063080000}"/>
    <cellStyle name="40% - Accent1 2 3 4 4" xfId="4856" xr:uid="{00000000-0005-0000-0000-000064080000}"/>
    <cellStyle name="40% - Accent1 2 3 5" xfId="1439" xr:uid="{00000000-0005-0000-0000-000065080000}"/>
    <cellStyle name="40% - Accent1 2 3 6" xfId="2717" xr:uid="{00000000-0005-0000-0000-000066080000}"/>
    <cellStyle name="40% - Accent1 2 3 7" xfId="4004" xr:uid="{00000000-0005-0000-0000-000067080000}"/>
    <cellStyle name="40% - Accent1 2 3 8" xfId="5258" xr:uid="{00000000-0005-0000-0000-000068080000}"/>
    <cellStyle name="40% - Accent1 2 4" xfId="146" xr:uid="{00000000-0005-0000-0000-000069080000}"/>
    <cellStyle name="40% - Accent1 2 4 2" xfId="361" xr:uid="{00000000-0005-0000-0000-00006A080000}"/>
    <cellStyle name="40% - Accent1 2 4 2 2" xfId="787" xr:uid="{00000000-0005-0000-0000-00006B080000}"/>
    <cellStyle name="40% - Accent1 2 4 2 2 2" xfId="2079" xr:uid="{00000000-0005-0000-0000-00006C080000}"/>
    <cellStyle name="40% - Accent1 2 4 2 2 3" xfId="3357" xr:uid="{00000000-0005-0000-0000-00006D080000}"/>
    <cellStyle name="40% - Accent1 2 4 2 2 4" xfId="4644" xr:uid="{00000000-0005-0000-0000-00006E080000}"/>
    <cellStyle name="40% - Accent1 2 4 2 3" xfId="1213" xr:uid="{00000000-0005-0000-0000-00006F080000}"/>
    <cellStyle name="40% - Accent1 2 4 2 3 2" xfId="2505" xr:uid="{00000000-0005-0000-0000-000070080000}"/>
    <cellStyle name="40% - Accent1 2 4 2 3 3" xfId="3783" xr:uid="{00000000-0005-0000-0000-000071080000}"/>
    <cellStyle name="40% - Accent1 2 4 2 3 4" xfId="5070" xr:uid="{00000000-0005-0000-0000-000072080000}"/>
    <cellStyle name="40% - Accent1 2 4 2 4" xfId="1653" xr:uid="{00000000-0005-0000-0000-000073080000}"/>
    <cellStyle name="40% - Accent1 2 4 2 5" xfId="2931" xr:uid="{00000000-0005-0000-0000-000074080000}"/>
    <cellStyle name="40% - Accent1 2 4 2 6" xfId="4218" xr:uid="{00000000-0005-0000-0000-000075080000}"/>
    <cellStyle name="40% - Accent1 2 4 3" xfId="574" xr:uid="{00000000-0005-0000-0000-000076080000}"/>
    <cellStyle name="40% - Accent1 2 4 3 2" xfId="1866" xr:uid="{00000000-0005-0000-0000-000077080000}"/>
    <cellStyle name="40% - Accent1 2 4 3 3" xfId="3144" xr:uid="{00000000-0005-0000-0000-000078080000}"/>
    <cellStyle name="40% - Accent1 2 4 3 4" xfId="4431" xr:uid="{00000000-0005-0000-0000-000079080000}"/>
    <cellStyle name="40% - Accent1 2 4 4" xfId="1000" xr:uid="{00000000-0005-0000-0000-00007A080000}"/>
    <cellStyle name="40% - Accent1 2 4 4 2" xfId="2292" xr:uid="{00000000-0005-0000-0000-00007B080000}"/>
    <cellStyle name="40% - Accent1 2 4 4 3" xfId="3570" xr:uid="{00000000-0005-0000-0000-00007C080000}"/>
    <cellStyle name="40% - Accent1 2 4 4 4" xfId="4857" xr:uid="{00000000-0005-0000-0000-00007D080000}"/>
    <cellStyle name="40% - Accent1 2 4 5" xfId="1440" xr:uid="{00000000-0005-0000-0000-00007E080000}"/>
    <cellStyle name="40% - Accent1 2 4 6" xfId="2718" xr:uid="{00000000-0005-0000-0000-00007F080000}"/>
    <cellStyle name="40% - Accent1 2 4 7" xfId="4005" xr:uid="{00000000-0005-0000-0000-000080080000}"/>
    <cellStyle name="40% - Accent1 2 5" xfId="147" xr:uid="{00000000-0005-0000-0000-000081080000}"/>
    <cellStyle name="40% - Accent1 2 5 2" xfId="362" xr:uid="{00000000-0005-0000-0000-000082080000}"/>
    <cellStyle name="40% - Accent1 2 5 2 2" xfId="788" xr:uid="{00000000-0005-0000-0000-000083080000}"/>
    <cellStyle name="40% - Accent1 2 5 2 2 2" xfId="2080" xr:uid="{00000000-0005-0000-0000-000084080000}"/>
    <cellStyle name="40% - Accent1 2 5 2 2 3" xfId="3358" xr:uid="{00000000-0005-0000-0000-000085080000}"/>
    <cellStyle name="40% - Accent1 2 5 2 2 4" xfId="4645" xr:uid="{00000000-0005-0000-0000-000086080000}"/>
    <cellStyle name="40% - Accent1 2 5 2 3" xfId="1214" xr:uid="{00000000-0005-0000-0000-000087080000}"/>
    <cellStyle name="40% - Accent1 2 5 2 3 2" xfId="2506" xr:uid="{00000000-0005-0000-0000-000088080000}"/>
    <cellStyle name="40% - Accent1 2 5 2 3 3" xfId="3784" xr:uid="{00000000-0005-0000-0000-000089080000}"/>
    <cellStyle name="40% - Accent1 2 5 2 3 4" xfId="5071" xr:uid="{00000000-0005-0000-0000-00008A080000}"/>
    <cellStyle name="40% - Accent1 2 5 2 4" xfId="1654" xr:uid="{00000000-0005-0000-0000-00008B080000}"/>
    <cellStyle name="40% - Accent1 2 5 2 5" xfId="2932" xr:uid="{00000000-0005-0000-0000-00008C080000}"/>
    <cellStyle name="40% - Accent1 2 5 2 6" xfId="4219" xr:uid="{00000000-0005-0000-0000-00008D080000}"/>
    <cellStyle name="40% - Accent1 2 5 3" xfId="575" xr:uid="{00000000-0005-0000-0000-00008E080000}"/>
    <cellStyle name="40% - Accent1 2 5 3 2" xfId="1867" xr:uid="{00000000-0005-0000-0000-00008F080000}"/>
    <cellStyle name="40% - Accent1 2 5 3 3" xfId="3145" xr:uid="{00000000-0005-0000-0000-000090080000}"/>
    <cellStyle name="40% - Accent1 2 5 3 4" xfId="4432" xr:uid="{00000000-0005-0000-0000-000091080000}"/>
    <cellStyle name="40% - Accent1 2 5 4" xfId="1001" xr:uid="{00000000-0005-0000-0000-000092080000}"/>
    <cellStyle name="40% - Accent1 2 5 4 2" xfId="2293" xr:uid="{00000000-0005-0000-0000-000093080000}"/>
    <cellStyle name="40% - Accent1 2 5 4 3" xfId="3571" xr:uid="{00000000-0005-0000-0000-000094080000}"/>
    <cellStyle name="40% - Accent1 2 5 4 4" xfId="4858" xr:uid="{00000000-0005-0000-0000-000095080000}"/>
    <cellStyle name="40% - Accent1 2 5 5" xfId="1441" xr:uid="{00000000-0005-0000-0000-000096080000}"/>
    <cellStyle name="40% - Accent1 2 5 6" xfId="2719" xr:uid="{00000000-0005-0000-0000-000097080000}"/>
    <cellStyle name="40% - Accent1 2 5 7" xfId="4006" xr:uid="{00000000-0005-0000-0000-000098080000}"/>
    <cellStyle name="40% - Accent1 2 6" xfId="270" xr:uid="{00000000-0005-0000-0000-000099080000}"/>
    <cellStyle name="40% - Accent1 2 6 2" xfId="483" xr:uid="{00000000-0005-0000-0000-00009A080000}"/>
    <cellStyle name="40% - Accent1 2 6 2 2" xfId="908" xr:uid="{00000000-0005-0000-0000-00009B080000}"/>
    <cellStyle name="40% - Accent1 2 6 2 2 2" xfId="2200" xr:uid="{00000000-0005-0000-0000-00009C080000}"/>
    <cellStyle name="40% - Accent1 2 6 2 2 3" xfId="3478" xr:uid="{00000000-0005-0000-0000-00009D080000}"/>
    <cellStyle name="40% - Accent1 2 6 2 2 4" xfId="4765" xr:uid="{00000000-0005-0000-0000-00009E080000}"/>
    <cellStyle name="40% - Accent1 2 6 2 3" xfId="1334" xr:uid="{00000000-0005-0000-0000-00009F080000}"/>
    <cellStyle name="40% - Accent1 2 6 2 3 2" xfId="2626" xr:uid="{00000000-0005-0000-0000-0000A0080000}"/>
    <cellStyle name="40% - Accent1 2 6 2 3 3" xfId="3904" xr:uid="{00000000-0005-0000-0000-0000A1080000}"/>
    <cellStyle name="40% - Accent1 2 6 2 3 4" xfId="5191" xr:uid="{00000000-0005-0000-0000-0000A2080000}"/>
    <cellStyle name="40% - Accent1 2 6 2 4" xfId="1774" xr:uid="{00000000-0005-0000-0000-0000A3080000}"/>
    <cellStyle name="40% - Accent1 2 6 2 5" xfId="3052" xr:uid="{00000000-0005-0000-0000-0000A4080000}"/>
    <cellStyle name="40% - Accent1 2 6 2 6" xfId="4339" xr:uid="{00000000-0005-0000-0000-0000A5080000}"/>
    <cellStyle name="40% - Accent1 2 6 3" xfId="695" xr:uid="{00000000-0005-0000-0000-0000A6080000}"/>
    <cellStyle name="40% - Accent1 2 6 3 2" xfId="1987" xr:uid="{00000000-0005-0000-0000-0000A7080000}"/>
    <cellStyle name="40% - Accent1 2 6 3 3" xfId="3265" xr:uid="{00000000-0005-0000-0000-0000A8080000}"/>
    <cellStyle name="40% - Accent1 2 6 3 4" xfId="4552" xr:uid="{00000000-0005-0000-0000-0000A9080000}"/>
    <cellStyle name="40% - Accent1 2 6 4" xfId="1121" xr:uid="{00000000-0005-0000-0000-0000AA080000}"/>
    <cellStyle name="40% - Accent1 2 6 4 2" xfId="2413" xr:uid="{00000000-0005-0000-0000-0000AB080000}"/>
    <cellStyle name="40% - Accent1 2 6 4 3" xfId="3691" xr:uid="{00000000-0005-0000-0000-0000AC080000}"/>
    <cellStyle name="40% - Accent1 2 6 4 4" xfId="4978" xr:uid="{00000000-0005-0000-0000-0000AD080000}"/>
    <cellStyle name="40% - Accent1 2 6 5" xfId="1561" xr:uid="{00000000-0005-0000-0000-0000AE080000}"/>
    <cellStyle name="40% - Accent1 2 6 6" xfId="2839" xr:uid="{00000000-0005-0000-0000-0000AF080000}"/>
    <cellStyle name="40% - Accent1 2 6 7" xfId="4126" xr:uid="{00000000-0005-0000-0000-0000B0080000}"/>
    <cellStyle name="40% - Accent1 2 7" xfId="357" xr:uid="{00000000-0005-0000-0000-0000B1080000}"/>
    <cellStyle name="40% - Accent1 2 7 2" xfId="783" xr:uid="{00000000-0005-0000-0000-0000B2080000}"/>
    <cellStyle name="40% - Accent1 2 7 2 2" xfId="2075" xr:uid="{00000000-0005-0000-0000-0000B3080000}"/>
    <cellStyle name="40% - Accent1 2 7 2 3" xfId="3353" xr:uid="{00000000-0005-0000-0000-0000B4080000}"/>
    <cellStyle name="40% - Accent1 2 7 2 4" xfId="4640" xr:uid="{00000000-0005-0000-0000-0000B5080000}"/>
    <cellStyle name="40% - Accent1 2 7 3" xfId="1209" xr:uid="{00000000-0005-0000-0000-0000B6080000}"/>
    <cellStyle name="40% - Accent1 2 7 3 2" xfId="2501" xr:uid="{00000000-0005-0000-0000-0000B7080000}"/>
    <cellStyle name="40% - Accent1 2 7 3 3" xfId="3779" xr:uid="{00000000-0005-0000-0000-0000B8080000}"/>
    <cellStyle name="40% - Accent1 2 7 3 4" xfId="5066" xr:uid="{00000000-0005-0000-0000-0000B9080000}"/>
    <cellStyle name="40% - Accent1 2 7 4" xfId="1649" xr:uid="{00000000-0005-0000-0000-0000BA080000}"/>
    <cellStyle name="40% - Accent1 2 7 5" xfId="2927" xr:uid="{00000000-0005-0000-0000-0000BB080000}"/>
    <cellStyle name="40% - Accent1 2 7 6" xfId="4214" xr:uid="{00000000-0005-0000-0000-0000BC080000}"/>
    <cellStyle name="40% - Accent1 2 8" xfId="570" xr:uid="{00000000-0005-0000-0000-0000BD080000}"/>
    <cellStyle name="40% - Accent1 2 8 2" xfId="1862" xr:uid="{00000000-0005-0000-0000-0000BE080000}"/>
    <cellStyle name="40% - Accent1 2 8 3" xfId="3140" xr:uid="{00000000-0005-0000-0000-0000BF080000}"/>
    <cellStyle name="40% - Accent1 2 8 4" xfId="4427" xr:uid="{00000000-0005-0000-0000-0000C0080000}"/>
    <cellStyle name="40% - Accent1 2 9" xfId="996" xr:uid="{00000000-0005-0000-0000-0000C1080000}"/>
    <cellStyle name="40% - Accent1 2 9 2" xfId="2288" xr:uid="{00000000-0005-0000-0000-0000C2080000}"/>
    <cellStyle name="40% - Accent1 2 9 3" xfId="3566" xr:uid="{00000000-0005-0000-0000-0000C3080000}"/>
    <cellStyle name="40% - Accent1 2 9 4" xfId="4853" xr:uid="{00000000-0005-0000-0000-0000C4080000}"/>
    <cellStyle name="40% - Accent1 3" xfId="148" xr:uid="{00000000-0005-0000-0000-0000C5080000}"/>
    <cellStyle name="40% - Accent1 3 2" xfId="149" xr:uid="{00000000-0005-0000-0000-0000C6080000}"/>
    <cellStyle name="40% - Accent1 3 2 2" xfId="364" xr:uid="{00000000-0005-0000-0000-0000C7080000}"/>
    <cellStyle name="40% - Accent1 3 2 2 2" xfId="790" xr:uid="{00000000-0005-0000-0000-0000C8080000}"/>
    <cellStyle name="40% - Accent1 3 2 2 2 2" xfId="2082" xr:uid="{00000000-0005-0000-0000-0000C9080000}"/>
    <cellStyle name="40% - Accent1 3 2 2 2 3" xfId="3360" xr:uid="{00000000-0005-0000-0000-0000CA080000}"/>
    <cellStyle name="40% - Accent1 3 2 2 2 4" xfId="4647" xr:uid="{00000000-0005-0000-0000-0000CB080000}"/>
    <cellStyle name="40% - Accent1 3 2 2 3" xfId="1216" xr:uid="{00000000-0005-0000-0000-0000CC080000}"/>
    <cellStyle name="40% - Accent1 3 2 2 3 2" xfId="2508" xr:uid="{00000000-0005-0000-0000-0000CD080000}"/>
    <cellStyle name="40% - Accent1 3 2 2 3 3" xfId="3786" xr:uid="{00000000-0005-0000-0000-0000CE080000}"/>
    <cellStyle name="40% - Accent1 3 2 2 3 4" xfId="5073" xr:uid="{00000000-0005-0000-0000-0000CF080000}"/>
    <cellStyle name="40% - Accent1 3 2 2 4" xfId="1656" xr:uid="{00000000-0005-0000-0000-0000D0080000}"/>
    <cellStyle name="40% - Accent1 3 2 2 5" xfId="2934" xr:uid="{00000000-0005-0000-0000-0000D1080000}"/>
    <cellStyle name="40% - Accent1 3 2 2 6" xfId="4221" xr:uid="{00000000-0005-0000-0000-0000D2080000}"/>
    <cellStyle name="40% - Accent1 3 2 3" xfId="577" xr:uid="{00000000-0005-0000-0000-0000D3080000}"/>
    <cellStyle name="40% - Accent1 3 2 3 2" xfId="1869" xr:uid="{00000000-0005-0000-0000-0000D4080000}"/>
    <cellStyle name="40% - Accent1 3 2 3 3" xfId="3147" xr:uid="{00000000-0005-0000-0000-0000D5080000}"/>
    <cellStyle name="40% - Accent1 3 2 3 4" xfId="4434" xr:uid="{00000000-0005-0000-0000-0000D6080000}"/>
    <cellStyle name="40% - Accent1 3 2 4" xfId="1003" xr:uid="{00000000-0005-0000-0000-0000D7080000}"/>
    <cellStyle name="40% - Accent1 3 2 4 2" xfId="2295" xr:uid="{00000000-0005-0000-0000-0000D8080000}"/>
    <cellStyle name="40% - Accent1 3 2 4 3" xfId="3573" xr:uid="{00000000-0005-0000-0000-0000D9080000}"/>
    <cellStyle name="40% - Accent1 3 2 4 4" xfId="4860" xr:uid="{00000000-0005-0000-0000-0000DA080000}"/>
    <cellStyle name="40% - Accent1 3 2 5" xfId="1443" xr:uid="{00000000-0005-0000-0000-0000DB080000}"/>
    <cellStyle name="40% - Accent1 3 2 6" xfId="2721" xr:uid="{00000000-0005-0000-0000-0000DC080000}"/>
    <cellStyle name="40% - Accent1 3 2 7" xfId="4008" xr:uid="{00000000-0005-0000-0000-0000DD080000}"/>
    <cellStyle name="40% - Accent1 3 2 8" xfId="5260" xr:uid="{00000000-0005-0000-0000-0000DE080000}"/>
    <cellStyle name="40% - Accent1 3 3" xfId="363" xr:uid="{00000000-0005-0000-0000-0000DF080000}"/>
    <cellStyle name="40% - Accent1 3 3 2" xfId="789" xr:uid="{00000000-0005-0000-0000-0000E0080000}"/>
    <cellStyle name="40% - Accent1 3 3 2 2" xfId="2081" xr:uid="{00000000-0005-0000-0000-0000E1080000}"/>
    <cellStyle name="40% - Accent1 3 3 2 3" xfId="3359" xr:uid="{00000000-0005-0000-0000-0000E2080000}"/>
    <cellStyle name="40% - Accent1 3 3 2 4" xfId="4646" xr:uid="{00000000-0005-0000-0000-0000E3080000}"/>
    <cellStyle name="40% - Accent1 3 3 3" xfId="1215" xr:uid="{00000000-0005-0000-0000-0000E4080000}"/>
    <cellStyle name="40% - Accent1 3 3 3 2" xfId="2507" xr:uid="{00000000-0005-0000-0000-0000E5080000}"/>
    <cellStyle name="40% - Accent1 3 3 3 3" xfId="3785" xr:uid="{00000000-0005-0000-0000-0000E6080000}"/>
    <cellStyle name="40% - Accent1 3 3 3 4" xfId="5072" xr:uid="{00000000-0005-0000-0000-0000E7080000}"/>
    <cellStyle name="40% - Accent1 3 3 4" xfId="1655" xr:uid="{00000000-0005-0000-0000-0000E8080000}"/>
    <cellStyle name="40% - Accent1 3 3 5" xfId="2933" xr:uid="{00000000-0005-0000-0000-0000E9080000}"/>
    <cellStyle name="40% - Accent1 3 3 6" xfId="4220" xr:uid="{00000000-0005-0000-0000-0000EA080000}"/>
    <cellStyle name="40% - Accent1 3 4" xfId="576" xr:uid="{00000000-0005-0000-0000-0000EB080000}"/>
    <cellStyle name="40% - Accent1 3 4 2" xfId="1868" xr:uid="{00000000-0005-0000-0000-0000EC080000}"/>
    <cellStyle name="40% - Accent1 3 4 3" xfId="3146" xr:uid="{00000000-0005-0000-0000-0000ED080000}"/>
    <cellStyle name="40% - Accent1 3 4 4" xfId="4433" xr:uid="{00000000-0005-0000-0000-0000EE080000}"/>
    <cellStyle name="40% - Accent1 3 5" xfId="1002" xr:uid="{00000000-0005-0000-0000-0000EF080000}"/>
    <cellStyle name="40% - Accent1 3 5 2" xfId="2294" xr:uid="{00000000-0005-0000-0000-0000F0080000}"/>
    <cellStyle name="40% - Accent1 3 5 3" xfId="3572" xr:uid="{00000000-0005-0000-0000-0000F1080000}"/>
    <cellStyle name="40% - Accent1 3 5 4" xfId="4859" xr:uid="{00000000-0005-0000-0000-0000F2080000}"/>
    <cellStyle name="40% - Accent1 3 6" xfId="1442" xr:uid="{00000000-0005-0000-0000-0000F3080000}"/>
    <cellStyle name="40% - Accent1 3 7" xfId="2720" xr:uid="{00000000-0005-0000-0000-0000F4080000}"/>
    <cellStyle name="40% - Accent1 3 8" xfId="4007" xr:uid="{00000000-0005-0000-0000-0000F5080000}"/>
    <cellStyle name="40% - Accent1 3 9" xfId="5259" xr:uid="{00000000-0005-0000-0000-0000F6080000}"/>
    <cellStyle name="40% - Accent1 4" xfId="150" xr:uid="{00000000-0005-0000-0000-0000F7080000}"/>
    <cellStyle name="40% - Accent1 4 2" xfId="365" xr:uid="{00000000-0005-0000-0000-0000F8080000}"/>
    <cellStyle name="40% - Accent1 4 2 2" xfId="791" xr:uid="{00000000-0005-0000-0000-0000F9080000}"/>
    <cellStyle name="40% - Accent1 4 2 2 2" xfId="2083" xr:uid="{00000000-0005-0000-0000-0000FA080000}"/>
    <cellStyle name="40% - Accent1 4 2 2 3" xfId="3361" xr:uid="{00000000-0005-0000-0000-0000FB080000}"/>
    <cellStyle name="40% - Accent1 4 2 2 4" xfId="4648" xr:uid="{00000000-0005-0000-0000-0000FC080000}"/>
    <cellStyle name="40% - Accent1 4 2 3" xfId="1217" xr:uid="{00000000-0005-0000-0000-0000FD080000}"/>
    <cellStyle name="40% - Accent1 4 2 3 2" xfId="2509" xr:uid="{00000000-0005-0000-0000-0000FE080000}"/>
    <cellStyle name="40% - Accent1 4 2 3 3" xfId="3787" xr:uid="{00000000-0005-0000-0000-0000FF080000}"/>
    <cellStyle name="40% - Accent1 4 2 3 4" xfId="5074" xr:uid="{00000000-0005-0000-0000-000000090000}"/>
    <cellStyle name="40% - Accent1 4 2 4" xfId="1657" xr:uid="{00000000-0005-0000-0000-000001090000}"/>
    <cellStyle name="40% - Accent1 4 2 5" xfId="2935" xr:uid="{00000000-0005-0000-0000-000002090000}"/>
    <cellStyle name="40% - Accent1 4 2 6" xfId="4222" xr:uid="{00000000-0005-0000-0000-000003090000}"/>
    <cellStyle name="40% - Accent1 4 3" xfId="578" xr:uid="{00000000-0005-0000-0000-000004090000}"/>
    <cellStyle name="40% - Accent1 4 3 2" xfId="1870" xr:uid="{00000000-0005-0000-0000-000005090000}"/>
    <cellStyle name="40% - Accent1 4 3 3" xfId="3148" xr:uid="{00000000-0005-0000-0000-000006090000}"/>
    <cellStyle name="40% - Accent1 4 3 4" xfId="4435" xr:uid="{00000000-0005-0000-0000-000007090000}"/>
    <cellStyle name="40% - Accent1 4 4" xfId="1004" xr:uid="{00000000-0005-0000-0000-000008090000}"/>
    <cellStyle name="40% - Accent1 4 4 2" xfId="2296" xr:uid="{00000000-0005-0000-0000-000009090000}"/>
    <cellStyle name="40% - Accent1 4 4 3" xfId="3574" xr:uid="{00000000-0005-0000-0000-00000A090000}"/>
    <cellStyle name="40% - Accent1 4 4 4" xfId="4861" xr:uid="{00000000-0005-0000-0000-00000B090000}"/>
    <cellStyle name="40% - Accent1 4 5" xfId="1444" xr:uid="{00000000-0005-0000-0000-00000C090000}"/>
    <cellStyle name="40% - Accent1 4 6" xfId="2722" xr:uid="{00000000-0005-0000-0000-00000D090000}"/>
    <cellStyle name="40% - Accent1 4 7" xfId="4009" xr:uid="{00000000-0005-0000-0000-00000E090000}"/>
    <cellStyle name="40% - Accent1 4 8" xfId="5261" xr:uid="{00000000-0005-0000-0000-00000F090000}"/>
    <cellStyle name="40% - Accent1 5" xfId="151" xr:uid="{00000000-0005-0000-0000-000010090000}"/>
    <cellStyle name="40% - Accent1 5 2" xfId="366" xr:uid="{00000000-0005-0000-0000-000011090000}"/>
    <cellStyle name="40% - Accent1 5 2 2" xfId="792" xr:uid="{00000000-0005-0000-0000-000012090000}"/>
    <cellStyle name="40% - Accent1 5 2 2 2" xfId="2084" xr:uid="{00000000-0005-0000-0000-000013090000}"/>
    <cellStyle name="40% - Accent1 5 2 2 3" xfId="3362" xr:uid="{00000000-0005-0000-0000-000014090000}"/>
    <cellStyle name="40% - Accent1 5 2 2 4" xfId="4649" xr:uid="{00000000-0005-0000-0000-000015090000}"/>
    <cellStyle name="40% - Accent1 5 2 3" xfId="1218" xr:uid="{00000000-0005-0000-0000-000016090000}"/>
    <cellStyle name="40% - Accent1 5 2 3 2" xfId="2510" xr:uid="{00000000-0005-0000-0000-000017090000}"/>
    <cellStyle name="40% - Accent1 5 2 3 3" xfId="3788" xr:uid="{00000000-0005-0000-0000-000018090000}"/>
    <cellStyle name="40% - Accent1 5 2 3 4" xfId="5075" xr:uid="{00000000-0005-0000-0000-000019090000}"/>
    <cellStyle name="40% - Accent1 5 2 4" xfId="1658" xr:uid="{00000000-0005-0000-0000-00001A090000}"/>
    <cellStyle name="40% - Accent1 5 2 5" xfId="2936" xr:uid="{00000000-0005-0000-0000-00001B090000}"/>
    <cellStyle name="40% - Accent1 5 2 6" xfId="4223" xr:uid="{00000000-0005-0000-0000-00001C090000}"/>
    <cellStyle name="40% - Accent1 5 3" xfId="579" xr:uid="{00000000-0005-0000-0000-00001D090000}"/>
    <cellStyle name="40% - Accent1 5 3 2" xfId="1871" xr:uid="{00000000-0005-0000-0000-00001E090000}"/>
    <cellStyle name="40% - Accent1 5 3 3" xfId="3149" xr:uid="{00000000-0005-0000-0000-00001F090000}"/>
    <cellStyle name="40% - Accent1 5 3 4" xfId="4436" xr:uid="{00000000-0005-0000-0000-000020090000}"/>
    <cellStyle name="40% - Accent1 5 4" xfId="1005" xr:uid="{00000000-0005-0000-0000-000021090000}"/>
    <cellStyle name="40% - Accent1 5 4 2" xfId="2297" xr:uid="{00000000-0005-0000-0000-000022090000}"/>
    <cellStyle name="40% - Accent1 5 4 3" xfId="3575" xr:uid="{00000000-0005-0000-0000-000023090000}"/>
    <cellStyle name="40% - Accent1 5 4 4" xfId="4862" xr:uid="{00000000-0005-0000-0000-000024090000}"/>
    <cellStyle name="40% - Accent1 5 5" xfId="1445" xr:uid="{00000000-0005-0000-0000-000025090000}"/>
    <cellStyle name="40% - Accent1 5 6" xfId="2723" xr:uid="{00000000-0005-0000-0000-000026090000}"/>
    <cellStyle name="40% - Accent1 5 7" xfId="4010" xr:uid="{00000000-0005-0000-0000-000027090000}"/>
    <cellStyle name="40% - Accent1 6" xfId="152" xr:uid="{00000000-0005-0000-0000-000028090000}"/>
    <cellStyle name="40% - Accent1 6 2" xfId="367" xr:uid="{00000000-0005-0000-0000-000029090000}"/>
    <cellStyle name="40% - Accent1 6 2 2" xfId="793" xr:uid="{00000000-0005-0000-0000-00002A090000}"/>
    <cellStyle name="40% - Accent1 6 2 2 2" xfId="2085" xr:uid="{00000000-0005-0000-0000-00002B090000}"/>
    <cellStyle name="40% - Accent1 6 2 2 3" xfId="3363" xr:uid="{00000000-0005-0000-0000-00002C090000}"/>
    <cellStyle name="40% - Accent1 6 2 2 4" xfId="4650" xr:uid="{00000000-0005-0000-0000-00002D090000}"/>
    <cellStyle name="40% - Accent1 6 2 3" xfId="1219" xr:uid="{00000000-0005-0000-0000-00002E090000}"/>
    <cellStyle name="40% - Accent1 6 2 3 2" xfId="2511" xr:uid="{00000000-0005-0000-0000-00002F090000}"/>
    <cellStyle name="40% - Accent1 6 2 3 3" xfId="3789" xr:uid="{00000000-0005-0000-0000-000030090000}"/>
    <cellStyle name="40% - Accent1 6 2 3 4" xfId="5076" xr:uid="{00000000-0005-0000-0000-000031090000}"/>
    <cellStyle name="40% - Accent1 6 2 4" xfId="1659" xr:uid="{00000000-0005-0000-0000-000032090000}"/>
    <cellStyle name="40% - Accent1 6 2 5" xfId="2937" xr:uid="{00000000-0005-0000-0000-000033090000}"/>
    <cellStyle name="40% - Accent1 6 2 6" xfId="4224" xr:uid="{00000000-0005-0000-0000-000034090000}"/>
    <cellStyle name="40% - Accent1 6 3" xfId="580" xr:uid="{00000000-0005-0000-0000-000035090000}"/>
    <cellStyle name="40% - Accent1 6 3 2" xfId="1872" xr:uid="{00000000-0005-0000-0000-000036090000}"/>
    <cellStyle name="40% - Accent1 6 3 3" xfId="3150" xr:uid="{00000000-0005-0000-0000-000037090000}"/>
    <cellStyle name="40% - Accent1 6 3 4" xfId="4437" xr:uid="{00000000-0005-0000-0000-000038090000}"/>
    <cellStyle name="40% - Accent1 6 4" xfId="1006" xr:uid="{00000000-0005-0000-0000-000039090000}"/>
    <cellStyle name="40% - Accent1 6 4 2" xfId="2298" xr:uid="{00000000-0005-0000-0000-00003A090000}"/>
    <cellStyle name="40% - Accent1 6 4 3" xfId="3576" xr:uid="{00000000-0005-0000-0000-00003B090000}"/>
    <cellStyle name="40% - Accent1 6 4 4" xfId="4863" xr:uid="{00000000-0005-0000-0000-00003C090000}"/>
    <cellStyle name="40% - Accent1 6 5" xfId="1446" xr:uid="{00000000-0005-0000-0000-00003D090000}"/>
    <cellStyle name="40% - Accent1 6 6" xfId="2724" xr:uid="{00000000-0005-0000-0000-00003E090000}"/>
    <cellStyle name="40% - Accent1 6 7" xfId="4011" xr:uid="{00000000-0005-0000-0000-00003F090000}"/>
    <cellStyle name="40% - Accent1 7" xfId="260" xr:uid="{00000000-0005-0000-0000-000040090000}"/>
    <cellStyle name="40% - Accent1 7 2" xfId="473" xr:uid="{00000000-0005-0000-0000-000041090000}"/>
    <cellStyle name="40% - Accent1 7 2 2" xfId="898" xr:uid="{00000000-0005-0000-0000-000042090000}"/>
    <cellStyle name="40% - Accent1 7 2 2 2" xfId="2190" xr:uid="{00000000-0005-0000-0000-000043090000}"/>
    <cellStyle name="40% - Accent1 7 2 2 3" xfId="3468" xr:uid="{00000000-0005-0000-0000-000044090000}"/>
    <cellStyle name="40% - Accent1 7 2 2 4" xfId="4755" xr:uid="{00000000-0005-0000-0000-000045090000}"/>
    <cellStyle name="40% - Accent1 7 2 3" xfId="1324" xr:uid="{00000000-0005-0000-0000-000046090000}"/>
    <cellStyle name="40% - Accent1 7 2 3 2" xfId="2616" xr:uid="{00000000-0005-0000-0000-000047090000}"/>
    <cellStyle name="40% - Accent1 7 2 3 3" xfId="3894" xr:uid="{00000000-0005-0000-0000-000048090000}"/>
    <cellStyle name="40% - Accent1 7 2 3 4" xfId="5181" xr:uid="{00000000-0005-0000-0000-000049090000}"/>
    <cellStyle name="40% - Accent1 7 2 4" xfId="1764" xr:uid="{00000000-0005-0000-0000-00004A090000}"/>
    <cellStyle name="40% - Accent1 7 2 5" xfId="3042" xr:uid="{00000000-0005-0000-0000-00004B090000}"/>
    <cellStyle name="40% - Accent1 7 2 6" xfId="4329" xr:uid="{00000000-0005-0000-0000-00004C090000}"/>
    <cellStyle name="40% - Accent1 7 3" xfId="685" xr:uid="{00000000-0005-0000-0000-00004D090000}"/>
    <cellStyle name="40% - Accent1 7 3 2" xfId="1977" xr:uid="{00000000-0005-0000-0000-00004E090000}"/>
    <cellStyle name="40% - Accent1 7 3 3" xfId="3255" xr:uid="{00000000-0005-0000-0000-00004F090000}"/>
    <cellStyle name="40% - Accent1 7 3 4" xfId="4542" xr:uid="{00000000-0005-0000-0000-000050090000}"/>
    <cellStyle name="40% - Accent1 7 4" xfId="1111" xr:uid="{00000000-0005-0000-0000-000051090000}"/>
    <cellStyle name="40% - Accent1 7 4 2" xfId="2403" xr:uid="{00000000-0005-0000-0000-000052090000}"/>
    <cellStyle name="40% - Accent1 7 4 3" xfId="3681" xr:uid="{00000000-0005-0000-0000-000053090000}"/>
    <cellStyle name="40% - Accent1 7 4 4" xfId="4968" xr:uid="{00000000-0005-0000-0000-000054090000}"/>
    <cellStyle name="40% - Accent1 7 5" xfId="1551" xr:uid="{00000000-0005-0000-0000-000055090000}"/>
    <cellStyle name="40% - Accent1 7 6" xfId="2829" xr:uid="{00000000-0005-0000-0000-000056090000}"/>
    <cellStyle name="40% - Accent1 7 7" xfId="4116" xr:uid="{00000000-0005-0000-0000-000057090000}"/>
    <cellStyle name="40% - Accent1 8" xfId="356" xr:uid="{00000000-0005-0000-0000-000058090000}"/>
    <cellStyle name="40% - Accent1 8 2" xfId="782" xr:uid="{00000000-0005-0000-0000-000059090000}"/>
    <cellStyle name="40% - Accent1 8 2 2" xfId="2074" xr:uid="{00000000-0005-0000-0000-00005A090000}"/>
    <cellStyle name="40% - Accent1 8 2 3" xfId="3352" xr:uid="{00000000-0005-0000-0000-00005B090000}"/>
    <cellStyle name="40% - Accent1 8 2 4" xfId="4639" xr:uid="{00000000-0005-0000-0000-00005C090000}"/>
    <cellStyle name="40% - Accent1 8 3" xfId="1208" xr:uid="{00000000-0005-0000-0000-00005D090000}"/>
    <cellStyle name="40% - Accent1 8 3 2" xfId="2500" xr:uid="{00000000-0005-0000-0000-00005E090000}"/>
    <cellStyle name="40% - Accent1 8 3 3" xfId="3778" xr:uid="{00000000-0005-0000-0000-00005F090000}"/>
    <cellStyle name="40% - Accent1 8 3 4" xfId="5065" xr:uid="{00000000-0005-0000-0000-000060090000}"/>
    <cellStyle name="40% - Accent1 8 4" xfId="1648" xr:uid="{00000000-0005-0000-0000-000061090000}"/>
    <cellStyle name="40% - Accent1 8 5" xfId="2926" xr:uid="{00000000-0005-0000-0000-000062090000}"/>
    <cellStyle name="40% - Accent1 8 6" xfId="4213" xr:uid="{00000000-0005-0000-0000-000063090000}"/>
    <cellStyle name="40% - Accent1 9" xfId="569" xr:uid="{00000000-0005-0000-0000-000064090000}"/>
    <cellStyle name="40% - Accent1 9 2" xfId="1861" xr:uid="{00000000-0005-0000-0000-000065090000}"/>
    <cellStyle name="40% - Accent1 9 3" xfId="3139" xr:uid="{00000000-0005-0000-0000-000066090000}"/>
    <cellStyle name="40% - Accent1 9 4" xfId="4426" xr:uid="{00000000-0005-0000-0000-000067090000}"/>
    <cellStyle name="40% - Accent2" xfId="63" builtinId="35" customBuiltin="1"/>
    <cellStyle name="40% - Accent2 10" xfId="1007" xr:uid="{00000000-0005-0000-0000-000069090000}"/>
    <cellStyle name="40% - Accent2 10 2" xfId="2299" xr:uid="{00000000-0005-0000-0000-00006A090000}"/>
    <cellStyle name="40% - Accent2 10 3" xfId="3577" xr:uid="{00000000-0005-0000-0000-00006B090000}"/>
    <cellStyle name="40% - Accent2 10 4" xfId="4864" xr:uid="{00000000-0005-0000-0000-00006C090000}"/>
    <cellStyle name="40% - Accent2 11" xfId="1447" xr:uid="{00000000-0005-0000-0000-00006D090000}"/>
    <cellStyle name="40% - Accent2 12" xfId="2725" xr:uid="{00000000-0005-0000-0000-00006E090000}"/>
    <cellStyle name="40% - Accent2 13" xfId="4012" xr:uid="{00000000-0005-0000-0000-00006F090000}"/>
    <cellStyle name="40% - Accent2 14" xfId="5262" xr:uid="{00000000-0005-0000-0000-000070090000}"/>
    <cellStyle name="40% - Accent2 2" xfId="17" xr:uid="{00000000-0005-0000-0000-000071090000}"/>
    <cellStyle name="40% - Accent2 2 10" xfId="1448" xr:uid="{00000000-0005-0000-0000-000072090000}"/>
    <cellStyle name="40% - Accent2 2 11" xfId="2726" xr:uid="{00000000-0005-0000-0000-000073090000}"/>
    <cellStyle name="40% - Accent2 2 12" xfId="4013" xr:uid="{00000000-0005-0000-0000-000074090000}"/>
    <cellStyle name="40% - Accent2 2 13" xfId="5263" xr:uid="{00000000-0005-0000-0000-000075090000}"/>
    <cellStyle name="40% - Accent2 2 2" xfId="153" xr:uid="{00000000-0005-0000-0000-000076090000}"/>
    <cellStyle name="40% - Accent2 2 2 2" xfId="154" xr:uid="{00000000-0005-0000-0000-000077090000}"/>
    <cellStyle name="40% - Accent2 2 2 2 2" xfId="371" xr:uid="{00000000-0005-0000-0000-000078090000}"/>
    <cellStyle name="40% - Accent2 2 2 2 2 2" xfId="797" xr:uid="{00000000-0005-0000-0000-000079090000}"/>
    <cellStyle name="40% - Accent2 2 2 2 2 2 2" xfId="2089" xr:uid="{00000000-0005-0000-0000-00007A090000}"/>
    <cellStyle name="40% - Accent2 2 2 2 2 2 3" xfId="3367" xr:uid="{00000000-0005-0000-0000-00007B090000}"/>
    <cellStyle name="40% - Accent2 2 2 2 2 2 4" xfId="4654" xr:uid="{00000000-0005-0000-0000-00007C090000}"/>
    <cellStyle name="40% - Accent2 2 2 2 2 3" xfId="1223" xr:uid="{00000000-0005-0000-0000-00007D090000}"/>
    <cellStyle name="40% - Accent2 2 2 2 2 3 2" xfId="2515" xr:uid="{00000000-0005-0000-0000-00007E090000}"/>
    <cellStyle name="40% - Accent2 2 2 2 2 3 3" xfId="3793" xr:uid="{00000000-0005-0000-0000-00007F090000}"/>
    <cellStyle name="40% - Accent2 2 2 2 2 3 4" xfId="5080" xr:uid="{00000000-0005-0000-0000-000080090000}"/>
    <cellStyle name="40% - Accent2 2 2 2 2 4" xfId="1663" xr:uid="{00000000-0005-0000-0000-000081090000}"/>
    <cellStyle name="40% - Accent2 2 2 2 2 5" xfId="2941" xr:uid="{00000000-0005-0000-0000-000082090000}"/>
    <cellStyle name="40% - Accent2 2 2 2 2 6" xfId="4228" xr:uid="{00000000-0005-0000-0000-000083090000}"/>
    <cellStyle name="40% - Accent2 2 2 2 3" xfId="584" xr:uid="{00000000-0005-0000-0000-000084090000}"/>
    <cellStyle name="40% - Accent2 2 2 2 3 2" xfId="1876" xr:uid="{00000000-0005-0000-0000-000085090000}"/>
    <cellStyle name="40% - Accent2 2 2 2 3 3" xfId="3154" xr:uid="{00000000-0005-0000-0000-000086090000}"/>
    <cellStyle name="40% - Accent2 2 2 2 3 4" xfId="4441" xr:uid="{00000000-0005-0000-0000-000087090000}"/>
    <cellStyle name="40% - Accent2 2 2 2 4" xfId="1010" xr:uid="{00000000-0005-0000-0000-000088090000}"/>
    <cellStyle name="40% - Accent2 2 2 2 4 2" xfId="2302" xr:uid="{00000000-0005-0000-0000-000089090000}"/>
    <cellStyle name="40% - Accent2 2 2 2 4 3" xfId="3580" xr:uid="{00000000-0005-0000-0000-00008A090000}"/>
    <cellStyle name="40% - Accent2 2 2 2 4 4" xfId="4867" xr:uid="{00000000-0005-0000-0000-00008B090000}"/>
    <cellStyle name="40% - Accent2 2 2 2 5" xfId="1450" xr:uid="{00000000-0005-0000-0000-00008C090000}"/>
    <cellStyle name="40% - Accent2 2 2 2 6" xfId="2728" xr:uid="{00000000-0005-0000-0000-00008D090000}"/>
    <cellStyle name="40% - Accent2 2 2 2 7" xfId="4015" xr:uid="{00000000-0005-0000-0000-00008E090000}"/>
    <cellStyle name="40% - Accent2 2 2 2 8" xfId="5265" xr:uid="{00000000-0005-0000-0000-00008F090000}"/>
    <cellStyle name="40% - Accent2 2 2 3" xfId="370" xr:uid="{00000000-0005-0000-0000-000090090000}"/>
    <cellStyle name="40% - Accent2 2 2 3 2" xfId="796" xr:uid="{00000000-0005-0000-0000-000091090000}"/>
    <cellStyle name="40% - Accent2 2 2 3 2 2" xfId="2088" xr:uid="{00000000-0005-0000-0000-000092090000}"/>
    <cellStyle name="40% - Accent2 2 2 3 2 3" xfId="3366" xr:uid="{00000000-0005-0000-0000-000093090000}"/>
    <cellStyle name="40% - Accent2 2 2 3 2 4" xfId="4653" xr:uid="{00000000-0005-0000-0000-000094090000}"/>
    <cellStyle name="40% - Accent2 2 2 3 3" xfId="1222" xr:uid="{00000000-0005-0000-0000-000095090000}"/>
    <cellStyle name="40% - Accent2 2 2 3 3 2" xfId="2514" xr:uid="{00000000-0005-0000-0000-000096090000}"/>
    <cellStyle name="40% - Accent2 2 2 3 3 3" xfId="3792" xr:uid="{00000000-0005-0000-0000-000097090000}"/>
    <cellStyle name="40% - Accent2 2 2 3 3 4" xfId="5079" xr:uid="{00000000-0005-0000-0000-000098090000}"/>
    <cellStyle name="40% - Accent2 2 2 3 4" xfId="1662" xr:uid="{00000000-0005-0000-0000-000099090000}"/>
    <cellStyle name="40% - Accent2 2 2 3 5" xfId="2940" xr:uid="{00000000-0005-0000-0000-00009A090000}"/>
    <cellStyle name="40% - Accent2 2 2 3 6" xfId="4227" xr:uid="{00000000-0005-0000-0000-00009B090000}"/>
    <cellStyle name="40% - Accent2 2 2 4" xfId="583" xr:uid="{00000000-0005-0000-0000-00009C090000}"/>
    <cellStyle name="40% - Accent2 2 2 4 2" xfId="1875" xr:uid="{00000000-0005-0000-0000-00009D090000}"/>
    <cellStyle name="40% - Accent2 2 2 4 3" xfId="3153" xr:uid="{00000000-0005-0000-0000-00009E090000}"/>
    <cellStyle name="40% - Accent2 2 2 4 4" xfId="4440" xr:uid="{00000000-0005-0000-0000-00009F090000}"/>
    <cellStyle name="40% - Accent2 2 2 5" xfId="1009" xr:uid="{00000000-0005-0000-0000-0000A0090000}"/>
    <cellStyle name="40% - Accent2 2 2 5 2" xfId="2301" xr:uid="{00000000-0005-0000-0000-0000A1090000}"/>
    <cellStyle name="40% - Accent2 2 2 5 3" xfId="3579" xr:uid="{00000000-0005-0000-0000-0000A2090000}"/>
    <cellStyle name="40% - Accent2 2 2 5 4" xfId="4866" xr:uid="{00000000-0005-0000-0000-0000A3090000}"/>
    <cellStyle name="40% - Accent2 2 2 6" xfId="1449" xr:uid="{00000000-0005-0000-0000-0000A4090000}"/>
    <cellStyle name="40% - Accent2 2 2 7" xfId="2727" xr:uid="{00000000-0005-0000-0000-0000A5090000}"/>
    <cellStyle name="40% - Accent2 2 2 8" xfId="4014" xr:uid="{00000000-0005-0000-0000-0000A6090000}"/>
    <cellStyle name="40% - Accent2 2 2 9" xfId="5264" xr:uid="{00000000-0005-0000-0000-0000A7090000}"/>
    <cellStyle name="40% - Accent2 2 3" xfId="155" xr:uid="{00000000-0005-0000-0000-0000A8090000}"/>
    <cellStyle name="40% - Accent2 2 3 2" xfId="372" xr:uid="{00000000-0005-0000-0000-0000A9090000}"/>
    <cellStyle name="40% - Accent2 2 3 2 2" xfId="798" xr:uid="{00000000-0005-0000-0000-0000AA090000}"/>
    <cellStyle name="40% - Accent2 2 3 2 2 2" xfId="2090" xr:uid="{00000000-0005-0000-0000-0000AB090000}"/>
    <cellStyle name="40% - Accent2 2 3 2 2 3" xfId="3368" xr:uid="{00000000-0005-0000-0000-0000AC090000}"/>
    <cellStyle name="40% - Accent2 2 3 2 2 4" xfId="4655" xr:uid="{00000000-0005-0000-0000-0000AD090000}"/>
    <cellStyle name="40% - Accent2 2 3 2 3" xfId="1224" xr:uid="{00000000-0005-0000-0000-0000AE090000}"/>
    <cellStyle name="40% - Accent2 2 3 2 3 2" xfId="2516" xr:uid="{00000000-0005-0000-0000-0000AF090000}"/>
    <cellStyle name="40% - Accent2 2 3 2 3 3" xfId="3794" xr:uid="{00000000-0005-0000-0000-0000B0090000}"/>
    <cellStyle name="40% - Accent2 2 3 2 3 4" xfId="5081" xr:uid="{00000000-0005-0000-0000-0000B1090000}"/>
    <cellStyle name="40% - Accent2 2 3 2 4" xfId="1664" xr:uid="{00000000-0005-0000-0000-0000B2090000}"/>
    <cellStyle name="40% - Accent2 2 3 2 5" xfId="2942" xr:uid="{00000000-0005-0000-0000-0000B3090000}"/>
    <cellStyle name="40% - Accent2 2 3 2 6" xfId="4229" xr:uid="{00000000-0005-0000-0000-0000B4090000}"/>
    <cellStyle name="40% - Accent2 2 3 3" xfId="585" xr:uid="{00000000-0005-0000-0000-0000B5090000}"/>
    <cellStyle name="40% - Accent2 2 3 3 2" xfId="1877" xr:uid="{00000000-0005-0000-0000-0000B6090000}"/>
    <cellStyle name="40% - Accent2 2 3 3 3" xfId="3155" xr:uid="{00000000-0005-0000-0000-0000B7090000}"/>
    <cellStyle name="40% - Accent2 2 3 3 4" xfId="4442" xr:uid="{00000000-0005-0000-0000-0000B8090000}"/>
    <cellStyle name="40% - Accent2 2 3 4" xfId="1011" xr:uid="{00000000-0005-0000-0000-0000B9090000}"/>
    <cellStyle name="40% - Accent2 2 3 4 2" xfId="2303" xr:uid="{00000000-0005-0000-0000-0000BA090000}"/>
    <cellStyle name="40% - Accent2 2 3 4 3" xfId="3581" xr:uid="{00000000-0005-0000-0000-0000BB090000}"/>
    <cellStyle name="40% - Accent2 2 3 4 4" xfId="4868" xr:uid="{00000000-0005-0000-0000-0000BC090000}"/>
    <cellStyle name="40% - Accent2 2 3 5" xfId="1451" xr:uid="{00000000-0005-0000-0000-0000BD090000}"/>
    <cellStyle name="40% - Accent2 2 3 6" xfId="2729" xr:uid="{00000000-0005-0000-0000-0000BE090000}"/>
    <cellStyle name="40% - Accent2 2 3 7" xfId="4016" xr:uid="{00000000-0005-0000-0000-0000BF090000}"/>
    <cellStyle name="40% - Accent2 2 3 8" xfId="5266" xr:uid="{00000000-0005-0000-0000-0000C0090000}"/>
    <cellStyle name="40% - Accent2 2 4" xfId="156" xr:uid="{00000000-0005-0000-0000-0000C1090000}"/>
    <cellStyle name="40% - Accent2 2 4 2" xfId="373" xr:uid="{00000000-0005-0000-0000-0000C2090000}"/>
    <cellStyle name="40% - Accent2 2 4 2 2" xfId="799" xr:uid="{00000000-0005-0000-0000-0000C3090000}"/>
    <cellStyle name="40% - Accent2 2 4 2 2 2" xfId="2091" xr:uid="{00000000-0005-0000-0000-0000C4090000}"/>
    <cellStyle name="40% - Accent2 2 4 2 2 3" xfId="3369" xr:uid="{00000000-0005-0000-0000-0000C5090000}"/>
    <cellStyle name="40% - Accent2 2 4 2 2 4" xfId="4656" xr:uid="{00000000-0005-0000-0000-0000C6090000}"/>
    <cellStyle name="40% - Accent2 2 4 2 3" xfId="1225" xr:uid="{00000000-0005-0000-0000-0000C7090000}"/>
    <cellStyle name="40% - Accent2 2 4 2 3 2" xfId="2517" xr:uid="{00000000-0005-0000-0000-0000C8090000}"/>
    <cellStyle name="40% - Accent2 2 4 2 3 3" xfId="3795" xr:uid="{00000000-0005-0000-0000-0000C9090000}"/>
    <cellStyle name="40% - Accent2 2 4 2 3 4" xfId="5082" xr:uid="{00000000-0005-0000-0000-0000CA090000}"/>
    <cellStyle name="40% - Accent2 2 4 2 4" xfId="1665" xr:uid="{00000000-0005-0000-0000-0000CB090000}"/>
    <cellStyle name="40% - Accent2 2 4 2 5" xfId="2943" xr:uid="{00000000-0005-0000-0000-0000CC090000}"/>
    <cellStyle name="40% - Accent2 2 4 2 6" xfId="4230" xr:uid="{00000000-0005-0000-0000-0000CD090000}"/>
    <cellStyle name="40% - Accent2 2 4 3" xfId="586" xr:uid="{00000000-0005-0000-0000-0000CE090000}"/>
    <cellStyle name="40% - Accent2 2 4 3 2" xfId="1878" xr:uid="{00000000-0005-0000-0000-0000CF090000}"/>
    <cellStyle name="40% - Accent2 2 4 3 3" xfId="3156" xr:uid="{00000000-0005-0000-0000-0000D0090000}"/>
    <cellStyle name="40% - Accent2 2 4 3 4" xfId="4443" xr:uid="{00000000-0005-0000-0000-0000D1090000}"/>
    <cellStyle name="40% - Accent2 2 4 4" xfId="1012" xr:uid="{00000000-0005-0000-0000-0000D2090000}"/>
    <cellStyle name="40% - Accent2 2 4 4 2" xfId="2304" xr:uid="{00000000-0005-0000-0000-0000D3090000}"/>
    <cellStyle name="40% - Accent2 2 4 4 3" xfId="3582" xr:uid="{00000000-0005-0000-0000-0000D4090000}"/>
    <cellStyle name="40% - Accent2 2 4 4 4" xfId="4869" xr:uid="{00000000-0005-0000-0000-0000D5090000}"/>
    <cellStyle name="40% - Accent2 2 4 5" xfId="1452" xr:uid="{00000000-0005-0000-0000-0000D6090000}"/>
    <cellStyle name="40% - Accent2 2 4 6" xfId="2730" xr:uid="{00000000-0005-0000-0000-0000D7090000}"/>
    <cellStyle name="40% - Accent2 2 4 7" xfId="4017" xr:uid="{00000000-0005-0000-0000-0000D8090000}"/>
    <cellStyle name="40% - Accent2 2 5" xfId="157" xr:uid="{00000000-0005-0000-0000-0000D9090000}"/>
    <cellStyle name="40% - Accent2 2 5 2" xfId="374" xr:uid="{00000000-0005-0000-0000-0000DA090000}"/>
    <cellStyle name="40% - Accent2 2 5 2 2" xfId="800" xr:uid="{00000000-0005-0000-0000-0000DB090000}"/>
    <cellStyle name="40% - Accent2 2 5 2 2 2" xfId="2092" xr:uid="{00000000-0005-0000-0000-0000DC090000}"/>
    <cellStyle name="40% - Accent2 2 5 2 2 3" xfId="3370" xr:uid="{00000000-0005-0000-0000-0000DD090000}"/>
    <cellStyle name="40% - Accent2 2 5 2 2 4" xfId="4657" xr:uid="{00000000-0005-0000-0000-0000DE090000}"/>
    <cellStyle name="40% - Accent2 2 5 2 3" xfId="1226" xr:uid="{00000000-0005-0000-0000-0000DF090000}"/>
    <cellStyle name="40% - Accent2 2 5 2 3 2" xfId="2518" xr:uid="{00000000-0005-0000-0000-0000E0090000}"/>
    <cellStyle name="40% - Accent2 2 5 2 3 3" xfId="3796" xr:uid="{00000000-0005-0000-0000-0000E1090000}"/>
    <cellStyle name="40% - Accent2 2 5 2 3 4" xfId="5083" xr:uid="{00000000-0005-0000-0000-0000E2090000}"/>
    <cellStyle name="40% - Accent2 2 5 2 4" xfId="1666" xr:uid="{00000000-0005-0000-0000-0000E3090000}"/>
    <cellStyle name="40% - Accent2 2 5 2 5" xfId="2944" xr:uid="{00000000-0005-0000-0000-0000E4090000}"/>
    <cellStyle name="40% - Accent2 2 5 2 6" xfId="4231" xr:uid="{00000000-0005-0000-0000-0000E5090000}"/>
    <cellStyle name="40% - Accent2 2 5 3" xfId="587" xr:uid="{00000000-0005-0000-0000-0000E6090000}"/>
    <cellStyle name="40% - Accent2 2 5 3 2" xfId="1879" xr:uid="{00000000-0005-0000-0000-0000E7090000}"/>
    <cellStyle name="40% - Accent2 2 5 3 3" xfId="3157" xr:uid="{00000000-0005-0000-0000-0000E8090000}"/>
    <cellStyle name="40% - Accent2 2 5 3 4" xfId="4444" xr:uid="{00000000-0005-0000-0000-0000E9090000}"/>
    <cellStyle name="40% - Accent2 2 5 4" xfId="1013" xr:uid="{00000000-0005-0000-0000-0000EA090000}"/>
    <cellStyle name="40% - Accent2 2 5 4 2" xfId="2305" xr:uid="{00000000-0005-0000-0000-0000EB090000}"/>
    <cellStyle name="40% - Accent2 2 5 4 3" xfId="3583" xr:uid="{00000000-0005-0000-0000-0000EC090000}"/>
    <cellStyle name="40% - Accent2 2 5 4 4" xfId="4870" xr:uid="{00000000-0005-0000-0000-0000ED090000}"/>
    <cellStyle name="40% - Accent2 2 5 5" xfId="1453" xr:uid="{00000000-0005-0000-0000-0000EE090000}"/>
    <cellStyle name="40% - Accent2 2 5 6" xfId="2731" xr:uid="{00000000-0005-0000-0000-0000EF090000}"/>
    <cellStyle name="40% - Accent2 2 5 7" xfId="4018" xr:uid="{00000000-0005-0000-0000-0000F0090000}"/>
    <cellStyle name="40% - Accent2 2 6" xfId="272" xr:uid="{00000000-0005-0000-0000-0000F1090000}"/>
    <cellStyle name="40% - Accent2 2 6 2" xfId="485" xr:uid="{00000000-0005-0000-0000-0000F2090000}"/>
    <cellStyle name="40% - Accent2 2 6 2 2" xfId="910" xr:uid="{00000000-0005-0000-0000-0000F3090000}"/>
    <cellStyle name="40% - Accent2 2 6 2 2 2" xfId="2202" xr:uid="{00000000-0005-0000-0000-0000F4090000}"/>
    <cellStyle name="40% - Accent2 2 6 2 2 3" xfId="3480" xr:uid="{00000000-0005-0000-0000-0000F5090000}"/>
    <cellStyle name="40% - Accent2 2 6 2 2 4" xfId="4767" xr:uid="{00000000-0005-0000-0000-0000F6090000}"/>
    <cellStyle name="40% - Accent2 2 6 2 3" xfId="1336" xr:uid="{00000000-0005-0000-0000-0000F7090000}"/>
    <cellStyle name="40% - Accent2 2 6 2 3 2" xfId="2628" xr:uid="{00000000-0005-0000-0000-0000F8090000}"/>
    <cellStyle name="40% - Accent2 2 6 2 3 3" xfId="3906" xr:uid="{00000000-0005-0000-0000-0000F9090000}"/>
    <cellStyle name="40% - Accent2 2 6 2 3 4" xfId="5193" xr:uid="{00000000-0005-0000-0000-0000FA090000}"/>
    <cellStyle name="40% - Accent2 2 6 2 4" xfId="1776" xr:uid="{00000000-0005-0000-0000-0000FB090000}"/>
    <cellStyle name="40% - Accent2 2 6 2 5" xfId="3054" xr:uid="{00000000-0005-0000-0000-0000FC090000}"/>
    <cellStyle name="40% - Accent2 2 6 2 6" xfId="4341" xr:uid="{00000000-0005-0000-0000-0000FD090000}"/>
    <cellStyle name="40% - Accent2 2 6 3" xfId="697" xr:uid="{00000000-0005-0000-0000-0000FE090000}"/>
    <cellStyle name="40% - Accent2 2 6 3 2" xfId="1989" xr:uid="{00000000-0005-0000-0000-0000FF090000}"/>
    <cellStyle name="40% - Accent2 2 6 3 3" xfId="3267" xr:uid="{00000000-0005-0000-0000-0000000A0000}"/>
    <cellStyle name="40% - Accent2 2 6 3 4" xfId="4554" xr:uid="{00000000-0005-0000-0000-0000010A0000}"/>
    <cellStyle name="40% - Accent2 2 6 4" xfId="1123" xr:uid="{00000000-0005-0000-0000-0000020A0000}"/>
    <cellStyle name="40% - Accent2 2 6 4 2" xfId="2415" xr:uid="{00000000-0005-0000-0000-0000030A0000}"/>
    <cellStyle name="40% - Accent2 2 6 4 3" xfId="3693" xr:uid="{00000000-0005-0000-0000-0000040A0000}"/>
    <cellStyle name="40% - Accent2 2 6 4 4" xfId="4980" xr:uid="{00000000-0005-0000-0000-0000050A0000}"/>
    <cellStyle name="40% - Accent2 2 6 5" xfId="1563" xr:uid="{00000000-0005-0000-0000-0000060A0000}"/>
    <cellStyle name="40% - Accent2 2 6 6" xfId="2841" xr:uid="{00000000-0005-0000-0000-0000070A0000}"/>
    <cellStyle name="40% - Accent2 2 6 7" xfId="4128" xr:uid="{00000000-0005-0000-0000-0000080A0000}"/>
    <cellStyle name="40% - Accent2 2 7" xfId="369" xr:uid="{00000000-0005-0000-0000-0000090A0000}"/>
    <cellStyle name="40% - Accent2 2 7 2" xfId="795" xr:uid="{00000000-0005-0000-0000-00000A0A0000}"/>
    <cellStyle name="40% - Accent2 2 7 2 2" xfId="2087" xr:uid="{00000000-0005-0000-0000-00000B0A0000}"/>
    <cellStyle name="40% - Accent2 2 7 2 3" xfId="3365" xr:uid="{00000000-0005-0000-0000-00000C0A0000}"/>
    <cellStyle name="40% - Accent2 2 7 2 4" xfId="4652" xr:uid="{00000000-0005-0000-0000-00000D0A0000}"/>
    <cellStyle name="40% - Accent2 2 7 3" xfId="1221" xr:uid="{00000000-0005-0000-0000-00000E0A0000}"/>
    <cellStyle name="40% - Accent2 2 7 3 2" xfId="2513" xr:uid="{00000000-0005-0000-0000-00000F0A0000}"/>
    <cellStyle name="40% - Accent2 2 7 3 3" xfId="3791" xr:uid="{00000000-0005-0000-0000-0000100A0000}"/>
    <cellStyle name="40% - Accent2 2 7 3 4" xfId="5078" xr:uid="{00000000-0005-0000-0000-0000110A0000}"/>
    <cellStyle name="40% - Accent2 2 7 4" xfId="1661" xr:uid="{00000000-0005-0000-0000-0000120A0000}"/>
    <cellStyle name="40% - Accent2 2 7 5" xfId="2939" xr:uid="{00000000-0005-0000-0000-0000130A0000}"/>
    <cellStyle name="40% - Accent2 2 7 6" xfId="4226" xr:uid="{00000000-0005-0000-0000-0000140A0000}"/>
    <cellStyle name="40% - Accent2 2 8" xfId="582" xr:uid="{00000000-0005-0000-0000-0000150A0000}"/>
    <cellStyle name="40% - Accent2 2 8 2" xfId="1874" xr:uid="{00000000-0005-0000-0000-0000160A0000}"/>
    <cellStyle name="40% - Accent2 2 8 3" xfId="3152" xr:uid="{00000000-0005-0000-0000-0000170A0000}"/>
    <cellStyle name="40% - Accent2 2 8 4" xfId="4439" xr:uid="{00000000-0005-0000-0000-0000180A0000}"/>
    <cellStyle name="40% - Accent2 2 9" xfId="1008" xr:uid="{00000000-0005-0000-0000-0000190A0000}"/>
    <cellStyle name="40% - Accent2 2 9 2" xfId="2300" xr:uid="{00000000-0005-0000-0000-00001A0A0000}"/>
    <cellStyle name="40% - Accent2 2 9 3" xfId="3578" xr:uid="{00000000-0005-0000-0000-00001B0A0000}"/>
    <cellStyle name="40% - Accent2 2 9 4" xfId="4865" xr:uid="{00000000-0005-0000-0000-00001C0A0000}"/>
    <cellStyle name="40% - Accent2 3" xfId="158" xr:uid="{00000000-0005-0000-0000-00001D0A0000}"/>
    <cellStyle name="40% - Accent2 3 2" xfId="159" xr:uid="{00000000-0005-0000-0000-00001E0A0000}"/>
    <cellStyle name="40% - Accent2 3 2 2" xfId="376" xr:uid="{00000000-0005-0000-0000-00001F0A0000}"/>
    <cellStyle name="40% - Accent2 3 2 2 2" xfId="802" xr:uid="{00000000-0005-0000-0000-0000200A0000}"/>
    <cellStyle name="40% - Accent2 3 2 2 2 2" xfId="2094" xr:uid="{00000000-0005-0000-0000-0000210A0000}"/>
    <cellStyle name="40% - Accent2 3 2 2 2 3" xfId="3372" xr:uid="{00000000-0005-0000-0000-0000220A0000}"/>
    <cellStyle name="40% - Accent2 3 2 2 2 4" xfId="4659" xr:uid="{00000000-0005-0000-0000-0000230A0000}"/>
    <cellStyle name="40% - Accent2 3 2 2 3" xfId="1228" xr:uid="{00000000-0005-0000-0000-0000240A0000}"/>
    <cellStyle name="40% - Accent2 3 2 2 3 2" xfId="2520" xr:uid="{00000000-0005-0000-0000-0000250A0000}"/>
    <cellStyle name="40% - Accent2 3 2 2 3 3" xfId="3798" xr:uid="{00000000-0005-0000-0000-0000260A0000}"/>
    <cellStyle name="40% - Accent2 3 2 2 3 4" xfId="5085" xr:uid="{00000000-0005-0000-0000-0000270A0000}"/>
    <cellStyle name="40% - Accent2 3 2 2 4" xfId="1668" xr:uid="{00000000-0005-0000-0000-0000280A0000}"/>
    <cellStyle name="40% - Accent2 3 2 2 5" xfId="2946" xr:uid="{00000000-0005-0000-0000-0000290A0000}"/>
    <cellStyle name="40% - Accent2 3 2 2 6" xfId="4233" xr:uid="{00000000-0005-0000-0000-00002A0A0000}"/>
    <cellStyle name="40% - Accent2 3 2 3" xfId="589" xr:uid="{00000000-0005-0000-0000-00002B0A0000}"/>
    <cellStyle name="40% - Accent2 3 2 3 2" xfId="1881" xr:uid="{00000000-0005-0000-0000-00002C0A0000}"/>
    <cellStyle name="40% - Accent2 3 2 3 3" xfId="3159" xr:uid="{00000000-0005-0000-0000-00002D0A0000}"/>
    <cellStyle name="40% - Accent2 3 2 3 4" xfId="4446" xr:uid="{00000000-0005-0000-0000-00002E0A0000}"/>
    <cellStyle name="40% - Accent2 3 2 4" xfId="1015" xr:uid="{00000000-0005-0000-0000-00002F0A0000}"/>
    <cellStyle name="40% - Accent2 3 2 4 2" xfId="2307" xr:uid="{00000000-0005-0000-0000-0000300A0000}"/>
    <cellStyle name="40% - Accent2 3 2 4 3" xfId="3585" xr:uid="{00000000-0005-0000-0000-0000310A0000}"/>
    <cellStyle name="40% - Accent2 3 2 4 4" xfId="4872" xr:uid="{00000000-0005-0000-0000-0000320A0000}"/>
    <cellStyle name="40% - Accent2 3 2 5" xfId="1455" xr:uid="{00000000-0005-0000-0000-0000330A0000}"/>
    <cellStyle name="40% - Accent2 3 2 6" xfId="2733" xr:uid="{00000000-0005-0000-0000-0000340A0000}"/>
    <cellStyle name="40% - Accent2 3 2 7" xfId="4020" xr:uid="{00000000-0005-0000-0000-0000350A0000}"/>
    <cellStyle name="40% - Accent2 3 2 8" xfId="5268" xr:uid="{00000000-0005-0000-0000-0000360A0000}"/>
    <cellStyle name="40% - Accent2 3 3" xfId="375" xr:uid="{00000000-0005-0000-0000-0000370A0000}"/>
    <cellStyle name="40% - Accent2 3 3 2" xfId="801" xr:uid="{00000000-0005-0000-0000-0000380A0000}"/>
    <cellStyle name="40% - Accent2 3 3 2 2" xfId="2093" xr:uid="{00000000-0005-0000-0000-0000390A0000}"/>
    <cellStyle name="40% - Accent2 3 3 2 3" xfId="3371" xr:uid="{00000000-0005-0000-0000-00003A0A0000}"/>
    <cellStyle name="40% - Accent2 3 3 2 4" xfId="4658" xr:uid="{00000000-0005-0000-0000-00003B0A0000}"/>
    <cellStyle name="40% - Accent2 3 3 3" xfId="1227" xr:uid="{00000000-0005-0000-0000-00003C0A0000}"/>
    <cellStyle name="40% - Accent2 3 3 3 2" xfId="2519" xr:uid="{00000000-0005-0000-0000-00003D0A0000}"/>
    <cellStyle name="40% - Accent2 3 3 3 3" xfId="3797" xr:uid="{00000000-0005-0000-0000-00003E0A0000}"/>
    <cellStyle name="40% - Accent2 3 3 3 4" xfId="5084" xr:uid="{00000000-0005-0000-0000-00003F0A0000}"/>
    <cellStyle name="40% - Accent2 3 3 4" xfId="1667" xr:uid="{00000000-0005-0000-0000-0000400A0000}"/>
    <cellStyle name="40% - Accent2 3 3 5" xfId="2945" xr:uid="{00000000-0005-0000-0000-0000410A0000}"/>
    <cellStyle name="40% - Accent2 3 3 6" xfId="4232" xr:uid="{00000000-0005-0000-0000-0000420A0000}"/>
    <cellStyle name="40% - Accent2 3 4" xfId="588" xr:uid="{00000000-0005-0000-0000-0000430A0000}"/>
    <cellStyle name="40% - Accent2 3 4 2" xfId="1880" xr:uid="{00000000-0005-0000-0000-0000440A0000}"/>
    <cellStyle name="40% - Accent2 3 4 3" xfId="3158" xr:uid="{00000000-0005-0000-0000-0000450A0000}"/>
    <cellStyle name="40% - Accent2 3 4 4" xfId="4445" xr:uid="{00000000-0005-0000-0000-0000460A0000}"/>
    <cellStyle name="40% - Accent2 3 5" xfId="1014" xr:uid="{00000000-0005-0000-0000-0000470A0000}"/>
    <cellStyle name="40% - Accent2 3 5 2" xfId="2306" xr:uid="{00000000-0005-0000-0000-0000480A0000}"/>
    <cellStyle name="40% - Accent2 3 5 3" xfId="3584" xr:uid="{00000000-0005-0000-0000-0000490A0000}"/>
    <cellStyle name="40% - Accent2 3 5 4" xfId="4871" xr:uid="{00000000-0005-0000-0000-00004A0A0000}"/>
    <cellStyle name="40% - Accent2 3 6" xfId="1454" xr:uid="{00000000-0005-0000-0000-00004B0A0000}"/>
    <cellStyle name="40% - Accent2 3 7" xfId="2732" xr:uid="{00000000-0005-0000-0000-00004C0A0000}"/>
    <cellStyle name="40% - Accent2 3 8" xfId="4019" xr:uid="{00000000-0005-0000-0000-00004D0A0000}"/>
    <cellStyle name="40% - Accent2 3 9" xfId="5267" xr:uid="{00000000-0005-0000-0000-00004E0A0000}"/>
    <cellStyle name="40% - Accent2 4" xfId="160" xr:uid="{00000000-0005-0000-0000-00004F0A0000}"/>
    <cellStyle name="40% - Accent2 4 2" xfId="377" xr:uid="{00000000-0005-0000-0000-0000500A0000}"/>
    <cellStyle name="40% - Accent2 4 2 2" xfId="803" xr:uid="{00000000-0005-0000-0000-0000510A0000}"/>
    <cellStyle name="40% - Accent2 4 2 2 2" xfId="2095" xr:uid="{00000000-0005-0000-0000-0000520A0000}"/>
    <cellStyle name="40% - Accent2 4 2 2 3" xfId="3373" xr:uid="{00000000-0005-0000-0000-0000530A0000}"/>
    <cellStyle name="40% - Accent2 4 2 2 4" xfId="4660" xr:uid="{00000000-0005-0000-0000-0000540A0000}"/>
    <cellStyle name="40% - Accent2 4 2 3" xfId="1229" xr:uid="{00000000-0005-0000-0000-0000550A0000}"/>
    <cellStyle name="40% - Accent2 4 2 3 2" xfId="2521" xr:uid="{00000000-0005-0000-0000-0000560A0000}"/>
    <cellStyle name="40% - Accent2 4 2 3 3" xfId="3799" xr:uid="{00000000-0005-0000-0000-0000570A0000}"/>
    <cellStyle name="40% - Accent2 4 2 3 4" xfId="5086" xr:uid="{00000000-0005-0000-0000-0000580A0000}"/>
    <cellStyle name="40% - Accent2 4 2 4" xfId="1669" xr:uid="{00000000-0005-0000-0000-0000590A0000}"/>
    <cellStyle name="40% - Accent2 4 2 5" xfId="2947" xr:uid="{00000000-0005-0000-0000-00005A0A0000}"/>
    <cellStyle name="40% - Accent2 4 2 6" xfId="4234" xr:uid="{00000000-0005-0000-0000-00005B0A0000}"/>
    <cellStyle name="40% - Accent2 4 3" xfId="590" xr:uid="{00000000-0005-0000-0000-00005C0A0000}"/>
    <cellStyle name="40% - Accent2 4 3 2" xfId="1882" xr:uid="{00000000-0005-0000-0000-00005D0A0000}"/>
    <cellStyle name="40% - Accent2 4 3 3" xfId="3160" xr:uid="{00000000-0005-0000-0000-00005E0A0000}"/>
    <cellStyle name="40% - Accent2 4 3 4" xfId="4447" xr:uid="{00000000-0005-0000-0000-00005F0A0000}"/>
    <cellStyle name="40% - Accent2 4 4" xfId="1016" xr:uid="{00000000-0005-0000-0000-0000600A0000}"/>
    <cellStyle name="40% - Accent2 4 4 2" xfId="2308" xr:uid="{00000000-0005-0000-0000-0000610A0000}"/>
    <cellStyle name="40% - Accent2 4 4 3" xfId="3586" xr:uid="{00000000-0005-0000-0000-0000620A0000}"/>
    <cellStyle name="40% - Accent2 4 4 4" xfId="4873" xr:uid="{00000000-0005-0000-0000-0000630A0000}"/>
    <cellStyle name="40% - Accent2 4 5" xfId="1456" xr:uid="{00000000-0005-0000-0000-0000640A0000}"/>
    <cellStyle name="40% - Accent2 4 6" xfId="2734" xr:uid="{00000000-0005-0000-0000-0000650A0000}"/>
    <cellStyle name="40% - Accent2 4 7" xfId="4021" xr:uid="{00000000-0005-0000-0000-0000660A0000}"/>
    <cellStyle name="40% - Accent2 4 8" xfId="5269" xr:uid="{00000000-0005-0000-0000-0000670A0000}"/>
    <cellStyle name="40% - Accent2 5" xfId="161" xr:uid="{00000000-0005-0000-0000-0000680A0000}"/>
    <cellStyle name="40% - Accent2 5 2" xfId="378" xr:uid="{00000000-0005-0000-0000-0000690A0000}"/>
    <cellStyle name="40% - Accent2 5 2 2" xfId="804" xr:uid="{00000000-0005-0000-0000-00006A0A0000}"/>
    <cellStyle name="40% - Accent2 5 2 2 2" xfId="2096" xr:uid="{00000000-0005-0000-0000-00006B0A0000}"/>
    <cellStyle name="40% - Accent2 5 2 2 3" xfId="3374" xr:uid="{00000000-0005-0000-0000-00006C0A0000}"/>
    <cellStyle name="40% - Accent2 5 2 2 4" xfId="4661" xr:uid="{00000000-0005-0000-0000-00006D0A0000}"/>
    <cellStyle name="40% - Accent2 5 2 3" xfId="1230" xr:uid="{00000000-0005-0000-0000-00006E0A0000}"/>
    <cellStyle name="40% - Accent2 5 2 3 2" xfId="2522" xr:uid="{00000000-0005-0000-0000-00006F0A0000}"/>
    <cellStyle name="40% - Accent2 5 2 3 3" xfId="3800" xr:uid="{00000000-0005-0000-0000-0000700A0000}"/>
    <cellStyle name="40% - Accent2 5 2 3 4" xfId="5087" xr:uid="{00000000-0005-0000-0000-0000710A0000}"/>
    <cellStyle name="40% - Accent2 5 2 4" xfId="1670" xr:uid="{00000000-0005-0000-0000-0000720A0000}"/>
    <cellStyle name="40% - Accent2 5 2 5" xfId="2948" xr:uid="{00000000-0005-0000-0000-0000730A0000}"/>
    <cellStyle name="40% - Accent2 5 2 6" xfId="4235" xr:uid="{00000000-0005-0000-0000-0000740A0000}"/>
    <cellStyle name="40% - Accent2 5 3" xfId="591" xr:uid="{00000000-0005-0000-0000-0000750A0000}"/>
    <cellStyle name="40% - Accent2 5 3 2" xfId="1883" xr:uid="{00000000-0005-0000-0000-0000760A0000}"/>
    <cellStyle name="40% - Accent2 5 3 3" xfId="3161" xr:uid="{00000000-0005-0000-0000-0000770A0000}"/>
    <cellStyle name="40% - Accent2 5 3 4" xfId="4448" xr:uid="{00000000-0005-0000-0000-0000780A0000}"/>
    <cellStyle name="40% - Accent2 5 4" xfId="1017" xr:uid="{00000000-0005-0000-0000-0000790A0000}"/>
    <cellStyle name="40% - Accent2 5 4 2" xfId="2309" xr:uid="{00000000-0005-0000-0000-00007A0A0000}"/>
    <cellStyle name="40% - Accent2 5 4 3" xfId="3587" xr:uid="{00000000-0005-0000-0000-00007B0A0000}"/>
    <cellStyle name="40% - Accent2 5 4 4" xfId="4874" xr:uid="{00000000-0005-0000-0000-00007C0A0000}"/>
    <cellStyle name="40% - Accent2 5 5" xfId="1457" xr:uid="{00000000-0005-0000-0000-00007D0A0000}"/>
    <cellStyle name="40% - Accent2 5 6" xfId="2735" xr:uid="{00000000-0005-0000-0000-00007E0A0000}"/>
    <cellStyle name="40% - Accent2 5 7" xfId="4022" xr:uid="{00000000-0005-0000-0000-00007F0A0000}"/>
    <cellStyle name="40% - Accent2 6" xfId="162" xr:uid="{00000000-0005-0000-0000-0000800A0000}"/>
    <cellStyle name="40% - Accent2 6 2" xfId="379" xr:uid="{00000000-0005-0000-0000-0000810A0000}"/>
    <cellStyle name="40% - Accent2 6 2 2" xfId="805" xr:uid="{00000000-0005-0000-0000-0000820A0000}"/>
    <cellStyle name="40% - Accent2 6 2 2 2" xfId="2097" xr:uid="{00000000-0005-0000-0000-0000830A0000}"/>
    <cellStyle name="40% - Accent2 6 2 2 3" xfId="3375" xr:uid="{00000000-0005-0000-0000-0000840A0000}"/>
    <cellStyle name="40% - Accent2 6 2 2 4" xfId="4662" xr:uid="{00000000-0005-0000-0000-0000850A0000}"/>
    <cellStyle name="40% - Accent2 6 2 3" xfId="1231" xr:uid="{00000000-0005-0000-0000-0000860A0000}"/>
    <cellStyle name="40% - Accent2 6 2 3 2" xfId="2523" xr:uid="{00000000-0005-0000-0000-0000870A0000}"/>
    <cellStyle name="40% - Accent2 6 2 3 3" xfId="3801" xr:uid="{00000000-0005-0000-0000-0000880A0000}"/>
    <cellStyle name="40% - Accent2 6 2 3 4" xfId="5088" xr:uid="{00000000-0005-0000-0000-0000890A0000}"/>
    <cellStyle name="40% - Accent2 6 2 4" xfId="1671" xr:uid="{00000000-0005-0000-0000-00008A0A0000}"/>
    <cellStyle name="40% - Accent2 6 2 5" xfId="2949" xr:uid="{00000000-0005-0000-0000-00008B0A0000}"/>
    <cellStyle name="40% - Accent2 6 2 6" xfId="4236" xr:uid="{00000000-0005-0000-0000-00008C0A0000}"/>
    <cellStyle name="40% - Accent2 6 3" xfId="592" xr:uid="{00000000-0005-0000-0000-00008D0A0000}"/>
    <cellStyle name="40% - Accent2 6 3 2" xfId="1884" xr:uid="{00000000-0005-0000-0000-00008E0A0000}"/>
    <cellStyle name="40% - Accent2 6 3 3" xfId="3162" xr:uid="{00000000-0005-0000-0000-00008F0A0000}"/>
    <cellStyle name="40% - Accent2 6 3 4" xfId="4449" xr:uid="{00000000-0005-0000-0000-0000900A0000}"/>
    <cellStyle name="40% - Accent2 6 4" xfId="1018" xr:uid="{00000000-0005-0000-0000-0000910A0000}"/>
    <cellStyle name="40% - Accent2 6 4 2" xfId="2310" xr:uid="{00000000-0005-0000-0000-0000920A0000}"/>
    <cellStyle name="40% - Accent2 6 4 3" xfId="3588" xr:uid="{00000000-0005-0000-0000-0000930A0000}"/>
    <cellStyle name="40% - Accent2 6 4 4" xfId="4875" xr:uid="{00000000-0005-0000-0000-0000940A0000}"/>
    <cellStyle name="40% - Accent2 6 5" xfId="1458" xr:uid="{00000000-0005-0000-0000-0000950A0000}"/>
    <cellStyle name="40% - Accent2 6 6" xfId="2736" xr:uid="{00000000-0005-0000-0000-0000960A0000}"/>
    <cellStyle name="40% - Accent2 6 7" xfId="4023" xr:uid="{00000000-0005-0000-0000-0000970A0000}"/>
    <cellStyle name="40% - Accent2 7" xfId="261" xr:uid="{00000000-0005-0000-0000-0000980A0000}"/>
    <cellStyle name="40% - Accent2 7 2" xfId="474" xr:uid="{00000000-0005-0000-0000-0000990A0000}"/>
    <cellStyle name="40% - Accent2 7 2 2" xfId="899" xr:uid="{00000000-0005-0000-0000-00009A0A0000}"/>
    <cellStyle name="40% - Accent2 7 2 2 2" xfId="2191" xr:uid="{00000000-0005-0000-0000-00009B0A0000}"/>
    <cellStyle name="40% - Accent2 7 2 2 3" xfId="3469" xr:uid="{00000000-0005-0000-0000-00009C0A0000}"/>
    <cellStyle name="40% - Accent2 7 2 2 4" xfId="4756" xr:uid="{00000000-0005-0000-0000-00009D0A0000}"/>
    <cellStyle name="40% - Accent2 7 2 3" xfId="1325" xr:uid="{00000000-0005-0000-0000-00009E0A0000}"/>
    <cellStyle name="40% - Accent2 7 2 3 2" xfId="2617" xr:uid="{00000000-0005-0000-0000-00009F0A0000}"/>
    <cellStyle name="40% - Accent2 7 2 3 3" xfId="3895" xr:uid="{00000000-0005-0000-0000-0000A00A0000}"/>
    <cellStyle name="40% - Accent2 7 2 3 4" xfId="5182" xr:uid="{00000000-0005-0000-0000-0000A10A0000}"/>
    <cellStyle name="40% - Accent2 7 2 4" xfId="1765" xr:uid="{00000000-0005-0000-0000-0000A20A0000}"/>
    <cellStyle name="40% - Accent2 7 2 5" xfId="3043" xr:uid="{00000000-0005-0000-0000-0000A30A0000}"/>
    <cellStyle name="40% - Accent2 7 2 6" xfId="4330" xr:uid="{00000000-0005-0000-0000-0000A40A0000}"/>
    <cellStyle name="40% - Accent2 7 3" xfId="686" xr:uid="{00000000-0005-0000-0000-0000A50A0000}"/>
    <cellStyle name="40% - Accent2 7 3 2" xfId="1978" xr:uid="{00000000-0005-0000-0000-0000A60A0000}"/>
    <cellStyle name="40% - Accent2 7 3 3" xfId="3256" xr:uid="{00000000-0005-0000-0000-0000A70A0000}"/>
    <cellStyle name="40% - Accent2 7 3 4" xfId="4543" xr:uid="{00000000-0005-0000-0000-0000A80A0000}"/>
    <cellStyle name="40% - Accent2 7 4" xfId="1112" xr:uid="{00000000-0005-0000-0000-0000A90A0000}"/>
    <cellStyle name="40% - Accent2 7 4 2" xfId="2404" xr:uid="{00000000-0005-0000-0000-0000AA0A0000}"/>
    <cellStyle name="40% - Accent2 7 4 3" xfId="3682" xr:uid="{00000000-0005-0000-0000-0000AB0A0000}"/>
    <cellStyle name="40% - Accent2 7 4 4" xfId="4969" xr:uid="{00000000-0005-0000-0000-0000AC0A0000}"/>
    <cellStyle name="40% - Accent2 7 5" xfId="1552" xr:uid="{00000000-0005-0000-0000-0000AD0A0000}"/>
    <cellStyle name="40% - Accent2 7 6" xfId="2830" xr:uid="{00000000-0005-0000-0000-0000AE0A0000}"/>
    <cellStyle name="40% - Accent2 7 7" xfId="4117" xr:uid="{00000000-0005-0000-0000-0000AF0A0000}"/>
    <cellStyle name="40% - Accent2 8" xfId="368" xr:uid="{00000000-0005-0000-0000-0000B00A0000}"/>
    <cellStyle name="40% - Accent2 8 2" xfId="794" xr:uid="{00000000-0005-0000-0000-0000B10A0000}"/>
    <cellStyle name="40% - Accent2 8 2 2" xfId="2086" xr:uid="{00000000-0005-0000-0000-0000B20A0000}"/>
    <cellStyle name="40% - Accent2 8 2 3" xfId="3364" xr:uid="{00000000-0005-0000-0000-0000B30A0000}"/>
    <cellStyle name="40% - Accent2 8 2 4" xfId="4651" xr:uid="{00000000-0005-0000-0000-0000B40A0000}"/>
    <cellStyle name="40% - Accent2 8 3" xfId="1220" xr:uid="{00000000-0005-0000-0000-0000B50A0000}"/>
    <cellStyle name="40% - Accent2 8 3 2" xfId="2512" xr:uid="{00000000-0005-0000-0000-0000B60A0000}"/>
    <cellStyle name="40% - Accent2 8 3 3" xfId="3790" xr:uid="{00000000-0005-0000-0000-0000B70A0000}"/>
    <cellStyle name="40% - Accent2 8 3 4" xfId="5077" xr:uid="{00000000-0005-0000-0000-0000B80A0000}"/>
    <cellStyle name="40% - Accent2 8 4" xfId="1660" xr:uid="{00000000-0005-0000-0000-0000B90A0000}"/>
    <cellStyle name="40% - Accent2 8 5" xfId="2938" xr:uid="{00000000-0005-0000-0000-0000BA0A0000}"/>
    <cellStyle name="40% - Accent2 8 6" xfId="4225" xr:uid="{00000000-0005-0000-0000-0000BB0A0000}"/>
    <cellStyle name="40% - Accent2 9" xfId="581" xr:uid="{00000000-0005-0000-0000-0000BC0A0000}"/>
    <cellStyle name="40% - Accent2 9 2" xfId="1873" xr:uid="{00000000-0005-0000-0000-0000BD0A0000}"/>
    <cellStyle name="40% - Accent2 9 3" xfId="3151" xr:uid="{00000000-0005-0000-0000-0000BE0A0000}"/>
    <cellStyle name="40% - Accent2 9 4" xfId="4438" xr:uid="{00000000-0005-0000-0000-0000BF0A0000}"/>
    <cellStyle name="40% - Accent3" xfId="67" builtinId="39" customBuiltin="1"/>
    <cellStyle name="40% - Accent3 10" xfId="1019" xr:uid="{00000000-0005-0000-0000-0000C10A0000}"/>
    <cellStyle name="40% - Accent3 10 2" xfId="2311" xr:uid="{00000000-0005-0000-0000-0000C20A0000}"/>
    <cellStyle name="40% - Accent3 10 3" xfId="3589" xr:uid="{00000000-0005-0000-0000-0000C30A0000}"/>
    <cellStyle name="40% - Accent3 10 4" xfId="4876" xr:uid="{00000000-0005-0000-0000-0000C40A0000}"/>
    <cellStyle name="40% - Accent3 11" xfId="1459" xr:uid="{00000000-0005-0000-0000-0000C50A0000}"/>
    <cellStyle name="40% - Accent3 12" xfId="2737" xr:uid="{00000000-0005-0000-0000-0000C60A0000}"/>
    <cellStyle name="40% - Accent3 13" xfId="4024" xr:uid="{00000000-0005-0000-0000-0000C70A0000}"/>
    <cellStyle name="40% - Accent3 14" xfId="5270" xr:uid="{00000000-0005-0000-0000-0000C80A0000}"/>
    <cellStyle name="40% - Accent3 2" xfId="18" xr:uid="{00000000-0005-0000-0000-0000C90A0000}"/>
    <cellStyle name="40% - Accent3 2 10" xfId="1460" xr:uid="{00000000-0005-0000-0000-0000CA0A0000}"/>
    <cellStyle name="40% - Accent3 2 11" xfId="2738" xr:uid="{00000000-0005-0000-0000-0000CB0A0000}"/>
    <cellStyle name="40% - Accent3 2 12" xfId="4025" xr:uid="{00000000-0005-0000-0000-0000CC0A0000}"/>
    <cellStyle name="40% - Accent3 2 13" xfId="5271" xr:uid="{00000000-0005-0000-0000-0000CD0A0000}"/>
    <cellStyle name="40% - Accent3 2 2" xfId="163" xr:uid="{00000000-0005-0000-0000-0000CE0A0000}"/>
    <cellStyle name="40% - Accent3 2 2 2" xfId="164" xr:uid="{00000000-0005-0000-0000-0000CF0A0000}"/>
    <cellStyle name="40% - Accent3 2 2 2 2" xfId="383" xr:uid="{00000000-0005-0000-0000-0000D00A0000}"/>
    <cellStyle name="40% - Accent3 2 2 2 2 2" xfId="809" xr:uid="{00000000-0005-0000-0000-0000D10A0000}"/>
    <cellStyle name="40% - Accent3 2 2 2 2 2 2" xfId="2101" xr:uid="{00000000-0005-0000-0000-0000D20A0000}"/>
    <cellStyle name="40% - Accent3 2 2 2 2 2 3" xfId="3379" xr:uid="{00000000-0005-0000-0000-0000D30A0000}"/>
    <cellStyle name="40% - Accent3 2 2 2 2 2 4" xfId="4666" xr:uid="{00000000-0005-0000-0000-0000D40A0000}"/>
    <cellStyle name="40% - Accent3 2 2 2 2 3" xfId="1235" xr:uid="{00000000-0005-0000-0000-0000D50A0000}"/>
    <cellStyle name="40% - Accent3 2 2 2 2 3 2" xfId="2527" xr:uid="{00000000-0005-0000-0000-0000D60A0000}"/>
    <cellStyle name="40% - Accent3 2 2 2 2 3 3" xfId="3805" xr:uid="{00000000-0005-0000-0000-0000D70A0000}"/>
    <cellStyle name="40% - Accent3 2 2 2 2 3 4" xfId="5092" xr:uid="{00000000-0005-0000-0000-0000D80A0000}"/>
    <cellStyle name="40% - Accent3 2 2 2 2 4" xfId="1675" xr:uid="{00000000-0005-0000-0000-0000D90A0000}"/>
    <cellStyle name="40% - Accent3 2 2 2 2 5" xfId="2953" xr:uid="{00000000-0005-0000-0000-0000DA0A0000}"/>
    <cellStyle name="40% - Accent3 2 2 2 2 6" xfId="4240" xr:uid="{00000000-0005-0000-0000-0000DB0A0000}"/>
    <cellStyle name="40% - Accent3 2 2 2 3" xfId="596" xr:uid="{00000000-0005-0000-0000-0000DC0A0000}"/>
    <cellStyle name="40% - Accent3 2 2 2 3 2" xfId="1888" xr:uid="{00000000-0005-0000-0000-0000DD0A0000}"/>
    <cellStyle name="40% - Accent3 2 2 2 3 3" xfId="3166" xr:uid="{00000000-0005-0000-0000-0000DE0A0000}"/>
    <cellStyle name="40% - Accent3 2 2 2 3 4" xfId="4453" xr:uid="{00000000-0005-0000-0000-0000DF0A0000}"/>
    <cellStyle name="40% - Accent3 2 2 2 4" xfId="1022" xr:uid="{00000000-0005-0000-0000-0000E00A0000}"/>
    <cellStyle name="40% - Accent3 2 2 2 4 2" xfId="2314" xr:uid="{00000000-0005-0000-0000-0000E10A0000}"/>
    <cellStyle name="40% - Accent3 2 2 2 4 3" xfId="3592" xr:uid="{00000000-0005-0000-0000-0000E20A0000}"/>
    <cellStyle name="40% - Accent3 2 2 2 4 4" xfId="4879" xr:uid="{00000000-0005-0000-0000-0000E30A0000}"/>
    <cellStyle name="40% - Accent3 2 2 2 5" xfId="1462" xr:uid="{00000000-0005-0000-0000-0000E40A0000}"/>
    <cellStyle name="40% - Accent3 2 2 2 6" xfId="2740" xr:uid="{00000000-0005-0000-0000-0000E50A0000}"/>
    <cellStyle name="40% - Accent3 2 2 2 7" xfId="4027" xr:uid="{00000000-0005-0000-0000-0000E60A0000}"/>
    <cellStyle name="40% - Accent3 2 2 2 8" xfId="5273" xr:uid="{00000000-0005-0000-0000-0000E70A0000}"/>
    <cellStyle name="40% - Accent3 2 2 3" xfId="382" xr:uid="{00000000-0005-0000-0000-0000E80A0000}"/>
    <cellStyle name="40% - Accent3 2 2 3 2" xfId="808" xr:uid="{00000000-0005-0000-0000-0000E90A0000}"/>
    <cellStyle name="40% - Accent3 2 2 3 2 2" xfId="2100" xr:uid="{00000000-0005-0000-0000-0000EA0A0000}"/>
    <cellStyle name="40% - Accent3 2 2 3 2 3" xfId="3378" xr:uid="{00000000-0005-0000-0000-0000EB0A0000}"/>
    <cellStyle name="40% - Accent3 2 2 3 2 4" xfId="4665" xr:uid="{00000000-0005-0000-0000-0000EC0A0000}"/>
    <cellStyle name="40% - Accent3 2 2 3 3" xfId="1234" xr:uid="{00000000-0005-0000-0000-0000ED0A0000}"/>
    <cellStyle name="40% - Accent3 2 2 3 3 2" xfId="2526" xr:uid="{00000000-0005-0000-0000-0000EE0A0000}"/>
    <cellStyle name="40% - Accent3 2 2 3 3 3" xfId="3804" xr:uid="{00000000-0005-0000-0000-0000EF0A0000}"/>
    <cellStyle name="40% - Accent3 2 2 3 3 4" xfId="5091" xr:uid="{00000000-0005-0000-0000-0000F00A0000}"/>
    <cellStyle name="40% - Accent3 2 2 3 4" xfId="1674" xr:uid="{00000000-0005-0000-0000-0000F10A0000}"/>
    <cellStyle name="40% - Accent3 2 2 3 5" xfId="2952" xr:uid="{00000000-0005-0000-0000-0000F20A0000}"/>
    <cellStyle name="40% - Accent3 2 2 3 6" xfId="4239" xr:uid="{00000000-0005-0000-0000-0000F30A0000}"/>
    <cellStyle name="40% - Accent3 2 2 4" xfId="595" xr:uid="{00000000-0005-0000-0000-0000F40A0000}"/>
    <cellStyle name="40% - Accent3 2 2 4 2" xfId="1887" xr:uid="{00000000-0005-0000-0000-0000F50A0000}"/>
    <cellStyle name="40% - Accent3 2 2 4 3" xfId="3165" xr:uid="{00000000-0005-0000-0000-0000F60A0000}"/>
    <cellStyle name="40% - Accent3 2 2 4 4" xfId="4452" xr:uid="{00000000-0005-0000-0000-0000F70A0000}"/>
    <cellStyle name="40% - Accent3 2 2 5" xfId="1021" xr:uid="{00000000-0005-0000-0000-0000F80A0000}"/>
    <cellStyle name="40% - Accent3 2 2 5 2" xfId="2313" xr:uid="{00000000-0005-0000-0000-0000F90A0000}"/>
    <cellStyle name="40% - Accent3 2 2 5 3" xfId="3591" xr:uid="{00000000-0005-0000-0000-0000FA0A0000}"/>
    <cellStyle name="40% - Accent3 2 2 5 4" xfId="4878" xr:uid="{00000000-0005-0000-0000-0000FB0A0000}"/>
    <cellStyle name="40% - Accent3 2 2 6" xfId="1461" xr:uid="{00000000-0005-0000-0000-0000FC0A0000}"/>
    <cellStyle name="40% - Accent3 2 2 7" xfId="2739" xr:uid="{00000000-0005-0000-0000-0000FD0A0000}"/>
    <cellStyle name="40% - Accent3 2 2 8" xfId="4026" xr:uid="{00000000-0005-0000-0000-0000FE0A0000}"/>
    <cellStyle name="40% - Accent3 2 2 9" xfId="5272" xr:uid="{00000000-0005-0000-0000-0000FF0A0000}"/>
    <cellStyle name="40% - Accent3 2 3" xfId="165" xr:uid="{00000000-0005-0000-0000-0000000B0000}"/>
    <cellStyle name="40% - Accent3 2 3 2" xfId="384" xr:uid="{00000000-0005-0000-0000-0000010B0000}"/>
    <cellStyle name="40% - Accent3 2 3 2 2" xfId="810" xr:uid="{00000000-0005-0000-0000-0000020B0000}"/>
    <cellStyle name="40% - Accent3 2 3 2 2 2" xfId="2102" xr:uid="{00000000-0005-0000-0000-0000030B0000}"/>
    <cellStyle name="40% - Accent3 2 3 2 2 3" xfId="3380" xr:uid="{00000000-0005-0000-0000-0000040B0000}"/>
    <cellStyle name="40% - Accent3 2 3 2 2 4" xfId="4667" xr:uid="{00000000-0005-0000-0000-0000050B0000}"/>
    <cellStyle name="40% - Accent3 2 3 2 3" xfId="1236" xr:uid="{00000000-0005-0000-0000-0000060B0000}"/>
    <cellStyle name="40% - Accent3 2 3 2 3 2" xfId="2528" xr:uid="{00000000-0005-0000-0000-0000070B0000}"/>
    <cellStyle name="40% - Accent3 2 3 2 3 3" xfId="3806" xr:uid="{00000000-0005-0000-0000-0000080B0000}"/>
    <cellStyle name="40% - Accent3 2 3 2 3 4" xfId="5093" xr:uid="{00000000-0005-0000-0000-0000090B0000}"/>
    <cellStyle name="40% - Accent3 2 3 2 4" xfId="1676" xr:uid="{00000000-0005-0000-0000-00000A0B0000}"/>
    <cellStyle name="40% - Accent3 2 3 2 5" xfId="2954" xr:uid="{00000000-0005-0000-0000-00000B0B0000}"/>
    <cellStyle name="40% - Accent3 2 3 2 6" xfId="4241" xr:uid="{00000000-0005-0000-0000-00000C0B0000}"/>
    <cellStyle name="40% - Accent3 2 3 3" xfId="597" xr:uid="{00000000-0005-0000-0000-00000D0B0000}"/>
    <cellStyle name="40% - Accent3 2 3 3 2" xfId="1889" xr:uid="{00000000-0005-0000-0000-00000E0B0000}"/>
    <cellStyle name="40% - Accent3 2 3 3 3" xfId="3167" xr:uid="{00000000-0005-0000-0000-00000F0B0000}"/>
    <cellStyle name="40% - Accent3 2 3 3 4" xfId="4454" xr:uid="{00000000-0005-0000-0000-0000100B0000}"/>
    <cellStyle name="40% - Accent3 2 3 4" xfId="1023" xr:uid="{00000000-0005-0000-0000-0000110B0000}"/>
    <cellStyle name="40% - Accent3 2 3 4 2" xfId="2315" xr:uid="{00000000-0005-0000-0000-0000120B0000}"/>
    <cellStyle name="40% - Accent3 2 3 4 3" xfId="3593" xr:uid="{00000000-0005-0000-0000-0000130B0000}"/>
    <cellStyle name="40% - Accent3 2 3 4 4" xfId="4880" xr:uid="{00000000-0005-0000-0000-0000140B0000}"/>
    <cellStyle name="40% - Accent3 2 3 5" xfId="1463" xr:uid="{00000000-0005-0000-0000-0000150B0000}"/>
    <cellStyle name="40% - Accent3 2 3 6" xfId="2741" xr:uid="{00000000-0005-0000-0000-0000160B0000}"/>
    <cellStyle name="40% - Accent3 2 3 7" xfId="4028" xr:uid="{00000000-0005-0000-0000-0000170B0000}"/>
    <cellStyle name="40% - Accent3 2 3 8" xfId="5274" xr:uid="{00000000-0005-0000-0000-0000180B0000}"/>
    <cellStyle name="40% - Accent3 2 4" xfId="166" xr:uid="{00000000-0005-0000-0000-0000190B0000}"/>
    <cellStyle name="40% - Accent3 2 4 2" xfId="385" xr:uid="{00000000-0005-0000-0000-00001A0B0000}"/>
    <cellStyle name="40% - Accent3 2 4 2 2" xfId="811" xr:uid="{00000000-0005-0000-0000-00001B0B0000}"/>
    <cellStyle name="40% - Accent3 2 4 2 2 2" xfId="2103" xr:uid="{00000000-0005-0000-0000-00001C0B0000}"/>
    <cellStyle name="40% - Accent3 2 4 2 2 3" xfId="3381" xr:uid="{00000000-0005-0000-0000-00001D0B0000}"/>
    <cellStyle name="40% - Accent3 2 4 2 2 4" xfId="4668" xr:uid="{00000000-0005-0000-0000-00001E0B0000}"/>
    <cellStyle name="40% - Accent3 2 4 2 3" xfId="1237" xr:uid="{00000000-0005-0000-0000-00001F0B0000}"/>
    <cellStyle name="40% - Accent3 2 4 2 3 2" xfId="2529" xr:uid="{00000000-0005-0000-0000-0000200B0000}"/>
    <cellStyle name="40% - Accent3 2 4 2 3 3" xfId="3807" xr:uid="{00000000-0005-0000-0000-0000210B0000}"/>
    <cellStyle name="40% - Accent3 2 4 2 3 4" xfId="5094" xr:uid="{00000000-0005-0000-0000-0000220B0000}"/>
    <cellStyle name="40% - Accent3 2 4 2 4" xfId="1677" xr:uid="{00000000-0005-0000-0000-0000230B0000}"/>
    <cellStyle name="40% - Accent3 2 4 2 5" xfId="2955" xr:uid="{00000000-0005-0000-0000-0000240B0000}"/>
    <cellStyle name="40% - Accent3 2 4 2 6" xfId="4242" xr:uid="{00000000-0005-0000-0000-0000250B0000}"/>
    <cellStyle name="40% - Accent3 2 4 3" xfId="598" xr:uid="{00000000-0005-0000-0000-0000260B0000}"/>
    <cellStyle name="40% - Accent3 2 4 3 2" xfId="1890" xr:uid="{00000000-0005-0000-0000-0000270B0000}"/>
    <cellStyle name="40% - Accent3 2 4 3 3" xfId="3168" xr:uid="{00000000-0005-0000-0000-0000280B0000}"/>
    <cellStyle name="40% - Accent3 2 4 3 4" xfId="4455" xr:uid="{00000000-0005-0000-0000-0000290B0000}"/>
    <cellStyle name="40% - Accent3 2 4 4" xfId="1024" xr:uid="{00000000-0005-0000-0000-00002A0B0000}"/>
    <cellStyle name="40% - Accent3 2 4 4 2" xfId="2316" xr:uid="{00000000-0005-0000-0000-00002B0B0000}"/>
    <cellStyle name="40% - Accent3 2 4 4 3" xfId="3594" xr:uid="{00000000-0005-0000-0000-00002C0B0000}"/>
    <cellStyle name="40% - Accent3 2 4 4 4" xfId="4881" xr:uid="{00000000-0005-0000-0000-00002D0B0000}"/>
    <cellStyle name="40% - Accent3 2 4 5" xfId="1464" xr:uid="{00000000-0005-0000-0000-00002E0B0000}"/>
    <cellStyle name="40% - Accent3 2 4 6" xfId="2742" xr:uid="{00000000-0005-0000-0000-00002F0B0000}"/>
    <cellStyle name="40% - Accent3 2 4 7" xfId="4029" xr:uid="{00000000-0005-0000-0000-0000300B0000}"/>
    <cellStyle name="40% - Accent3 2 5" xfId="167" xr:uid="{00000000-0005-0000-0000-0000310B0000}"/>
    <cellStyle name="40% - Accent3 2 5 2" xfId="386" xr:uid="{00000000-0005-0000-0000-0000320B0000}"/>
    <cellStyle name="40% - Accent3 2 5 2 2" xfId="812" xr:uid="{00000000-0005-0000-0000-0000330B0000}"/>
    <cellStyle name="40% - Accent3 2 5 2 2 2" xfId="2104" xr:uid="{00000000-0005-0000-0000-0000340B0000}"/>
    <cellStyle name="40% - Accent3 2 5 2 2 3" xfId="3382" xr:uid="{00000000-0005-0000-0000-0000350B0000}"/>
    <cellStyle name="40% - Accent3 2 5 2 2 4" xfId="4669" xr:uid="{00000000-0005-0000-0000-0000360B0000}"/>
    <cellStyle name="40% - Accent3 2 5 2 3" xfId="1238" xr:uid="{00000000-0005-0000-0000-0000370B0000}"/>
    <cellStyle name="40% - Accent3 2 5 2 3 2" xfId="2530" xr:uid="{00000000-0005-0000-0000-0000380B0000}"/>
    <cellStyle name="40% - Accent3 2 5 2 3 3" xfId="3808" xr:uid="{00000000-0005-0000-0000-0000390B0000}"/>
    <cellStyle name="40% - Accent3 2 5 2 3 4" xfId="5095" xr:uid="{00000000-0005-0000-0000-00003A0B0000}"/>
    <cellStyle name="40% - Accent3 2 5 2 4" xfId="1678" xr:uid="{00000000-0005-0000-0000-00003B0B0000}"/>
    <cellStyle name="40% - Accent3 2 5 2 5" xfId="2956" xr:uid="{00000000-0005-0000-0000-00003C0B0000}"/>
    <cellStyle name="40% - Accent3 2 5 2 6" xfId="4243" xr:uid="{00000000-0005-0000-0000-00003D0B0000}"/>
    <cellStyle name="40% - Accent3 2 5 3" xfId="599" xr:uid="{00000000-0005-0000-0000-00003E0B0000}"/>
    <cellStyle name="40% - Accent3 2 5 3 2" xfId="1891" xr:uid="{00000000-0005-0000-0000-00003F0B0000}"/>
    <cellStyle name="40% - Accent3 2 5 3 3" xfId="3169" xr:uid="{00000000-0005-0000-0000-0000400B0000}"/>
    <cellStyle name="40% - Accent3 2 5 3 4" xfId="4456" xr:uid="{00000000-0005-0000-0000-0000410B0000}"/>
    <cellStyle name="40% - Accent3 2 5 4" xfId="1025" xr:uid="{00000000-0005-0000-0000-0000420B0000}"/>
    <cellStyle name="40% - Accent3 2 5 4 2" xfId="2317" xr:uid="{00000000-0005-0000-0000-0000430B0000}"/>
    <cellStyle name="40% - Accent3 2 5 4 3" xfId="3595" xr:uid="{00000000-0005-0000-0000-0000440B0000}"/>
    <cellStyle name="40% - Accent3 2 5 4 4" xfId="4882" xr:uid="{00000000-0005-0000-0000-0000450B0000}"/>
    <cellStyle name="40% - Accent3 2 5 5" xfId="1465" xr:uid="{00000000-0005-0000-0000-0000460B0000}"/>
    <cellStyle name="40% - Accent3 2 5 6" xfId="2743" xr:uid="{00000000-0005-0000-0000-0000470B0000}"/>
    <cellStyle name="40% - Accent3 2 5 7" xfId="4030" xr:uid="{00000000-0005-0000-0000-0000480B0000}"/>
    <cellStyle name="40% - Accent3 2 6" xfId="274" xr:uid="{00000000-0005-0000-0000-0000490B0000}"/>
    <cellStyle name="40% - Accent3 2 6 2" xfId="487" xr:uid="{00000000-0005-0000-0000-00004A0B0000}"/>
    <cellStyle name="40% - Accent3 2 6 2 2" xfId="912" xr:uid="{00000000-0005-0000-0000-00004B0B0000}"/>
    <cellStyle name="40% - Accent3 2 6 2 2 2" xfId="2204" xr:uid="{00000000-0005-0000-0000-00004C0B0000}"/>
    <cellStyle name="40% - Accent3 2 6 2 2 3" xfId="3482" xr:uid="{00000000-0005-0000-0000-00004D0B0000}"/>
    <cellStyle name="40% - Accent3 2 6 2 2 4" xfId="4769" xr:uid="{00000000-0005-0000-0000-00004E0B0000}"/>
    <cellStyle name="40% - Accent3 2 6 2 3" xfId="1338" xr:uid="{00000000-0005-0000-0000-00004F0B0000}"/>
    <cellStyle name="40% - Accent3 2 6 2 3 2" xfId="2630" xr:uid="{00000000-0005-0000-0000-0000500B0000}"/>
    <cellStyle name="40% - Accent3 2 6 2 3 3" xfId="3908" xr:uid="{00000000-0005-0000-0000-0000510B0000}"/>
    <cellStyle name="40% - Accent3 2 6 2 3 4" xfId="5195" xr:uid="{00000000-0005-0000-0000-0000520B0000}"/>
    <cellStyle name="40% - Accent3 2 6 2 4" xfId="1778" xr:uid="{00000000-0005-0000-0000-0000530B0000}"/>
    <cellStyle name="40% - Accent3 2 6 2 5" xfId="3056" xr:uid="{00000000-0005-0000-0000-0000540B0000}"/>
    <cellStyle name="40% - Accent3 2 6 2 6" xfId="4343" xr:uid="{00000000-0005-0000-0000-0000550B0000}"/>
    <cellStyle name="40% - Accent3 2 6 3" xfId="699" xr:uid="{00000000-0005-0000-0000-0000560B0000}"/>
    <cellStyle name="40% - Accent3 2 6 3 2" xfId="1991" xr:uid="{00000000-0005-0000-0000-0000570B0000}"/>
    <cellStyle name="40% - Accent3 2 6 3 3" xfId="3269" xr:uid="{00000000-0005-0000-0000-0000580B0000}"/>
    <cellStyle name="40% - Accent3 2 6 3 4" xfId="4556" xr:uid="{00000000-0005-0000-0000-0000590B0000}"/>
    <cellStyle name="40% - Accent3 2 6 4" xfId="1125" xr:uid="{00000000-0005-0000-0000-00005A0B0000}"/>
    <cellStyle name="40% - Accent3 2 6 4 2" xfId="2417" xr:uid="{00000000-0005-0000-0000-00005B0B0000}"/>
    <cellStyle name="40% - Accent3 2 6 4 3" xfId="3695" xr:uid="{00000000-0005-0000-0000-00005C0B0000}"/>
    <cellStyle name="40% - Accent3 2 6 4 4" xfId="4982" xr:uid="{00000000-0005-0000-0000-00005D0B0000}"/>
    <cellStyle name="40% - Accent3 2 6 5" xfId="1565" xr:uid="{00000000-0005-0000-0000-00005E0B0000}"/>
    <cellStyle name="40% - Accent3 2 6 6" xfId="2843" xr:uid="{00000000-0005-0000-0000-00005F0B0000}"/>
    <cellStyle name="40% - Accent3 2 6 7" xfId="4130" xr:uid="{00000000-0005-0000-0000-0000600B0000}"/>
    <cellStyle name="40% - Accent3 2 7" xfId="381" xr:uid="{00000000-0005-0000-0000-0000610B0000}"/>
    <cellStyle name="40% - Accent3 2 7 2" xfId="807" xr:uid="{00000000-0005-0000-0000-0000620B0000}"/>
    <cellStyle name="40% - Accent3 2 7 2 2" xfId="2099" xr:uid="{00000000-0005-0000-0000-0000630B0000}"/>
    <cellStyle name="40% - Accent3 2 7 2 3" xfId="3377" xr:uid="{00000000-0005-0000-0000-0000640B0000}"/>
    <cellStyle name="40% - Accent3 2 7 2 4" xfId="4664" xr:uid="{00000000-0005-0000-0000-0000650B0000}"/>
    <cellStyle name="40% - Accent3 2 7 3" xfId="1233" xr:uid="{00000000-0005-0000-0000-0000660B0000}"/>
    <cellStyle name="40% - Accent3 2 7 3 2" xfId="2525" xr:uid="{00000000-0005-0000-0000-0000670B0000}"/>
    <cellStyle name="40% - Accent3 2 7 3 3" xfId="3803" xr:uid="{00000000-0005-0000-0000-0000680B0000}"/>
    <cellStyle name="40% - Accent3 2 7 3 4" xfId="5090" xr:uid="{00000000-0005-0000-0000-0000690B0000}"/>
    <cellStyle name="40% - Accent3 2 7 4" xfId="1673" xr:uid="{00000000-0005-0000-0000-00006A0B0000}"/>
    <cellStyle name="40% - Accent3 2 7 5" xfId="2951" xr:uid="{00000000-0005-0000-0000-00006B0B0000}"/>
    <cellStyle name="40% - Accent3 2 7 6" xfId="4238" xr:uid="{00000000-0005-0000-0000-00006C0B0000}"/>
    <cellStyle name="40% - Accent3 2 8" xfId="594" xr:uid="{00000000-0005-0000-0000-00006D0B0000}"/>
    <cellStyle name="40% - Accent3 2 8 2" xfId="1886" xr:uid="{00000000-0005-0000-0000-00006E0B0000}"/>
    <cellStyle name="40% - Accent3 2 8 3" xfId="3164" xr:uid="{00000000-0005-0000-0000-00006F0B0000}"/>
    <cellStyle name="40% - Accent3 2 8 4" xfId="4451" xr:uid="{00000000-0005-0000-0000-0000700B0000}"/>
    <cellStyle name="40% - Accent3 2 9" xfId="1020" xr:uid="{00000000-0005-0000-0000-0000710B0000}"/>
    <cellStyle name="40% - Accent3 2 9 2" xfId="2312" xr:uid="{00000000-0005-0000-0000-0000720B0000}"/>
    <cellStyle name="40% - Accent3 2 9 3" xfId="3590" xr:uid="{00000000-0005-0000-0000-0000730B0000}"/>
    <cellStyle name="40% - Accent3 2 9 4" xfId="4877" xr:uid="{00000000-0005-0000-0000-0000740B0000}"/>
    <cellStyle name="40% - Accent3 3" xfId="168" xr:uid="{00000000-0005-0000-0000-0000750B0000}"/>
    <cellStyle name="40% - Accent3 3 2" xfId="169" xr:uid="{00000000-0005-0000-0000-0000760B0000}"/>
    <cellStyle name="40% - Accent3 3 2 2" xfId="388" xr:uid="{00000000-0005-0000-0000-0000770B0000}"/>
    <cellStyle name="40% - Accent3 3 2 2 2" xfId="814" xr:uid="{00000000-0005-0000-0000-0000780B0000}"/>
    <cellStyle name="40% - Accent3 3 2 2 2 2" xfId="2106" xr:uid="{00000000-0005-0000-0000-0000790B0000}"/>
    <cellStyle name="40% - Accent3 3 2 2 2 3" xfId="3384" xr:uid="{00000000-0005-0000-0000-00007A0B0000}"/>
    <cellStyle name="40% - Accent3 3 2 2 2 4" xfId="4671" xr:uid="{00000000-0005-0000-0000-00007B0B0000}"/>
    <cellStyle name="40% - Accent3 3 2 2 3" xfId="1240" xr:uid="{00000000-0005-0000-0000-00007C0B0000}"/>
    <cellStyle name="40% - Accent3 3 2 2 3 2" xfId="2532" xr:uid="{00000000-0005-0000-0000-00007D0B0000}"/>
    <cellStyle name="40% - Accent3 3 2 2 3 3" xfId="3810" xr:uid="{00000000-0005-0000-0000-00007E0B0000}"/>
    <cellStyle name="40% - Accent3 3 2 2 3 4" xfId="5097" xr:uid="{00000000-0005-0000-0000-00007F0B0000}"/>
    <cellStyle name="40% - Accent3 3 2 2 4" xfId="1680" xr:uid="{00000000-0005-0000-0000-0000800B0000}"/>
    <cellStyle name="40% - Accent3 3 2 2 5" xfId="2958" xr:uid="{00000000-0005-0000-0000-0000810B0000}"/>
    <cellStyle name="40% - Accent3 3 2 2 6" xfId="4245" xr:uid="{00000000-0005-0000-0000-0000820B0000}"/>
    <cellStyle name="40% - Accent3 3 2 3" xfId="601" xr:uid="{00000000-0005-0000-0000-0000830B0000}"/>
    <cellStyle name="40% - Accent3 3 2 3 2" xfId="1893" xr:uid="{00000000-0005-0000-0000-0000840B0000}"/>
    <cellStyle name="40% - Accent3 3 2 3 3" xfId="3171" xr:uid="{00000000-0005-0000-0000-0000850B0000}"/>
    <cellStyle name="40% - Accent3 3 2 3 4" xfId="4458" xr:uid="{00000000-0005-0000-0000-0000860B0000}"/>
    <cellStyle name="40% - Accent3 3 2 4" xfId="1027" xr:uid="{00000000-0005-0000-0000-0000870B0000}"/>
    <cellStyle name="40% - Accent3 3 2 4 2" xfId="2319" xr:uid="{00000000-0005-0000-0000-0000880B0000}"/>
    <cellStyle name="40% - Accent3 3 2 4 3" xfId="3597" xr:uid="{00000000-0005-0000-0000-0000890B0000}"/>
    <cellStyle name="40% - Accent3 3 2 4 4" xfId="4884" xr:uid="{00000000-0005-0000-0000-00008A0B0000}"/>
    <cellStyle name="40% - Accent3 3 2 5" xfId="1467" xr:uid="{00000000-0005-0000-0000-00008B0B0000}"/>
    <cellStyle name="40% - Accent3 3 2 6" xfId="2745" xr:uid="{00000000-0005-0000-0000-00008C0B0000}"/>
    <cellStyle name="40% - Accent3 3 2 7" xfId="4032" xr:uid="{00000000-0005-0000-0000-00008D0B0000}"/>
    <cellStyle name="40% - Accent3 3 2 8" xfId="5276" xr:uid="{00000000-0005-0000-0000-00008E0B0000}"/>
    <cellStyle name="40% - Accent3 3 3" xfId="387" xr:uid="{00000000-0005-0000-0000-00008F0B0000}"/>
    <cellStyle name="40% - Accent3 3 3 2" xfId="813" xr:uid="{00000000-0005-0000-0000-0000900B0000}"/>
    <cellStyle name="40% - Accent3 3 3 2 2" xfId="2105" xr:uid="{00000000-0005-0000-0000-0000910B0000}"/>
    <cellStyle name="40% - Accent3 3 3 2 3" xfId="3383" xr:uid="{00000000-0005-0000-0000-0000920B0000}"/>
    <cellStyle name="40% - Accent3 3 3 2 4" xfId="4670" xr:uid="{00000000-0005-0000-0000-0000930B0000}"/>
    <cellStyle name="40% - Accent3 3 3 3" xfId="1239" xr:uid="{00000000-0005-0000-0000-0000940B0000}"/>
    <cellStyle name="40% - Accent3 3 3 3 2" xfId="2531" xr:uid="{00000000-0005-0000-0000-0000950B0000}"/>
    <cellStyle name="40% - Accent3 3 3 3 3" xfId="3809" xr:uid="{00000000-0005-0000-0000-0000960B0000}"/>
    <cellStyle name="40% - Accent3 3 3 3 4" xfId="5096" xr:uid="{00000000-0005-0000-0000-0000970B0000}"/>
    <cellStyle name="40% - Accent3 3 3 4" xfId="1679" xr:uid="{00000000-0005-0000-0000-0000980B0000}"/>
    <cellStyle name="40% - Accent3 3 3 5" xfId="2957" xr:uid="{00000000-0005-0000-0000-0000990B0000}"/>
    <cellStyle name="40% - Accent3 3 3 6" xfId="4244" xr:uid="{00000000-0005-0000-0000-00009A0B0000}"/>
    <cellStyle name="40% - Accent3 3 4" xfId="600" xr:uid="{00000000-0005-0000-0000-00009B0B0000}"/>
    <cellStyle name="40% - Accent3 3 4 2" xfId="1892" xr:uid="{00000000-0005-0000-0000-00009C0B0000}"/>
    <cellStyle name="40% - Accent3 3 4 3" xfId="3170" xr:uid="{00000000-0005-0000-0000-00009D0B0000}"/>
    <cellStyle name="40% - Accent3 3 4 4" xfId="4457" xr:uid="{00000000-0005-0000-0000-00009E0B0000}"/>
    <cellStyle name="40% - Accent3 3 5" xfId="1026" xr:uid="{00000000-0005-0000-0000-00009F0B0000}"/>
    <cellStyle name="40% - Accent3 3 5 2" xfId="2318" xr:uid="{00000000-0005-0000-0000-0000A00B0000}"/>
    <cellStyle name="40% - Accent3 3 5 3" xfId="3596" xr:uid="{00000000-0005-0000-0000-0000A10B0000}"/>
    <cellStyle name="40% - Accent3 3 5 4" xfId="4883" xr:uid="{00000000-0005-0000-0000-0000A20B0000}"/>
    <cellStyle name="40% - Accent3 3 6" xfId="1466" xr:uid="{00000000-0005-0000-0000-0000A30B0000}"/>
    <cellStyle name="40% - Accent3 3 7" xfId="2744" xr:uid="{00000000-0005-0000-0000-0000A40B0000}"/>
    <cellStyle name="40% - Accent3 3 8" xfId="4031" xr:uid="{00000000-0005-0000-0000-0000A50B0000}"/>
    <cellStyle name="40% - Accent3 3 9" xfId="5275" xr:uid="{00000000-0005-0000-0000-0000A60B0000}"/>
    <cellStyle name="40% - Accent3 4" xfId="170" xr:uid="{00000000-0005-0000-0000-0000A70B0000}"/>
    <cellStyle name="40% - Accent3 4 2" xfId="389" xr:uid="{00000000-0005-0000-0000-0000A80B0000}"/>
    <cellStyle name="40% - Accent3 4 2 2" xfId="815" xr:uid="{00000000-0005-0000-0000-0000A90B0000}"/>
    <cellStyle name="40% - Accent3 4 2 2 2" xfId="2107" xr:uid="{00000000-0005-0000-0000-0000AA0B0000}"/>
    <cellStyle name="40% - Accent3 4 2 2 3" xfId="3385" xr:uid="{00000000-0005-0000-0000-0000AB0B0000}"/>
    <cellStyle name="40% - Accent3 4 2 2 4" xfId="4672" xr:uid="{00000000-0005-0000-0000-0000AC0B0000}"/>
    <cellStyle name="40% - Accent3 4 2 3" xfId="1241" xr:uid="{00000000-0005-0000-0000-0000AD0B0000}"/>
    <cellStyle name="40% - Accent3 4 2 3 2" xfId="2533" xr:uid="{00000000-0005-0000-0000-0000AE0B0000}"/>
    <cellStyle name="40% - Accent3 4 2 3 3" xfId="3811" xr:uid="{00000000-0005-0000-0000-0000AF0B0000}"/>
    <cellStyle name="40% - Accent3 4 2 3 4" xfId="5098" xr:uid="{00000000-0005-0000-0000-0000B00B0000}"/>
    <cellStyle name="40% - Accent3 4 2 4" xfId="1681" xr:uid="{00000000-0005-0000-0000-0000B10B0000}"/>
    <cellStyle name="40% - Accent3 4 2 5" xfId="2959" xr:uid="{00000000-0005-0000-0000-0000B20B0000}"/>
    <cellStyle name="40% - Accent3 4 2 6" xfId="4246" xr:uid="{00000000-0005-0000-0000-0000B30B0000}"/>
    <cellStyle name="40% - Accent3 4 3" xfId="602" xr:uid="{00000000-0005-0000-0000-0000B40B0000}"/>
    <cellStyle name="40% - Accent3 4 3 2" xfId="1894" xr:uid="{00000000-0005-0000-0000-0000B50B0000}"/>
    <cellStyle name="40% - Accent3 4 3 3" xfId="3172" xr:uid="{00000000-0005-0000-0000-0000B60B0000}"/>
    <cellStyle name="40% - Accent3 4 3 4" xfId="4459" xr:uid="{00000000-0005-0000-0000-0000B70B0000}"/>
    <cellStyle name="40% - Accent3 4 4" xfId="1028" xr:uid="{00000000-0005-0000-0000-0000B80B0000}"/>
    <cellStyle name="40% - Accent3 4 4 2" xfId="2320" xr:uid="{00000000-0005-0000-0000-0000B90B0000}"/>
    <cellStyle name="40% - Accent3 4 4 3" xfId="3598" xr:uid="{00000000-0005-0000-0000-0000BA0B0000}"/>
    <cellStyle name="40% - Accent3 4 4 4" xfId="4885" xr:uid="{00000000-0005-0000-0000-0000BB0B0000}"/>
    <cellStyle name="40% - Accent3 4 5" xfId="1468" xr:uid="{00000000-0005-0000-0000-0000BC0B0000}"/>
    <cellStyle name="40% - Accent3 4 6" xfId="2746" xr:uid="{00000000-0005-0000-0000-0000BD0B0000}"/>
    <cellStyle name="40% - Accent3 4 7" xfId="4033" xr:uid="{00000000-0005-0000-0000-0000BE0B0000}"/>
    <cellStyle name="40% - Accent3 4 8" xfId="5277" xr:uid="{00000000-0005-0000-0000-0000BF0B0000}"/>
    <cellStyle name="40% - Accent3 5" xfId="171" xr:uid="{00000000-0005-0000-0000-0000C00B0000}"/>
    <cellStyle name="40% - Accent3 5 2" xfId="390" xr:uid="{00000000-0005-0000-0000-0000C10B0000}"/>
    <cellStyle name="40% - Accent3 5 2 2" xfId="816" xr:uid="{00000000-0005-0000-0000-0000C20B0000}"/>
    <cellStyle name="40% - Accent3 5 2 2 2" xfId="2108" xr:uid="{00000000-0005-0000-0000-0000C30B0000}"/>
    <cellStyle name="40% - Accent3 5 2 2 3" xfId="3386" xr:uid="{00000000-0005-0000-0000-0000C40B0000}"/>
    <cellStyle name="40% - Accent3 5 2 2 4" xfId="4673" xr:uid="{00000000-0005-0000-0000-0000C50B0000}"/>
    <cellStyle name="40% - Accent3 5 2 3" xfId="1242" xr:uid="{00000000-0005-0000-0000-0000C60B0000}"/>
    <cellStyle name="40% - Accent3 5 2 3 2" xfId="2534" xr:uid="{00000000-0005-0000-0000-0000C70B0000}"/>
    <cellStyle name="40% - Accent3 5 2 3 3" xfId="3812" xr:uid="{00000000-0005-0000-0000-0000C80B0000}"/>
    <cellStyle name="40% - Accent3 5 2 3 4" xfId="5099" xr:uid="{00000000-0005-0000-0000-0000C90B0000}"/>
    <cellStyle name="40% - Accent3 5 2 4" xfId="1682" xr:uid="{00000000-0005-0000-0000-0000CA0B0000}"/>
    <cellStyle name="40% - Accent3 5 2 5" xfId="2960" xr:uid="{00000000-0005-0000-0000-0000CB0B0000}"/>
    <cellStyle name="40% - Accent3 5 2 6" xfId="4247" xr:uid="{00000000-0005-0000-0000-0000CC0B0000}"/>
    <cellStyle name="40% - Accent3 5 3" xfId="603" xr:uid="{00000000-0005-0000-0000-0000CD0B0000}"/>
    <cellStyle name="40% - Accent3 5 3 2" xfId="1895" xr:uid="{00000000-0005-0000-0000-0000CE0B0000}"/>
    <cellStyle name="40% - Accent3 5 3 3" xfId="3173" xr:uid="{00000000-0005-0000-0000-0000CF0B0000}"/>
    <cellStyle name="40% - Accent3 5 3 4" xfId="4460" xr:uid="{00000000-0005-0000-0000-0000D00B0000}"/>
    <cellStyle name="40% - Accent3 5 4" xfId="1029" xr:uid="{00000000-0005-0000-0000-0000D10B0000}"/>
    <cellStyle name="40% - Accent3 5 4 2" xfId="2321" xr:uid="{00000000-0005-0000-0000-0000D20B0000}"/>
    <cellStyle name="40% - Accent3 5 4 3" xfId="3599" xr:uid="{00000000-0005-0000-0000-0000D30B0000}"/>
    <cellStyle name="40% - Accent3 5 4 4" xfId="4886" xr:uid="{00000000-0005-0000-0000-0000D40B0000}"/>
    <cellStyle name="40% - Accent3 5 5" xfId="1469" xr:uid="{00000000-0005-0000-0000-0000D50B0000}"/>
    <cellStyle name="40% - Accent3 5 6" xfId="2747" xr:uid="{00000000-0005-0000-0000-0000D60B0000}"/>
    <cellStyle name="40% - Accent3 5 7" xfId="4034" xr:uid="{00000000-0005-0000-0000-0000D70B0000}"/>
    <cellStyle name="40% - Accent3 6" xfId="172" xr:uid="{00000000-0005-0000-0000-0000D80B0000}"/>
    <cellStyle name="40% - Accent3 6 2" xfId="391" xr:uid="{00000000-0005-0000-0000-0000D90B0000}"/>
    <cellStyle name="40% - Accent3 6 2 2" xfId="817" xr:uid="{00000000-0005-0000-0000-0000DA0B0000}"/>
    <cellStyle name="40% - Accent3 6 2 2 2" xfId="2109" xr:uid="{00000000-0005-0000-0000-0000DB0B0000}"/>
    <cellStyle name="40% - Accent3 6 2 2 3" xfId="3387" xr:uid="{00000000-0005-0000-0000-0000DC0B0000}"/>
    <cellStyle name="40% - Accent3 6 2 2 4" xfId="4674" xr:uid="{00000000-0005-0000-0000-0000DD0B0000}"/>
    <cellStyle name="40% - Accent3 6 2 3" xfId="1243" xr:uid="{00000000-0005-0000-0000-0000DE0B0000}"/>
    <cellStyle name="40% - Accent3 6 2 3 2" xfId="2535" xr:uid="{00000000-0005-0000-0000-0000DF0B0000}"/>
    <cellStyle name="40% - Accent3 6 2 3 3" xfId="3813" xr:uid="{00000000-0005-0000-0000-0000E00B0000}"/>
    <cellStyle name="40% - Accent3 6 2 3 4" xfId="5100" xr:uid="{00000000-0005-0000-0000-0000E10B0000}"/>
    <cellStyle name="40% - Accent3 6 2 4" xfId="1683" xr:uid="{00000000-0005-0000-0000-0000E20B0000}"/>
    <cellStyle name="40% - Accent3 6 2 5" xfId="2961" xr:uid="{00000000-0005-0000-0000-0000E30B0000}"/>
    <cellStyle name="40% - Accent3 6 2 6" xfId="4248" xr:uid="{00000000-0005-0000-0000-0000E40B0000}"/>
    <cellStyle name="40% - Accent3 6 3" xfId="604" xr:uid="{00000000-0005-0000-0000-0000E50B0000}"/>
    <cellStyle name="40% - Accent3 6 3 2" xfId="1896" xr:uid="{00000000-0005-0000-0000-0000E60B0000}"/>
    <cellStyle name="40% - Accent3 6 3 3" xfId="3174" xr:uid="{00000000-0005-0000-0000-0000E70B0000}"/>
    <cellStyle name="40% - Accent3 6 3 4" xfId="4461" xr:uid="{00000000-0005-0000-0000-0000E80B0000}"/>
    <cellStyle name="40% - Accent3 6 4" xfId="1030" xr:uid="{00000000-0005-0000-0000-0000E90B0000}"/>
    <cellStyle name="40% - Accent3 6 4 2" xfId="2322" xr:uid="{00000000-0005-0000-0000-0000EA0B0000}"/>
    <cellStyle name="40% - Accent3 6 4 3" xfId="3600" xr:uid="{00000000-0005-0000-0000-0000EB0B0000}"/>
    <cellStyle name="40% - Accent3 6 4 4" xfId="4887" xr:uid="{00000000-0005-0000-0000-0000EC0B0000}"/>
    <cellStyle name="40% - Accent3 6 5" xfId="1470" xr:uid="{00000000-0005-0000-0000-0000ED0B0000}"/>
    <cellStyle name="40% - Accent3 6 6" xfId="2748" xr:uid="{00000000-0005-0000-0000-0000EE0B0000}"/>
    <cellStyle name="40% - Accent3 6 7" xfId="4035" xr:uid="{00000000-0005-0000-0000-0000EF0B0000}"/>
    <cellStyle name="40% - Accent3 7" xfId="262" xr:uid="{00000000-0005-0000-0000-0000F00B0000}"/>
    <cellStyle name="40% - Accent3 7 2" xfId="475" xr:uid="{00000000-0005-0000-0000-0000F10B0000}"/>
    <cellStyle name="40% - Accent3 7 2 2" xfId="900" xr:uid="{00000000-0005-0000-0000-0000F20B0000}"/>
    <cellStyle name="40% - Accent3 7 2 2 2" xfId="2192" xr:uid="{00000000-0005-0000-0000-0000F30B0000}"/>
    <cellStyle name="40% - Accent3 7 2 2 3" xfId="3470" xr:uid="{00000000-0005-0000-0000-0000F40B0000}"/>
    <cellStyle name="40% - Accent3 7 2 2 4" xfId="4757" xr:uid="{00000000-0005-0000-0000-0000F50B0000}"/>
    <cellStyle name="40% - Accent3 7 2 3" xfId="1326" xr:uid="{00000000-0005-0000-0000-0000F60B0000}"/>
    <cellStyle name="40% - Accent3 7 2 3 2" xfId="2618" xr:uid="{00000000-0005-0000-0000-0000F70B0000}"/>
    <cellStyle name="40% - Accent3 7 2 3 3" xfId="3896" xr:uid="{00000000-0005-0000-0000-0000F80B0000}"/>
    <cellStyle name="40% - Accent3 7 2 3 4" xfId="5183" xr:uid="{00000000-0005-0000-0000-0000F90B0000}"/>
    <cellStyle name="40% - Accent3 7 2 4" xfId="1766" xr:uid="{00000000-0005-0000-0000-0000FA0B0000}"/>
    <cellStyle name="40% - Accent3 7 2 5" xfId="3044" xr:uid="{00000000-0005-0000-0000-0000FB0B0000}"/>
    <cellStyle name="40% - Accent3 7 2 6" xfId="4331" xr:uid="{00000000-0005-0000-0000-0000FC0B0000}"/>
    <cellStyle name="40% - Accent3 7 3" xfId="687" xr:uid="{00000000-0005-0000-0000-0000FD0B0000}"/>
    <cellStyle name="40% - Accent3 7 3 2" xfId="1979" xr:uid="{00000000-0005-0000-0000-0000FE0B0000}"/>
    <cellStyle name="40% - Accent3 7 3 3" xfId="3257" xr:uid="{00000000-0005-0000-0000-0000FF0B0000}"/>
    <cellStyle name="40% - Accent3 7 3 4" xfId="4544" xr:uid="{00000000-0005-0000-0000-0000000C0000}"/>
    <cellStyle name="40% - Accent3 7 4" xfId="1113" xr:uid="{00000000-0005-0000-0000-0000010C0000}"/>
    <cellStyle name="40% - Accent3 7 4 2" xfId="2405" xr:uid="{00000000-0005-0000-0000-0000020C0000}"/>
    <cellStyle name="40% - Accent3 7 4 3" xfId="3683" xr:uid="{00000000-0005-0000-0000-0000030C0000}"/>
    <cellStyle name="40% - Accent3 7 4 4" xfId="4970" xr:uid="{00000000-0005-0000-0000-0000040C0000}"/>
    <cellStyle name="40% - Accent3 7 5" xfId="1553" xr:uid="{00000000-0005-0000-0000-0000050C0000}"/>
    <cellStyle name="40% - Accent3 7 6" xfId="2831" xr:uid="{00000000-0005-0000-0000-0000060C0000}"/>
    <cellStyle name="40% - Accent3 7 7" xfId="4118" xr:uid="{00000000-0005-0000-0000-0000070C0000}"/>
    <cellStyle name="40% - Accent3 8" xfId="380" xr:uid="{00000000-0005-0000-0000-0000080C0000}"/>
    <cellStyle name="40% - Accent3 8 2" xfId="806" xr:uid="{00000000-0005-0000-0000-0000090C0000}"/>
    <cellStyle name="40% - Accent3 8 2 2" xfId="2098" xr:uid="{00000000-0005-0000-0000-00000A0C0000}"/>
    <cellStyle name="40% - Accent3 8 2 3" xfId="3376" xr:uid="{00000000-0005-0000-0000-00000B0C0000}"/>
    <cellStyle name="40% - Accent3 8 2 4" xfId="4663" xr:uid="{00000000-0005-0000-0000-00000C0C0000}"/>
    <cellStyle name="40% - Accent3 8 3" xfId="1232" xr:uid="{00000000-0005-0000-0000-00000D0C0000}"/>
    <cellStyle name="40% - Accent3 8 3 2" xfId="2524" xr:uid="{00000000-0005-0000-0000-00000E0C0000}"/>
    <cellStyle name="40% - Accent3 8 3 3" xfId="3802" xr:uid="{00000000-0005-0000-0000-00000F0C0000}"/>
    <cellStyle name="40% - Accent3 8 3 4" xfId="5089" xr:uid="{00000000-0005-0000-0000-0000100C0000}"/>
    <cellStyle name="40% - Accent3 8 4" xfId="1672" xr:uid="{00000000-0005-0000-0000-0000110C0000}"/>
    <cellStyle name="40% - Accent3 8 5" xfId="2950" xr:uid="{00000000-0005-0000-0000-0000120C0000}"/>
    <cellStyle name="40% - Accent3 8 6" xfId="4237" xr:uid="{00000000-0005-0000-0000-0000130C0000}"/>
    <cellStyle name="40% - Accent3 9" xfId="593" xr:uid="{00000000-0005-0000-0000-0000140C0000}"/>
    <cellStyle name="40% - Accent3 9 2" xfId="1885" xr:uid="{00000000-0005-0000-0000-0000150C0000}"/>
    <cellStyle name="40% - Accent3 9 3" xfId="3163" xr:uid="{00000000-0005-0000-0000-0000160C0000}"/>
    <cellStyle name="40% - Accent3 9 4" xfId="4450" xr:uid="{00000000-0005-0000-0000-0000170C0000}"/>
    <cellStyle name="40% - Accent4" xfId="4" builtinId="43" customBuiltin="1"/>
    <cellStyle name="40% - Accent4 10" xfId="1031" xr:uid="{00000000-0005-0000-0000-0000190C0000}"/>
    <cellStyle name="40% - Accent4 10 2" xfId="2323" xr:uid="{00000000-0005-0000-0000-00001A0C0000}"/>
    <cellStyle name="40% - Accent4 10 3" xfId="3601" xr:uid="{00000000-0005-0000-0000-00001B0C0000}"/>
    <cellStyle name="40% - Accent4 10 4" xfId="4888" xr:uid="{00000000-0005-0000-0000-00001C0C0000}"/>
    <cellStyle name="40% - Accent4 11" xfId="1471" xr:uid="{00000000-0005-0000-0000-00001D0C0000}"/>
    <cellStyle name="40% - Accent4 12" xfId="2749" xr:uid="{00000000-0005-0000-0000-00001E0C0000}"/>
    <cellStyle name="40% - Accent4 13" xfId="4036" xr:uid="{00000000-0005-0000-0000-00001F0C0000}"/>
    <cellStyle name="40% - Accent4 14" xfId="5278" xr:uid="{00000000-0005-0000-0000-0000200C0000}"/>
    <cellStyle name="40% - Accent4 2" xfId="19" xr:uid="{00000000-0005-0000-0000-0000210C0000}"/>
    <cellStyle name="40% - Accent4 2 10" xfId="1472" xr:uid="{00000000-0005-0000-0000-0000220C0000}"/>
    <cellStyle name="40% - Accent4 2 11" xfId="2750" xr:uid="{00000000-0005-0000-0000-0000230C0000}"/>
    <cellStyle name="40% - Accent4 2 12" xfId="4037" xr:uid="{00000000-0005-0000-0000-0000240C0000}"/>
    <cellStyle name="40% - Accent4 2 13" xfId="5279" xr:uid="{00000000-0005-0000-0000-0000250C0000}"/>
    <cellStyle name="40% - Accent4 2 2" xfId="173" xr:uid="{00000000-0005-0000-0000-0000260C0000}"/>
    <cellStyle name="40% - Accent4 2 2 2" xfId="174" xr:uid="{00000000-0005-0000-0000-0000270C0000}"/>
    <cellStyle name="40% - Accent4 2 2 2 2" xfId="395" xr:uid="{00000000-0005-0000-0000-0000280C0000}"/>
    <cellStyle name="40% - Accent4 2 2 2 2 2" xfId="821" xr:uid="{00000000-0005-0000-0000-0000290C0000}"/>
    <cellStyle name="40% - Accent4 2 2 2 2 2 2" xfId="2113" xr:uid="{00000000-0005-0000-0000-00002A0C0000}"/>
    <cellStyle name="40% - Accent4 2 2 2 2 2 3" xfId="3391" xr:uid="{00000000-0005-0000-0000-00002B0C0000}"/>
    <cellStyle name="40% - Accent4 2 2 2 2 2 4" xfId="4678" xr:uid="{00000000-0005-0000-0000-00002C0C0000}"/>
    <cellStyle name="40% - Accent4 2 2 2 2 3" xfId="1247" xr:uid="{00000000-0005-0000-0000-00002D0C0000}"/>
    <cellStyle name="40% - Accent4 2 2 2 2 3 2" xfId="2539" xr:uid="{00000000-0005-0000-0000-00002E0C0000}"/>
    <cellStyle name="40% - Accent4 2 2 2 2 3 3" xfId="3817" xr:uid="{00000000-0005-0000-0000-00002F0C0000}"/>
    <cellStyle name="40% - Accent4 2 2 2 2 3 4" xfId="5104" xr:uid="{00000000-0005-0000-0000-0000300C0000}"/>
    <cellStyle name="40% - Accent4 2 2 2 2 4" xfId="1687" xr:uid="{00000000-0005-0000-0000-0000310C0000}"/>
    <cellStyle name="40% - Accent4 2 2 2 2 5" xfId="2965" xr:uid="{00000000-0005-0000-0000-0000320C0000}"/>
    <cellStyle name="40% - Accent4 2 2 2 2 6" xfId="4252" xr:uid="{00000000-0005-0000-0000-0000330C0000}"/>
    <cellStyle name="40% - Accent4 2 2 2 3" xfId="608" xr:uid="{00000000-0005-0000-0000-0000340C0000}"/>
    <cellStyle name="40% - Accent4 2 2 2 3 2" xfId="1900" xr:uid="{00000000-0005-0000-0000-0000350C0000}"/>
    <cellStyle name="40% - Accent4 2 2 2 3 3" xfId="3178" xr:uid="{00000000-0005-0000-0000-0000360C0000}"/>
    <cellStyle name="40% - Accent4 2 2 2 3 4" xfId="4465" xr:uid="{00000000-0005-0000-0000-0000370C0000}"/>
    <cellStyle name="40% - Accent4 2 2 2 4" xfId="1034" xr:uid="{00000000-0005-0000-0000-0000380C0000}"/>
    <cellStyle name="40% - Accent4 2 2 2 4 2" xfId="2326" xr:uid="{00000000-0005-0000-0000-0000390C0000}"/>
    <cellStyle name="40% - Accent4 2 2 2 4 3" xfId="3604" xr:uid="{00000000-0005-0000-0000-00003A0C0000}"/>
    <cellStyle name="40% - Accent4 2 2 2 4 4" xfId="4891" xr:uid="{00000000-0005-0000-0000-00003B0C0000}"/>
    <cellStyle name="40% - Accent4 2 2 2 5" xfId="1474" xr:uid="{00000000-0005-0000-0000-00003C0C0000}"/>
    <cellStyle name="40% - Accent4 2 2 2 6" xfId="2752" xr:uid="{00000000-0005-0000-0000-00003D0C0000}"/>
    <cellStyle name="40% - Accent4 2 2 2 7" xfId="4039" xr:uid="{00000000-0005-0000-0000-00003E0C0000}"/>
    <cellStyle name="40% - Accent4 2 2 2 8" xfId="5281" xr:uid="{00000000-0005-0000-0000-00003F0C0000}"/>
    <cellStyle name="40% - Accent4 2 2 3" xfId="394" xr:uid="{00000000-0005-0000-0000-0000400C0000}"/>
    <cellStyle name="40% - Accent4 2 2 3 2" xfId="820" xr:uid="{00000000-0005-0000-0000-0000410C0000}"/>
    <cellStyle name="40% - Accent4 2 2 3 2 2" xfId="2112" xr:uid="{00000000-0005-0000-0000-0000420C0000}"/>
    <cellStyle name="40% - Accent4 2 2 3 2 3" xfId="3390" xr:uid="{00000000-0005-0000-0000-0000430C0000}"/>
    <cellStyle name="40% - Accent4 2 2 3 2 4" xfId="4677" xr:uid="{00000000-0005-0000-0000-0000440C0000}"/>
    <cellStyle name="40% - Accent4 2 2 3 3" xfId="1246" xr:uid="{00000000-0005-0000-0000-0000450C0000}"/>
    <cellStyle name="40% - Accent4 2 2 3 3 2" xfId="2538" xr:uid="{00000000-0005-0000-0000-0000460C0000}"/>
    <cellStyle name="40% - Accent4 2 2 3 3 3" xfId="3816" xr:uid="{00000000-0005-0000-0000-0000470C0000}"/>
    <cellStyle name="40% - Accent4 2 2 3 3 4" xfId="5103" xr:uid="{00000000-0005-0000-0000-0000480C0000}"/>
    <cellStyle name="40% - Accent4 2 2 3 4" xfId="1686" xr:uid="{00000000-0005-0000-0000-0000490C0000}"/>
    <cellStyle name="40% - Accent4 2 2 3 5" xfId="2964" xr:uid="{00000000-0005-0000-0000-00004A0C0000}"/>
    <cellStyle name="40% - Accent4 2 2 3 6" xfId="4251" xr:uid="{00000000-0005-0000-0000-00004B0C0000}"/>
    <cellStyle name="40% - Accent4 2 2 4" xfId="607" xr:uid="{00000000-0005-0000-0000-00004C0C0000}"/>
    <cellStyle name="40% - Accent4 2 2 4 2" xfId="1899" xr:uid="{00000000-0005-0000-0000-00004D0C0000}"/>
    <cellStyle name="40% - Accent4 2 2 4 3" xfId="3177" xr:uid="{00000000-0005-0000-0000-00004E0C0000}"/>
    <cellStyle name="40% - Accent4 2 2 4 4" xfId="4464" xr:uid="{00000000-0005-0000-0000-00004F0C0000}"/>
    <cellStyle name="40% - Accent4 2 2 5" xfId="1033" xr:uid="{00000000-0005-0000-0000-0000500C0000}"/>
    <cellStyle name="40% - Accent4 2 2 5 2" xfId="2325" xr:uid="{00000000-0005-0000-0000-0000510C0000}"/>
    <cellStyle name="40% - Accent4 2 2 5 3" xfId="3603" xr:uid="{00000000-0005-0000-0000-0000520C0000}"/>
    <cellStyle name="40% - Accent4 2 2 5 4" xfId="4890" xr:uid="{00000000-0005-0000-0000-0000530C0000}"/>
    <cellStyle name="40% - Accent4 2 2 6" xfId="1473" xr:uid="{00000000-0005-0000-0000-0000540C0000}"/>
    <cellStyle name="40% - Accent4 2 2 7" xfId="2751" xr:uid="{00000000-0005-0000-0000-0000550C0000}"/>
    <cellStyle name="40% - Accent4 2 2 8" xfId="4038" xr:uid="{00000000-0005-0000-0000-0000560C0000}"/>
    <cellStyle name="40% - Accent4 2 2 9" xfId="5280" xr:uid="{00000000-0005-0000-0000-0000570C0000}"/>
    <cellStyle name="40% - Accent4 2 3" xfId="175" xr:uid="{00000000-0005-0000-0000-0000580C0000}"/>
    <cellStyle name="40% - Accent4 2 3 2" xfId="396" xr:uid="{00000000-0005-0000-0000-0000590C0000}"/>
    <cellStyle name="40% - Accent4 2 3 2 2" xfId="822" xr:uid="{00000000-0005-0000-0000-00005A0C0000}"/>
    <cellStyle name="40% - Accent4 2 3 2 2 2" xfId="2114" xr:uid="{00000000-0005-0000-0000-00005B0C0000}"/>
    <cellStyle name="40% - Accent4 2 3 2 2 3" xfId="3392" xr:uid="{00000000-0005-0000-0000-00005C0C0000}"/>
    <cellStyle name="40% - Accent4 2 3 2 2 4" xfId="4679" xr:uid="{00000000-0005-0000-0000-00005D0C0000}"/>
    <cellStyle name="40% - Accent4 2 3 2 3" xfId="1248" xr:uid="{00000000-0005-0000-0000-00005E0C0000}"/>
    <cellStyle name="40% - Accent4 2 3 2 3 2" xfId="2540" xr:uid="{00000000-0005-0000-0000-00005F0C0000}"/>
    <cellStyle name="40% - Accent4 2 3 2 3 3" xfId="3818" xr:uid="{00000000-0005-0000-0000-0000600C0000}"/>
    <cellStyle name="40% - Accent4 2 3 2 3 4" xfId="5105" xr:uid="{00000000-0005-0000-0000-0000610C0000}"/>
    <cellStyle name="40% - Accent4 2 3 2 4" xfId="1688" xr:uid="{00000000-0005-0000-0000-0000620C0000}"/>
    <cellStyle name="40% - Accent4 2 3 2 5" xfId="2966" xr:uid="{00000000-0005-0000-0000-0000630C0000}"/>
    <cellStyle name="40% - Accent4 2 3 2 6" xfId="4253" xr:uid="{00000000-0005-0000-0000-0000640C0000}"/>
    <cellStyle name="40% - Accent4 2 3 3" xfId="609" xr:uid="{00000000-0005-0000-0000-0000650C0000}"/>
    <cellStyle name="40% - Accent4 2 3 3 2" xfId="1901" xr:uid="{00000000-0005-0000-0000-0000660C0000}"/>
    <cellStyle name="40% - Accent4 2 3 3 3" xfId="3179" xr:uid="{00000000-0005-0000-0000-0000670C0000}"/>
    <cellStyle name="40% - Accent4 2 3 3 4" xfId="4466" xr:uid="{00000000-0005-0000-0000-0000680C0000}"/>
    <cellStyle name="40% - Accent4 2 3 4" xfId="1035" xr:uid="{00000000-0005-0000-0000-0000690C0000}"/>
    <cellStyle name="40% - Accent4 2 3 4 2" xfId="2327" xr:uid="{00000000-0005-0000-0000-00006A0C0000}"/>
    <cellStyle name="40% - Accent4 2 3 4 3" xfId="3605" xr:uid="{00000000-0005-0000-0000-00006B0C0000}"/>
    <cellStyle name="40% - Accent4 2 3 4 4" xfId="4892" xr:uid="{00000000-0005-0000-0000-00006C0C0000}"/>
    <cellStyle name="40% - Accent4 2 3 5" xfId="1475" xr:uid="{00000000-0005-0000-0000-00006D0C0000}"/>
    <cellStyle name="40% - Accent4 2 3 6" xfId="2753" xr:uid="{00000000-0005-0000-0000-00006E0C0000}"/>
    <cellStyle name="40% - Accent4 2 3 7" xfId="4040" xr:uid="{00000000-0005-0000-0000-00006F0C0000}"/>
    <cellStyle name="40% - Accent4 2 3 8" xfId="5282" xr:uid="{00000000-0005-0000-0000-0000700C0000}"/>
    <cellStyle name="40% - Accent4 2 4" xfId="176" xr:uid="{00000000-0005-0000-0000-0000710C0000}"/>
    <cellStyle name="40% - Accent4 2 4 2" xfId="397" xr:uid="{00000000-0005-0000-0000-0000720C0000}"/>
    <cellStyle name="40% - Accent4 2 4 2 2" xfId="823" xr:uid="{00000000-0005-0000-0000-0000730C0000}"/>
    <cellStyle name="40% - Accent4 2 4 2 2 2" xfId="2115" xr:uid="{00000000-0005-0000-0000-0000740C0000}"/>
    <cellStyle name="40% - Accent4 2 4 2 2 3" xfId="3393" xr:uid="{00000000-0005-0000-0000-0000750C0000}"/>
    <cellStyle name="40% - Accent4 2 4 2 2 4" xfId="4680" xr:uid="{00000000-0005-0000-0000-0000760C0000}"/>
    <cellStyle name="40% - Accent4 2 4 2 3" xfId="1249" xr:uid="{00000000-0005-0000-0000-0000770C0000}"/>
    <cellStyle name="40% - Accent4 2 4 2 3 2" xfId="2541" xr:uid="{00000000-0005-0000-0000-0000780C0000}"/>
    <cellStyle name="40% - Accent4 2 4 2 3 3" xfId="3819" xr:uid="{00000000-0005-0000-0000-0000790C0000}"/>
    <cellStyle name="40% - Accent4 2 4 2 3 4" xfId="5106" xr:uid="{00000000-0005-0000-0000-00007A0C0000}"/>
    <cellStyle name="40% - Accent4 2 4 2 4" xfId="1689" xr:uid="{00000000-0005-0000-0000-00007B0C0000}"/>
    <cellStyle name="40% - Accent4 2 4 2 5" xfId="2967" xr:uid="{00000000-0005-0000-0000-00007C0C0000}"/>
    <cellStyle name="40% - Accent4 2 4 2 6" xfId="4254" xr:uid="{00000000-0005-0000-0000-00007D0C0000}"/>
    <cellStyle name="40% - Accent4 2 4 3" xfId="610" xr:uid="{00000000-0005-0000-0000-00007E0C0000}"/>
    <cellStyle name="40% - Accent4 2 4 3 2" xfId="1902" xr:uid="{00000000-0005-0000-0000-00007F0C0000}"/>
    <cellStyle name="40% - Accent4 2 4 3 3" xfId="3180" xr:uid="{00000000-0005-0000-0000-0000800C0000}"/>
    <cellStyle name="40% - Accent4 2 4 3 4" xfId="4467" xr:uid="{00000000-0005-0000-0000-0000810C0000}"/>
    <cellStyle name="40% - Accent4 2 4 4" xfId="1036" xr:uid="{00000000-0005-0000-0000-0000820C0000}"/>
    <cellStyle name="40% - Accent4 2 4 4 2" xfId="2328" xr:uid="{00000000-0005-0000-0000-0000830C0000}"/>
    <cellStyle name="40% - Accent4 2 4 4 3" xfId="3606" xr:uid="{00000000-0005-0000-0000-0000840C0000}"/>
    <cellStyle name="40% - Accent4 2 4 4 4" xfId="4893" xr:uid="{00000000-0005-0000-0000-0000850C0000}"/>
    <cellStyle name="40% - Accent4 2 4 5" xfId="1476" xr:uid="{00000000-0005-0000-0000-0000860C0000}"/>
    <cellStyle name="40% - Accent4 2 4 6" xfId="2754" xr:uid="{00000000-0005-0000-0000-0000870C0000}"/>
    <cellStyle name="40% - Accent4 2 4 7" xfId="4041" xr:uid="{00000000-0005-0000-0000-0000880C0000}"/>
    <cellStyle name="40% - Accent4 2 5" xfId="177" xr:uid="{00000000-0005-0000-0000-0000890C0000}"/>
    <cellStyle name="40% - Accent4 2 5 2" xfId="398" xr:uid="{00000000-0005-0000-0000-00008A0C0000}"/>
    <cellStyle name="40% - Accent4 2 5 2 2" xfId="824" xr:uid="{00000000-0005-0000-0000-00008B0C0000}"/>
    <cellStyle name="40% - Accent4 2 5 2 2 2" xfId="2116" xr:uid="{00000000-0005-0000-0000-00008C0C0000}"/>
    <cellStyle name="40% - Accent4 2 5 2 2 3" xfId="3394" xr:uid="{00000000-0005-0000-0000-00008D0C0000}"/>
    <cellStyle name="40% - Accent4 2 5 2 2 4" xfId="4681" xr:uid="{00000000-0005-0000-0000-00008E0C0000}"/>
    <cellStyle name="40% - Accent4 2 5 2 3" xfId="1250" xr:uid="{00000000-0005-0000-0000-00008F0C0000}"/>
    <cellStyle name="40% - Accent4 2 5 2 3 2" xfId="2542" xr:uid="{00000000-0005-0000-0000-0000900C0000}"/>
    <cellStyle name="40% - Accent4 2 5 2 3 3" xfId="3820" xr:uid="{00000000-0005-0000-0000-0000910C0000}"/>
    <cellStyle name="40% - Accent4 2 5 2 3 4" xfId="5107" xr:uid="{00000000-0005-0000-0000-0000920C0000}"/>
    <cellStyle name="40% - Accent4 2 5 2 4" xfId="1690" xr:uid="{00000000-0005-0000-0000-0000930C0000}"/>
    <cellStyle name="40% - Accent4 2 5 2 5" xfId="2968" xr:uid="{00000000-0005-0000-0000-0000940C0000}"/>
    <cellStyle name="40% - Accent4 2 5 2 6" xfId="4255" xr:uid="{00000000-0005-0000-0000-0000950C0000}"/>
    <cellStyle name="40% - Accent4 2 5 3" xfId="611" xr:uid="{00000000-0005-0000-0000-0000960C0000}"/>
    <cellStyle name="40% - Accent4 2 5 3 2" xfId="1903" xr:uid="{00000000-0005-0000-0000-0000970C0000}"/>
    <cellStyle name="40% - Accent4 2 5 3 3" xfId="3181" xr:uid="{00000000-0005-0000-0000-0000980C0000}"/>
    <cellStyle name="40% - Accent4 2 5 3 4" xfId="4468" xr:uid="{00000000-0005-0000-0000-0000990C0000}"/>
    <cellStyle name="40% - Accent4 2 5 4" xfId="1037" xr:uid="{00000000-0005-0000-0000-00009A0C0000}"/>
    <cellStyle name="40% - Accent4 2 5 4 2" xfId="2329" xr:uid="{00000000-0005-0000-0000-00009B0C0000}"/>
    <cellStyle name="40% - Accent4 2 5 4 3" xfId="3607" xr:uid="{00000000-0005-0000-0000-00009C0C0000}"/>
    <cellStyle name="40% - Accent4 2 5 4 4" xfId="4894" xr:uid="{00000000-0005-0000-0000-00009D0C0000}"/>
    <cellStyle name="40% - Accent4 2 5 5" xfId="1477" xr:uid="{00000000-0005-0000-0000-00009E0C0000}"/>
    <cellStyle name="40% - Accent4 2 5 6" xfId="2755" xr:uid="{00000000-0005-0000-0000-00009F0C0000}"/>
    <cellStyle name="40% - Accent4 2 5 7" xfId="4042" xr:uid="{00000000-0005-0000-0000-0000A00C0000}"/>
    <cellStyle name="40% - Accent4 2 6" xfId="276" xr:uid="{00000000-0005-0000-0000-0000A10C0000}"/>
    <cellStyle name="40% - Accent4 2 6 2" xfId="489" xr:uid="{00000000-0005-0000-0000-0000A20C0000}"/>
    <cellStyle name="40% - Accent4 2 6 2 2" xfId="914" xr:uid="{00000000-0005-0000-0000-0000A30C0000}"/>
    <cellStyle name="40% - Accent4 2 6 2 2 2" xfId="2206" xr:uid="{00000000-0005-0000-0000-0000A40C0000}"/>
    <cellStyle name="40% - Accent4 2 6 2 2 3" xfId="3484" xr:uid="{00000000-0005-0000-0000-0000A50C0000}"/>
    <cellStyle name="40% - Accent4 2 6 2 2 4" xfId="4771" xr:uid="{00000000-0005-0000-0000-0000A60C0000}"/>
    <cellStyle name="40% - Accent4 2 6 2 3" xfId="1340" xr:uid="{00000000-0005-0000-0000-0000A70C0000}"/>
    <cellStyle name="40% - Accent4 2 6 2 3 2" xfId="2632" xr:uid="{00000000-0005-0000-0000-0000A80C0000}"/>
    <cellStyle name="40% - Accent4 2 6 2 3 3" xfId="3910" xr:uid="{00000000-0005-0000-0000-0000A90C0000}"/>
    <cellStyle name="40% - Accent4 2 6 2 3 4" xfId="5197" xr:uid="{00000000-0005-0000-0000-0000AA0C0000}"/>
    <cellStyle name="40% - Accent4 2 6 2 4" xfId="1780" xr:uid="{00000000-0005-0000-0000-0000AB0C0000}"/>
    <cellStyle name="40% - Accent4 2 6 2 5" xfId="3058" xr:uid="{00000000-0005-0000-0000-0000AC0C0000}"/>
    <cellStyle name="40% - Accent4 2 6 2 6" xfId="4345" xr:uid="{00000000-0005-0000-0000-0000AD0C0000}"/>
    <cellStyle name="40% - Accent4 2 6 3" xfId="701" xr:uid="{00000000-0005-0000-0000-0000AE0C0000}"/>
    <cellStyle name="40% - Accent4 2 6 3 2" xfId="1993" xr:uid="{00000000-0005-0000-0000-0000AF0C0000}"/>
    <cellStyle name="40% - Accent4 2 6 3 3" xfId="3271" xr:uid="{00000000-0005-0000-0000-0000B00C0000}"/>
    <cellStyle name="40% - Accent4 2 6 3 4" xfId="4558" xr:uid="{00000000-0005-0000-0000-0000B10C0000}"/>
    <cellStyle name="40% - Accent4 2 6 4" xfId="1127" xr:uid="{00000000-0005-0000-0000-0000B20C0000}"/>
    <cellStyle name="40% - Accent4 2 6 4 2" xfId="2419" xr:uid="{00000000-0005-0000-0000-0000B30C0000}"/>
    <cellStyle name="40% - Accent4 2 6 4 3" xfId="3697" xr:uid="{00000000-0005-0000-0000-0000B40C0000}"/>
    <cellStyle name="40% - Accent4 2 6 4 4" xfId="4984" xr:uid="{00000000-0005-0000-0000-0000B50C0000}"/>
    <cellStyle name="40% - Accent4 2 6 5" xfId="1567" xr:uid="{00000000-0005-0000-0000-0000B60C0000}"/>
    <cellStyle name="40% - Accent4 2 6 6" xfId="2845" xr:uid="{00000000-0005-0000-0000-0000B70C0000}"/>
    <cellStyle name="40% - Accent4 2 6 7" xfId="4132" xr:uid="{00000000-0005-0000-0000-0000B80C0000}"/>
    <cellStyle name="40% - Accent4 2 7" xfId="393" xr:uid="{00000000-0005-0000-0000-0000B90C0000}"/>
    <cellStyle name="40% - Accent4 2 7 2" xfId="819" xr:uid="{00000000-0005-0000-0000-0000BA0C0000}"/>
    <cellStyle name="40% - Accent4 2 7 2 2" xfId="2111" xr:uid="{00000000-0005-0000-0000-0000BB0C0000}"/>
    <cellStyle name="40% - Accent4 2 7 2 3" xfId="3389" xr:uid="{00000000-0005-0000-0000-0000BC0C0000}"/>
    <cellStyle name="40% - Accent4 2 7 2 4" xfId="4676" xr:uid="{00000000-0005-0000-0000-0000BD0C0000}"/>
    <cellStyle name="40% - Accent4 2 7 3" xfId="1245" xr:uid="{00000000-0005-0000-0000-0000BE0C0000}"/>
    <cellStyle name="40% - Accent4 2 7 3 2" xfId="2537" xr:uid="{00000000-0005-0000-0000-0000BF0C0000}"/>
    <cellStyle name="40% - Accent4 2 7 3 3" xfId="3815" xr:uid="{00000000-0005-0000-0000-0000C00C0000}"/>
    <cellStyle name="40% - Accent4 2 7 3 4" xfId="5102" xr:uid="{00000000-0005-0000-0000-0000C10C0000}"/>
    <cellStyle name="40% - Accent4 2 7 4" xfId="1685" xr:uid="{00000000-0005-0000-0000-0000C20C0000}"/>
    <cellStyle name="40% - Accent4 2 7 5" xfId="2963" xr:uid="{00000000-0005-0000-0000-0000C30C0000}"/>
    <cellStyle name="40% - Accent4 2 7 6" xfId="4250" xr:uid="{00000000-0005-0000-0000-0000C40C0000}"/>
    <cellStyle name="40% - Accent4 2 8" xfId="606" xr:uid="{00000000-0005-0000-0000-0000C50C0000}"/>
    <cellStyle name="40% - Accent4 2 8 2" xfId="1898" xr:uid="{00000000-0005-0000-0000-0000C60C0000}"/>
    <cellStyle name="40% - Accent4 2 8 3" xfId="3176" xr:uid="{00000000-0005-0000-0000-0000C70C0000}"/>
    <cellStyle name="40% - Accent4 2 8 4" xfId="4463" xr:uid="{00000000-0005-0000-0000-0000C80C0000}"/>
    <cellStyle name="40% - Accent4 2 9" xfId="1032" xr:uid="{00000000-0005-0000-0000-0000C90C0000}"/>
    <cellStyle name="40% - Accent4 2 9 2" xfId="2324" xr:uid="{00000000-0005-0000-0000-0000CA0C0000}"/>
    <cellStyle name="40% - Accent4 2 9 3" xfId="3602" xr:uid="{00000000-0005-0000-0000-0000CB0C0000}"/>
    <cellStyle name="40% - Accent4 2 9 4" xfId="4889" xr:uid="{00000000-0005-0000-0000-0000CC0C0000}"/>
    <cellStyle name="40% - Accent4 3" xfId="178" xr:uid="{00000000-0005-0000-0000-0000CD0C0000}"/>
    <cellStyle name="40% - Accent4 3 2" xfId="179" xr:uid="{00000000-0005-0000-0000-0000CE0C0000}"/>
    <cellStyle name="40% - Accent4 3 2 2" xfId="400" xr:uid="{00000000-0005-0000-0000-0000CF0C0000}"/>
    <cellStyle name="40% - Accent4 3 2 2 2" xfId="826" xr:uid="{00000000-0005-0000-0000-0000D00C0000}"/>
    <cellStyle name="40% - Accent4 3 2 2 2 2" xfId="2118" xr:uid="{00000000-0005-0000-0000-0000D10C0000}"/>
    <cellStyle name="40% - Accent4 3 2 2 2 3" xfId="3396" xr:uid="{00000000-0005-0000-0000-0000D20C0000}"/>
    <cellStyle name="40% - Accent4 3 2 2 2 4" xfId="4683" xr:uid="{00000000-0005-0000-0000-0000D30C0000}"/>
    <cellStyle name="40% - Accent4 3 2 2 3" xfId="1252" xr:uid="{00000000-0005-0000-0000-0000D40C0000}"/>
    <cellStyle name="40% - Accent4 3 2 2 3 2" xfId="2544" xr:uid="{00000000-0005-0000-0000-0000D50C0000}"/>
    <cellStyle name="40% - Accent4 3 2 2 3 3" xfId="3822" xr:uid="{00000000-0005-0000-0000-0000D60C0000}"/>
    <cellStyle name="40% - Accent4 3 2 2 3 4" xfId="5109" xr:uid="{00000000-0005-0000-0000-0000D70C0000}"/>
    <cellStyle name="40% - Accent4 3 2 2 4" xfId="1692" xr:uid="{00000000-0005-0000-0000-0000D80C0000}"/>
    <cellStyle name="40% - Accent4 3 2 2 5" xfId="2970" xr:uid="{00000000-0005-0000-0000-0000D90C0000}"/>
    <cellStyle name="40% - Accent4 3 2 2 6" xfId="4257" xr:uid="{00000000-0005-0000-0000-0000DA0C0000}"/>
    <cellStyle name="40% - Accent4 3 2 3" xfId="613" xr:uid="{00000000-0005-0000-0000-0000DB0C0000}"/>
    <cellStyle name="40% - Accent4 3 2 3 2" xfId="1905" xr:uid="{00000000-0005-0000-0000-0000DC0C0000}"/>
    <cellStyle name="40% - Accent4 3 2 3 3" xfId="3183" xr:uid="{00000000-0005-0000-0000-0000DD0C0000}"/>
    <cellStyle name="40% - Accent4 3 2 3 4" xfId="4470" xr:uid="{00000000-0005-0000-0000-0000DE0C0000}"/>
    <cellStyle name="40% - Accent4 3 2 4" xfId="1039" xr:uid="{00000000-0005-0000-0000-0000DF0C0000}"/>
    <cellStyle name="40% - Accent4 3 2 4 2" xfId="2331" xr:uid="{00000000-0005-0000-0000-0000E00C0000}"/>
    <cellStyle name="40% - Accent4 3 2 4 3" xfId="3609" xr:uid="{00000000-0005-0000-0000-0000E10C0000}"/>
    <cellStyle name="40% - Accent4 3 2 4 4" xfId="4896" xr:uid="{00000000-0005-0000-0000-0000E20C0000}"/>
    <cellStyle name="40% - Accent4 3 2 5" xfId="1479" xr:uid="{00000000-0005-0000-0000-0000E30C0000}"/>
    <cellStyle name="40% - Accent4 3 2 6" xfId="2757" xr:uid="{00000000-0005-0000-0000-0000E40C0000}"/>
    <cellStyle name="40% - Accent4 3 2 7" xfId="4044" xr:uid="{00000000-0005-0000-0000-0000E50C0000}"/>
    <cellStyle name="40% - Accent4 3 2 8" xfId="5284" xr:uid="{00000000-0005-0000-0000-0000E60C0000}"/>
    <cellStyle name="40% - Accent4 3 3" xfId="399" xr:uid="{00000000-0005-0000-0000-0000E70C0000}"/>
    <cellStyle name="40% - Accent4 3 3 2" xfId="825" xr:uid="{00000000-0005-0000-0000-0000E80C0000}"/>
    <cellStyle name="40% - Accent4 3 3 2 2" xfId="2117" xr:uid="{00000000-0005-0000-0000-0000E90C0000}"/>
    <cellStyle name="40% - Accent4 3 3 2 3" xfId="3395" xr:uid="{00000000-0005-0000-0000-0000EA0C0000}"/>
    <cellStyle name="40% - Accent4 3 3 2 4" xfId="4682" xr:uid="{00000000-0005-0000-0000-0000EB0C0000}"/>
    <cellStyle name="40% - Accent4 3 3 3" xfId="1251" xr:uid="{00000000-0005-0000-0000-0000EC0C0000}"/>
    <cellStyle name="40% - Accent4 3 3 3 2" xfId="2543" xr:uid="{00000000-0005-0000-0000-0000ED0C0000}"/>
    <cellStyle name="40% - Accent4 3 3 3 3" xfId="3821" xr:uid="{00000000-0005-0000-0000-0000EE0C0000}"/>
    <cellStyle name="40% - Accent4 3 3 3 4" xfId="5108" xr:uid="{00000000-0005-0000-0000-0000EF0C0000}"/>
    <cellStyle name="40% - Accent4 3 3 4" xfId="1691" xr:uid="{00000000-0005-0000-0000-0000F00C0000}"/>
    <cellStyle name="40% - Accent4 3 3 5" xfId="2969" xr:uid="{00000000-0005-0000-0000-0000F10C0000}"/>
    <cellStyle name="40% - Accent4 3 3 6" xfId="4256" xr:uid="{00000000-0005-0000-0000-0000F20C0000}"/>
    <cellStyle name="40% - Accent4 3 4" xfId="612" xr:uid="{00000000-0005-0000-0000-0000F30C0000}"/>
    <cellStyle name="40% - Accent4 3 4 2" xfId="1904" xr:uid="{00000000-0005-0000-0000-0000F40C0000}"/>
    <cellStyle name="40% - Accent4 3 4 3" xfId="3182" xr:uid="{00000000-0005-0000-0000-0000F50C0000}"/>
    <cellStyle name="40% - Accent4 3 4 4" xfId="4469" xr:uid="{00000000-0005-0000-0000-0000F60C0000}"/>
    <cellStyle name="40% - Accent4 3 5" xfId="1038" xr:uid="{00000000-0005-0000-0000-0000F70C0000}"/>
    <cellStyle name="40% - Accent4 3 5 2" xfId="2330" xr:uid="{00000000-0005-0000-0000-0000F80C0000}"/>
    <cellStyle name="40% - Accent4 3 5 3" xfId="3608" xr:uid="{00000000-0005-0000-0000-0000F90C0000}"/>
    <cellStyle name="40% - Accent4 3 5 4" xfId="4895" xr:uid="{00000000-0005-0000-0000-0000FA0C0000}"/>
    <cellStyle name="40% - Accent4 3 6" xfId="1478" xr:uid="{00000000-0005-0000-0000-0000FB0C0000}"/>
    <cellStyle name="40% - Accent4 3 7" xfId="2756" xr:uid="{00000000-0005-0000-0000-0000FC0C0000}"/>
    <cellStyle name="40% - Accent4 3 8" xfId="4043" xr:uid="{00000000-0005-0000-0000-0000FD0C0000}"/>
    <cellStyle name="40% - Accent4 3 9" xfId="5283" xr:uid="{00000000-0005-0000-0000-0000FE0C0000}"/>
    <cellStyle name="40% - Accent4 4" xfId="180" xr:uid="{00000000-0005-0000-0000-0000FF0C0000}"/>
    <cellStyle name="40% - Accent4 4 2" xfId="401" xr:uid="{00000000-0005-0000-0000-0000000D0000}"/>
    <cellStyle name="40% - Accent4 4 2 2" xfId="827" xr:uid="{00000000-0005-0000-0000-0000010D0000}"/>
    <cellStyle name="40% - Accent4 4 2 2 2" xfId="2119" xr:uid="{00000000-0005-0000-0000-0000020D0000}"/>
    <cellStyle name="40% - Accent4 4 2 2 3" xfId="3397" xr:uid="{00000000-0005-0000-0000-0000030D0000}"/>
    <cellStyle name="40% - Accent4 4 2 2 4" xfId="4684" xr:uid="{00000000-0005-0000-0000-0000040D0000}"/>
    <cellStyle name="40% - Accent4 4 2 3" xfId="1253" xr:uid="{00000000-0005-0000-0000-0000050D0000}"/>
    <cellStyle name="40% - Accent4 4 2 3 2" xfId="2545" xr:uid="{00000000-0005-0000-0000-0000060D0000}"/>
    <cellStyle name="40% - Accent4 4 2 3 3" xfId="3823" xr:uid="{00000000-0005-0000-0000-0000070D0000}"/>
    <cellStyle name="40% - Accent4 4 2 3 4" xfId="5110" xr:uid="{00000000-0005-0000-0000-0000080D0000}"/>
    <cellStyle name="40% - Accent4 4 2 4" xfId="1693" xr:uid="{00000000-0005-0000-0000-0000090D0000}"/>
    <cellStyle name="40% - Accent4 4 2 5" xfId="2971" xr:uid="{00000000-0005-0000-0000-00000A0D0000}"/>
    <cellStyle name="40% - Accent4 4 2 6" xfId="4258" xr:uid="{00000000-0005-0000-0000-00000B0D0000}"/>
    <cellStyle name="40% - Accent4 4 3" xfId="614" xr:uid="{00000000-0005-0000-0000-00000C0D0000}"/>
    <cellStyle name="40% - Accent4 4 3 2" xfId="1906" xr:uid="{00000000-0005-0000-0000-00000D0D0000}"/>
    <cellStyle name="40% - Accent4 4 3 3" xfId="3184" xr:uid="{00000000-0005-0000-0000-00000E0D0000}"/>
    <cellStyle name="40% - Accent4 4 3 4" xfId="4471" xr:uid="{00000000-0005-0000-0000-00000F0D0000}"/>
    <cellStyle name="40% - Accent4 4 4" xfId="1040" xr:uid="{00000000-0005-0000-0000-0000100D0000}"/>
    <cellStyle name="40% - Accent4 4 4 2" xfId="2332" xr:uid="{00000000-0005-0000-0000-0000110D0000}"/>
    <cellStyle name="40% - Accent4 4 4 3" xfId="3610" xr:uid="{00000000-0005-0000-0000-0000120D0000}"/>
    <cellStyle name="40% - Accent4 4 4 4" xfId="4897" xr:uid="{00000000-0005-0000-0000-0000130D0000}"/>
    <cellStyle name="40% - Accent4 4 5" xfId="1480" xr:uid="{00000000-0005-0000-0000-0000140D0000}"/>
    <cellStyle name="40% - Accent4 4 6" xfId="2758" xr:uid="{00000000-0005-0000-0000-0000150D0000}"/>
    <cellStyle name="40% - Accent4 4 7" xfId="4045" xr:uid="{00000000-0005-0000-0000-0000160D0000}"/>
    <cellStyle name="40% - Accent4 4 8" xfId="5285" xr:uid="{00000000-0005-0000-0000-0000170D0000}"/>
    <cellStyle name="40% - Accent4 5" xfId="181" xr:uid="{00000000-0005-0000-0000-0000180D0000}"/>
    <cellStyle name="40% - Accent4 5 2" xfId="402" xr:uid="{00000000-0005-0000-0000-0000190D0000}"/>
    <cellStyle name="40% - Accent4 5 2 2" xfId="828" xr:uid="{00000000-0005-0000-0000-00001A0D0000}"/>
    <cellStyle name="40% - Accent4 5 2 2 2" xfId="2120" xr:uid="{00000000-0005-0000-0000-00001B0D0000}"/>
    <cellStyle name="40% - Accent4 5 2 2 3" xfId="3398" xr:uid="{00000000-0005-0000-0000-00001C0D0000}"/>
    <cellStyle name="40% - Accent4 5 2 2 4" xfId="4685" xr:uid="{00000000-0005-0000-0000-00001D0D0000}"/>
    <cellStyle name="40% - Accent4 5 2 3" xfId="1254" xr:uid="{00000000-0005-0000-0000-00001E0D0000}"/>
    <cellStyle name="40% - Accent4 5 2 3 2" xfId="2546" xr:uid="{00000000-0005-0000-0000-00001F0D0000}"/>
    <cellStyle name="40% - Accent4 5 2 3 3" xfId="3824" xr:uid="{00000000-0005-0000-0000-0000200D0000}"/>
    <cellStyle name="40% - Accent4 5 2 3 4" xfId="5111" xr:uid="{00000000-0005-0000-0000-0000210D0000}"/>
    <cellStyle name="40% - Accent4 5 2 4" xfId="1694" xr:uid="{00000000-0005-0000-0000-0000220D0000}"/>
    <cellStyle name="40% - Accent4 5 2 5" xfId="2972" xr:uid="{00000000-0005-0000-0000-0000230D0000}"/>
    <cellStyle name="40% - Accent4 5 2 6" xfId="4259" xr:uid="{00000000-0005-0000-0000-0000240D0000}"/>
    <cellStyle name="40% - Accent4 5 3" xfId="615" xr:uid="{00000000-0005-0000-0000-0000250D0000}"/>
    <cellStyle name="40% - Accent4 5 3 2" xfId="1907" xr:uid="{00000000-0005-0000-0000-0000260D0000}"/>
    <cellStyle name="40% - Accent4 5 3 3" xfId="3185" xr:uid="{00000000-0005-0000-0000-0000270D0000}"/>
    <cellStyle name="40% - Accent4 5 3 4" xfId="4472" xr:uid="{00000000-0005-0000-0000-0000280D0000}"/>
    <cellStyle name="40% - Accent4 5 4" xfId="1041" xr:uid="{00000000-0005-0000-0000-0000290D0000}"/>
    <cellStyle name="40% - Accent4 5 4 2" xfId="2333" xr:uid="{00000000-0005-0000-0000-00002A0D0000}"/>
    <cellStyle name="40% - Accent4 5 4 3" xfId="3611" xr:uid="{00000000-0005-0000-0000-00002B0D0000}"/>
    <cellStyle name="40% - Accent4 5 4 4" xfId="4898" xr:uid="{00000000-0005-0000-0000-00002C0D0000}"/>
    <cellStyle name="40% - Accent4 5 5" xfId="1481" xr:uid="{00000000-0005-0000-0000-00002D0D0000}"/>
    <cellStyle name="40% - Accent4 5 6" xfId="2759" xr:uid="{00000000-0005-0000-0000-00002E0D0000}"/>
    <cellStyle name="40% - Accent4 5 7" xfId="4046" xr:uid="{00000000-0005-0000-0000-00002F0D0000}"/>
    <cellStyle name="40% - Accent4 6" xfId="182" xr:uid="{00000000-0005-0000-0000-0000300D0000}"/>
    <cellStyle name="40% - Accent4 6 2" xfId="403" xr:uid="{00000000-0005-0000-0000-0000310D0000}"/>
    <cellStyle name="40% - Accent4 6 2 2" xfId="829" xr:uid="{00000000-0005-0000-0000-0000320D0000}"/>
    <cellStyle name="40% - Accent4 6 2 2 2" xfId="2121" xr:uid="{00000000-0005-0000-0000-0000330D0000}"/>
    <cellStyle name="40% - Accent4 6 2 2 3" xfId="3399" xr:uid="{00000000-0005-0000-0000-0000340D0000}"/>
    <cellStyle name="40% - Accent4 6 2 2 4" xfId="4686" xr:uid="{00000000-0005-0000-0000-0000350D0000}"/>
    <cellStyle name="40% - Accent4 6 2 3" xfId="1255" xr:uid="{00000000-0005-0000-0000-0000360D0000}"/>
    <cellStyle name="40% - Accent4 6 2 3 2" xfId="2547" xr:uid="{00000000-0005-0000-0000-0000370D0000}"/>
    <cellStyle name="40% - Accent4 6 2 3 3" xfId="3825" xr:uid="{00000000-0005-0000-0000-0000380D0000}"/>
    <cellStyle name="40% - Accent4 6 2 3 4" xfId="5112" xr:uid="{00000000-0005-0000-0000-0000390D0000}"/>
    <cellStyle name="40% - Accent4 6 2 4" xfId="1695" xr:uid="{00000000-0005-0000-0000-00003A0D0000}"/>
    <cellStyle name="40% - Accent4 6 2 5" xfId="2973" xr:uid="{00000000-0005-0000-0000-00003B0D0000}"/>
    <cellStyle name="40% - Accent4 6 2 6" xfId="4260" xr:uid="{00000000-0005-0000-0000-00003C0D0000}"/>
    <cellStyle name="40% - Accent4 6 3" xfId="616" xr:uid="{00000000-0005-0000-0000-00003D0D0000}"/>
    <cellStyle name="40% - Accent4 6 3 2" xfId="1908" xr:uid="{00000000-0005-0000-0000-00003E0D0000}"/>
    <cellStyle name="40% - Accent4 6 3 3" xfId="3186" xr:uid="{00000000-0005-0000-0000-00003F0D0000}"/>
    <cellStyle name="40% - Accent4 6 3 4" xfId="4473" xr:uid="{00000000-0005-0000-0000-0000400D0000}"/>
    <cellStyle name="40% - Accent4 6 4" xfId="1042" xr:uid="{00000000-0005-0000-0000-0000410D0000}"/>
    <cellStyle name="40% - Accent4 6 4 2" xfId="2334" xr:uid="{00000000-0005-0000-0000-0000420D0000}"/>
    <cellStyle name="40% - Accent4 6 4 3" xfId="3612" xr:uid="{00000000-0005-0000-0000-0000430D0000}"/>
    <cellStyle name="40% - Accent4 6 4 4" xfId="4899" xr:uid="{00000000-0005-0000-0000-0000440D0000}"/>
    <cellStyle name="40% - Accent4 6 5" xfId="1482" xr:uid="{00000000-0005-0000-0000-0000450D0000}"/>
    <cellStyle name="40% - Accent4 6 6" xfId="2760" xr:uid="{00000000-0005-0000-0000-0000460D0000}"/>
    <cellStyle name="40% - Accent4 6 7" xfId="4047" xr:uid="{00000000-0005-0000-0000-0000470D0000}"/>
    <cellStyle name="40% - Accent4 7" xfId="263" xr:uid="{00000000-0005-0000-0000-0000480D0000}"/>
    <cellStyle name="40% - Accent4 7 2" xfId="476" xr:uid="{00000000-0005-0000-0000-0000490D0000}"/>
    <cellStyle name="40% - Accent4 7 2 2" xfId="901" xr:uid="{00000000-0005-0000-0000-00004A0D0000}"/>
    <cellStyle name="40% - Accent4 7 2 2 2" xfId="2193" xr:uid="{00000000-0005-0000-0000-00004B0D0000}"/>
    <cellStyle name="40% - Accent4 7 2 2 3" xfId="3471" xr:uid="{00000000-0005-0000-0000-00004C0D0000}"/>
    <cellStyle name="40% - Accent4 7 2 2 4" xfId="4758" xr:uid="{00000000-0005-0000-0000-00004D0D0000}"/>
    <cellStyle name="40% - Accent4 7 2 3" xfId="1327" xr:uid="{00000000-0005-0000-0000-00004E0D0000}"/>
    <cellStyle name="40% - Accent4 7 2 3 2" xfId="2619" xr:uid="{00000000-0005-0000-0000-00004F0D0000}"/>
    <cellStyle name="40% - Accent4 7 2 3 3" xfId="3897" xr:uid="{00000000-0005-0000-0000-0000500D0000}"/>
    <cellStyle name="40% - Accent4 7 2 3 4" xfId="5184" xr:uid="{00000000-0005-0000-0000-0000510D0000}"/>
    <cellStyle name="40% - Accent4 7 2 4" xfId="1767" xr:uid="{00000000-0005-0000-0000-0000520D0000}"/>
    <cellStyle name="40% - Accent4 7 2 5" xfId="3045" xr:uid="{00000000-0005-0000-0000-0000530D0000}"/>
    <cellStyle name="40% - Accent4 7 2 6" xfId="4332" xr:uid="{00000000-0005-0000-0000-0000540D0000}"/>
    <cellStyle name="40% - Accent4 7 3" xfId="688" xr:uid="{00000000-0005-0000-0000-0000550D0000}"/>
    <cellStyle name="40% - Accent4 7 3 2" xfId="1980" xr:uid="{00000000-0005-0000-0000-0000560D0000}"/>
    <cellStyle name="40% - Accent4 7 3 3" xfId="3258" xr:uid="{00000000-0005-0000-0000-0000570D0000}"/>
    <cellStyle name="40% - Accent4 7 3 4" xfId="4545" xr:uid="{00000000-0005-0000-0000-0000580D0000}"/>
    <cellStyle name="40% - Accent4 7 4" xfId="1114" xr:uid="{00000000-0005-0000-0000-0000590D0000}"/>
    <cellStyle name="40% - Accent4 7 4 2" xfId="2406" xr:uid="{00000000-0005-0000-0000-00005A0D0000}"/>
    <cellStyle name="40% - Accent4 7 4 3" xfId="3684" xr:uid="{00000000-0005-0000-0000-00005B0D0000}"/>
    <cellStyle name="40% - Accent4 7 4 4" xfId="4971" xr:uid="{00000000-0005-0000-0000-00005C0D0000}"/>
    <cellStyle name="40% - Accent4 7 5" xfId="1554" xr:uid="{00000000-0005-0000-0000-00005D0D0000}"/>
    <cellStyle name="40% - Accent4 7 6" xfId="2832" xr:uid="{00000000-0005-0000-0000-00005E0D0000}"/>
    <cellStyle name="40% - Accent4 7 7" xfId="4119" xr:uid="{00000000-0005-0000-0000-00005F0D0000}"/>
    <cellStyle name="40% - Accent4 8" xfId="392" xr:uid="{00000000-0005-0000-0000-0000600D0000}"/>
    <cellStyle name="40% - Accent4 8 2" xfId="818" xr:uid="{00000000-0005-0000-0000-0000610D0000}"/>
    <cellStyle name="40% - Accent4 8 2 2" xfId="2110" xr:uid="{00000000-0005-0000-0000-0000620D0000}"/>
    <cellStyle name="40% - Accent4 8 2 3" xfId="3388" xr:uid="{00000000-0005-0000-0000-0000630D0000}"/>
    <cellStyle name="40% - Accent4 8 2 4" xfId="4675" xr:uid="{00000000-0005-0000-0000-0000640D0000}"/>
    <cellStyle name="40% - Accent4 8 3" xfId="1244" xr:uid="{00000000-0005-0000-0000-0000650D0000}"/>
    <cellStyle name="40% - Accent4 8 3 2" xfId="2536" xr:uid="{00000000-0005-0000-0000-0000660D0000}"/>
    <cellStyle name="40% - Accent4 8 3 3" xfId="3814" xr:uid="{00000000-0005-0000-0000-0000670D0000}"/>
    <cellStyle name="40% - Accent4 8 3 4" xfId="5101" xr:uid="{00000000-0005-0000-0000-0000680D0000}"/>
    <cellStyle name="40% - Accent4 8 4" xfId="1684" xr:uid="{00000000-0005-0000-0000-0000690D0000}"/>
    <cellStyle name="40% - Accent4 8 5" xfId="2962" xr:uid="{00000000-0005-0000-0000-00006A0D0000}"/>
    <cellStyle name="40% - Accent4 8 6" xfId="4249" xr:uid="{00000000-0005-0000-0000-00006B0D0000}"/>
    <cellStyle name="40% - Accent4 9" xfId="605" xr:uid="{00000000-0005-0000-0000-00006C0D0000}"/>
    <cellStyle name="40% - Accent4 9 2" xfId="1897" xr:uid="{00000000-0005-0000-0000-00006D0D0000}"/>
    <cellStyle name="40% - Accent4 9 3" xfId="3175" xr:uid="{00000000-0005-0000-0000-00006E0D0000}"/>
    <cellStyle name="40% - Accent4 9 4" xfId="4462" xr:uid="{00000000-0005-0000-0000-00006F0D0000}"/>
    <cellStyle name="40% - Accent5" xfId="74" builtinId="47" customBuiltin="1"/>
    <cellStyle name="40% - Accent5 10" xfId="1043" xr:uid="{00000000-0005-0000-0000-0000710D0000}"/>
    <cellStyle name="40% - Accent5 10 2" xfId="2335" xr:uid="{00000000-0005-0000-0000-0000720D0000}"/>
    <cellStyle name="40% - Accent5 10 3" xfId="3613" xr:uid="{00000000-0005-0000-0000-0000730D0000}"/>
    <cellStyle name="40% - Accent5 10 4" xfId="4900" xr:uid="{00000000-0005-0000-0000-0000740D0000}"/>
    <cellStyle name="40% - Accent5 11" xfId="1483" xr:uid="{00000000-0005-0000-0000-0000750D0000}"/>
    <cellStyle name="40% - Accent5 12" xfId="2761" xr:uid="{00000000-0005-0000-0000-0000760D0000}"/>
    <cellStyle name="40% - Accent5 13" xfId="4048" xr:uid="{00000000-0005-0000-0000-0000770D0000}"/>
    <cellStyle name="40% - Accent5 14" xfId="5286" xr:uid="{00000000-0005-0000-0000-0000780D0000}"/>
    <cellStyle name="40% - Accent5 2" xfId="20" xr:uid="{00000000-0005-0000-0000-0000790D0000}"/>
    <cellStyle name="40% - Accent5 2 10" xfId="1484" xr:uid="{00000000-0005-0000-0000-00007A0D0000}"/>
    <cellStyle name="40% - Accent5 2 11" xfId="2762" xr:uid="{00000000-0005-0000-0000-00007B0D0000}"/>
    <cellStyle name="40% - Accent5 2 12" xfId="4049" xr:uid="{00000000-0005-0000-0000-00007C0D0000}"/>
    <cellStyle name="40% - Accent5 2 13" xfId="5287" xr:uid="{00000000-0005-0000-0000-00007D0D0000}"/>
    <cellStyle name="40% - Accent5 2 2" xfId="183" xr:uid="{00000000-0005-0000-0000-00007E0D0000}"/>
    <cellStyle name="40% - Accent5 2 2 2" xfId="184" xr:uid="{00000000-0005-0000-0000-00007F0D0000}"/>
    <cellStyle name="40% - Accent5 2 2 2 2" xfId="407" xr:uid="{00000000-0005-0000-0000-0000800D0000}"/>
    <cellStyle name="40% - Accent5 2 2 2 2 2" xfId="833" xr:uid="{00000000-0005-0000-0000-0000810D0000}"/>
    <cellStyle name="40% - Accent5 2 2 2 2 2 2" xfId="2125" xr:uid="{00000000-0005-0000-0000-0000820D0000}"/>
    <cellStyle name="40% - Accent5 2 2 2 2 2 3" xfId="3403" xr:uid="{00000000-0005-0000-0000-0000830D0000}"/>
    <cellStyle name="40% - Accent5 2 2 2 2 2 4" xfId="4690" xr:uid="{00000000-0005-0000-0000-0000840D0000}"/>
    <cellStyle name="40% - Accent5 2 2 2 2 3" xfId="1259" xr:uid="{00000000-0005-0000-0000-0000850D0000}"/>
    <cellStyle name="40% - Accent5 2 2 2 2 3 2" xfId="2551" xr:uid="{00000000-0005-0000-0000-0000860D0000}"/>
    <cellStyle name="40% - Accent5 2 2 2 2 3 3" xfId="3829" xr:uid="{00000000-0005-0000-0000-0000870D0000}"/>
    <cellStyle name="40% - Accent5 2 2 2 2 3 4" xfId="5116" xr:uid="{00000000-0005-0000-0000-0000880D0000}"/>
    <cellStyle name="40% - Accent5 2 2 2 2 4" xfId="1699" xr:uid="{00000000-0005-0000-0000-0000890D0000}"/>
    <cellStyle name="40% - Accent5 2 2 2 2 5" xfId="2977" xr:uid="{00000000-0005-0000-0000-00008A0D0000}"/>
    <cellStyle name="40% - Accent5 2 2 2 2 6" xfId="4264" xr:uid="{00000000-0005-0000-0000-00008B0D0000}"/>
    <cellStyle name="40% - Accent5 2 2 2 3" xfId="620" xr:uid="{00000000-0005-0000-0000-00008C0D0000}"/>
    <cellStyle name="40% - Accent5 2 2 2 3 2" xfId="1912" xr:uid="{00000000-0005-0000-0000-00008D0D0000}"/>
    <cellStyle name="40% - Accent5 2 2 2 3 3" xfId="3190" xr:uid="{00000000-0005-0000-0000-00008E0D0000}"/>
    <cellStyle name="40% - Accent5 2 2 2 3 4" xfId="4477" xr:uid="{00000000-0005-0000-0000-00008F0D0000}"/>
    <cellStyle name="40% - Accent5 2 2 2 4" xfId="1046" xr:uid="{00000000-0005-0000-0000-0000900D0000}"/>
    <cellStyle name="40% - Accent5 2 2 2 4 2" xfId="2338" xr:uid="{00000000-0005-0000-0000-0000910D0000}"/>
    <cellStyle name="40% - Accent5 2 2 2 4 3" xfId="3616" xr:uid="{00000000-0005-0000-0000-0000920D0000}"/>
    <cellStyle name="40% - Accent5 2 2 2 4 4" xfId="4903" xr:uid="{00000000-0005-0000-0000-0000930D0000}"/>
    <cellStyle name="40% - Accent5 2 2 2 5" xfId="1486" xr:uid="{00000000-0005-0000-0000-0000940D0000}"/>
    <cellStyle name="40% - Accent5 2 2 2 6" xfId="2764" xr:uid="{00000000-0005-0000-0000-0000950D0000}"/>
    <cellStyle name="40% - Accent5 2 2 2 7" xfId="4051" xr:uid="{00000000-0005-0000-0000-0000960D0000}"/>
    <cellStyle name="40% - Accent5 2 2 2 8" xfId="5289" xr:uid="{00000000-0005-0000-0000-0000970D0000}"/>
    <cellStyle name="40% - Accent5 2 2 3" xfId="406" xr:uid="{00000000-0005-0000-0000-0000980D0000}"/>
    <cellStyle name="40% - Accent5 2 2 3 2" xfId="832" xr:uid="{00000000-0005-0000-0000-0000990D0000}"/>
    <cellStyle name="40% - Accent5 2 2 3 2 2" xfId="2124" xr:uid="{00000000-0005-0000-0000-00009A0D0000}"/>
    <cellStyle name="40% - Accent5 2 2 3 2 3" xfId="3402" xr:uid="{00000000-0005-0000-0000-00009B0D0000}"/>
    <cellStyle name="40% - Accent5 2 2 3 2 4" xfId="4689" xr:uid="{00000000-0005-0000-0000-00009C0D0000}"/>
    <cellStyle name="40% - Accent5 2 2 3 3" xfId="1258" xr:uid="{00000000-0005-0000-0000-00009D0D0000}"/>
    <cellStyle name="40% - Accent5 2 2 3 3 2" xfId="2550" xr:uid="{00000000-0005-0000-0000-00009E0D0000}"/>
    <cellStyle name="40% - Accent5 2 2 3 3 3" xfId="3828" xr:uid="{00000000-0005-0000-0000-00009F0D0000}"/>
    <cellStyle name="40% - Accent5 2 2 3 3 4" xfId="5115" xr:uid="{00000000-0005-0000-0000-0000A00D0000}"/>
    <cellStyle name="40% - Accent5 2 2 3 4" xfId="1698" xr:uid="{00000000-0005-0000-0000-0000A10D0000}"/>
    <cellStyle name="40% - Accent5 2 2 3 5" xfId="2976" xr:uid="{00000000-0005-0000-0000-0000A20D0000}"/>
    <cellStyle name="40% - Accent5 2 2 3 6" xfId="4263" xr:uid="{00000000-0005-0000-0000-0000A30D0000}"/>
    <cellStyle name="40% - Accent5 2 2 4" xfId="619" xr:uid="{00000000-0005-0000-0000-0000A40D0000}"/>
    <cellStyle name="40% - Accent5 2 2 4 2" xfId="1911" xr:uid="{00000000-0005-0000-0000-0000A50D0000}"/>
    <cellStyle name="40% - Accent5 2 2 4 3" xfId="3189" xr:uid="{00000000-0005-0000-0000-0000A60D0000}"/>
    <cellStyle name="40% - Accent5 2 2 4 4" xfId="4476" xr:uid="{00000000-0005-0000-0000-0000A70D0000}"/>
    <cellStyle name="40% - Accent5 2 2 5" xfId="1045" xr:uid="{00000000-0005-0000-0000-0000A80D0000}"/>
    <cellStyle name="40% - Accent5 2 2 5 2" xfId="2337" xr:uid="{00000000-0005-0000-0000-0000A90D0000}"/>
    <cellStyle name="40% - Accent5 2 2 5 3" xfId="3615" xr:uid="{00000000-0005-0000-0000-0000AA0D0000}"/>
    <cellStyle name="40% - Accent5 2 2 5 4" xfId="4902" xr:uid="{00000000-0005-0000-0000-0000AB0D0000}"/>
    <cellStyle name="40% - Accent5 2 2 6" xfId="1485" xr:uid="{00000000-0005-0000-0000-0000AC0D0000}"/>
    <cellStyle name="40% - Accent5 2 2 7" xfId="2763" xr:uid="{00000000-0005-0000-0000-0000AD0D0000}"/>
    <cellStyle name="40% - Accent5 2 2 8" xfId="4050" xr:uid="{00000000-0005-0000-0000-0000AE0D0000}"/>
    <cellStyle name="40% - Accent5 2 2 9" xfId="5288" xr:uid="{00000000-0005-0000-0000-0000AF0D0000}"/>
    <cellStyle name="40% - Accent5 2 3" xfId="185" xr:uid="{00000000-0005-0000-0000-0000B00D0000}"/>
    <cellStyle name="40% - Accent5 2 3 2" xfId="408" xr:uid="{00000000-0005-0000-0000-0000B10D0000}"/>
    <cellStyle name="40% - Accent5 2 3 2 2" xfId="834" xr:uid="{00000000-0005-0000-0000-0000B20D0000}"/>
    <cellStyle name="40% - Accent5 2 3 2 2 2" xfId="2126" xr:uid="{00000000-0005-0000-0000-0000B30D0000}"/>
    <cellStyle name="40% - Accent5 2 3 2 2 3" xfId="3404" xr:uid="{00000000-0005-0000-0000-0000B40D0000}"/>
    <cellStyle name="40% - Accent5 2 3 2 2 4" xfId="4691" xr:uid="{00000000-0005-0000-0000-0000B50D0000}"/>
    <cellStyle name="40% - Accent5 2 3 2 3" xfId="1260" xr:uid="{00000000-0005-0000-0000-0000B60D0000}"/>
    <cellStyle name="40% - Accent5 2 3 2 3 2" xfId="2552" xr:uid="{00000000-0005-0000-0000-0000B70D0000}"/>
    <cellStyle name="40% - Accent5 2 3 2 3 3" xfId="3830" xr:uid="{00000000-0005-0000-0000-0000B80D0000}"/>
    <cellStyle name="40% - Accent5 2 3 2 3 4" xfId="5117" xr:uid="{00000000-0005-0000-0000-0000B90D0000}"/>
    <cellStyle name="40% - Accent5 2 3 2 4" xfId="1700" xr:uid="{00000000-0005-0000-0000-0000BA0D0000}"/>
    <cellStyle name="40% - Accent5 2 3 2 5" xfId="2978" xr:uid="{00000000-0005-0000-0000-0000BB0D0000}"/>
    <cellStyle name="40% - Accent5 2 3 2 6" xfId="4265" xr:uid="{00000000-0005-0000-0000-0000BC0D0000}"/>
    <cellStyle name="40% - Accent5 2 3 3" xfId="621" xr:uid="{00000000-0005-0000-0000-0000BD0D0000}"/>
    <cellStyle name="40% - Accent5 2 3 3 2" xfId="1913" xr:uid="{00000000-0005-0000-0000-0000BE0D0000}"/>
    <cellStyle name="40% - Accent5 2 3 3 3" xfId="3191" xr:uid="{00000000-0005-0000-0000-0000BF0D0000}"/>
    <cellStyle name="40% - Accent5 2 3 3 4" xfId="4478" xr:uid="{00000000-0005-0000-0000-0000C00D0000}"/>
    <cellStyle name="40% - Accent5 2 3 4" xfId="1047" xr:uid="{00000000-0005-0000-0000-0000C10D0000}"/>
    <cellStyle name="40% - Accent5 2 3 4 2" xfId="2339" xr:uid="{00000000-0005-0000-0000-0000C20D0000}"/>
    <cellStyle name="40% - Accent5 2 3 4 3" xfId="3617" xr:uid="{00000000-0005-0000-0000-0000C30D0000}"/>
    <cellStyle name="40% - Accent5 2 3 4 4" xfId="4904" xr:uid="{00000000-0005-0000-0000-0000C40D0000}"/>
    <cellStyle name="40% - Accent5 2 3 5" xfId="1487" xr:uid="{00000000-0005-0000-0000-0000C50D0000}"/>
    <cellStyle name="40% - Accent5 2 3 6" xfId="2765" xr:uid="{00000000-0005-0000-0000-0000C60D0000}"/>
    <cellStyle name="40% - Accent5 2 3 7" xfId="4052" xr:uid="{00000000-0005-0000-0000-0000C70D0000}"/>
    <cellStyle name="40% - Accent5 2 3 8" xfId="5290" xr:uid="{00000000-0005-0000-0000-0000C80D0000}"/>
    <cellStyle name="40% - Accent5 2 4" xfId="186" xr:uid="{00000000-0005-0000-0000-0000C90D0000}"/>
    <cellStyle name="40% - Accent5 2 4 2" xfId="409" xr:uid="{00000000-0005-0000-0000-0000CA0D0000}"/>
    <cellStyle name="40% - Accent5 2 4 2 2" xfId="835" xr:uid="{00000000-0005-0000-0000-0000CB0D0000}"/>
    <cellStyle name="40% - Accent5 2 4 2 2 2" xfId="2127" xr:uid="{00000000-0005-0000-0000-0000CC0D0000}"/>
    <cellStyle name="40% - Accent5 2 4 2 2 3" xfId="3405" xr:uid="{00000000-0005-0000-0000-0000CD0D0000}"/>
    <cellStyle name="40% - Accent5 2 4 2 2 4" xfId="4692" xr:uid="{00000000-0005-0000-0000-0000CE0D0000}"/>
    <cellStyle name="40% - Accent5 2 4 2 3" xfId="1261" xr:uid="{00000000-0005-0000-0000-0000CF0D0000}"/>
    <cellStyle name="40% - Accent5 2 4 2 3 2" xfId="2553" xr:uid="{00000000-0005-0000-0000-0000D00D0000}"/>
    <cellStyle name="40% - Accent5 2 4 2 3 3" xfId="3831" xr:uid="{00000000-0005-0000-0000-0000D10D0000}"/>
    <cellStyle name="40% - Accent5 2 4 2 3 4" xfId="5118" xr:uid="{00000000-0005-0000-0000-0000D20D0000}"/>
    <cellStyle name="40% - Accent5 2 4 2 4" xfId="1701" xr:uid="{00000000-0005-0000-0000-0000D30D0000}"/>
    <cellStyle name="40% - Accent5 2 4 2 5" xfId="2979" xr:uid="{00000000-0005-0000-0000-0000D40D0000}"/>
    <cellStyle name="40% - Accent5 2 4 2 6" xfId="4266" xr:uid="{00000000-0005-0000-0000-0000D50D0000}"/>
    <cellStyle name="40% - Accent5 2 4 3" xfId="622" xr:uid="{00000000-0005-0000-0000-0000D60D0000}"/>
    <cellStyle name="40% - Accent5 2 4 3 2" xfId="1914" xr:uid="{00000000-0005-0000-0000-0000D70D0000}"/>
    <cellStyle name="40% - Accent5 2 4 3 3" xfId="3192" xr:uid="{00000000-0005-0000-0000-0000D80D0000}"/>
    <cellStyle name="40% - Accent5 2 4 3 4" xfId="4479" xr:uid="{00000000-0005-0000-0000-0000D90D0000}"/>
    <cellStyle name="40% - Accent5 2 4 4" xfId="1048" xr:uid="{00000000-0005-0000-0000-0000DA0D0000}"/>
    <cellStyle name="40% - Accent5 2 4 4 2" xfId="2340" xr:uid="{00000000-0005-0000-0000-0000DB0D0000}"/>
    <cellStyle name="40% - Accent5 2 4 4 3" xfId="3618" xr:uid="{00000000-0005-0000-0000-0000DC0D0000}"/>
    <cellStyle name="40% - Accent5 2 4 4 4" xfId="4905" xr:uid="{00000000-0005-0000-0000-0000DD0D0000}"/>
    <cellStyle name="40% - Accent5 2 4 5" xfId="1488" xr:uid="{00000000-0005-0000-0000-0000DE0D0000}"/>
    <cellStyle name="40% - Accent5 2 4 6" xfId="2766" xr:uid="{00000000-0005-0000-0000-0000DF0D0000}"/>
    <cellStyle name="40% - Accent5 2 4 7" xfId="4053" xr:uid="{00000000-0005-0000-0000-0000E00D0000}"/>
    <cellStyle name="40% - Accent5 2 5" xfId="187" xr:uid="{00000000-0005-0000-0000-0000E10D0000}"/>
    <cellStyle name="40% - Accent5 2 5 2" xfId="410" xr:uid="{00000000-0005-0000-0000-0000E20D0000}"/>
    <cellStyle name="40% - Accent5 2 5 2 2" xfId="836" xr:uid="{00000000-0005-0000-0000-0000E30D0000}"/>
    <cellStyle name="40% - Accent5 2 5 2 2 2" xfId="2128" xr:uid="{00000000-0005-0000-0000-0000E40D0000}"/>
    <cellStyle name="40% - Accent5 2 5 2 2 3" xfId="3406" xr:uid="{00000000-0005-0000-0000-0000E50D0000}"/>
    <cellStyle name="40% - Accent5 2 5 2 2 4" xfId="4693" xr:uid="{00000000-0005-0000-0000-0000E60D0000}"/>
    <cellStyle name="40% - Accent5 2 5 2 3" xfId="1262" xr:uid="{00000000-0005-0000-0000-0000E70D0000}"/>
    <cellStyle name="40% - Accent5 2 5 2 3 2" xfId="2554" xr:uid="{00000000-0005-0000-0000-0000E80D0000}"/>
    <cellStyle name="40% - Accent5 2 5 2 3 3" xfId="3832" xr:uid="{00000000-0005-0000-0000-0000E90D0000}"/>
    <cellStyle name="40% - Accent5 2 5 2 3 4" xfId="5119" xr:uid="{00000000-0005-0000-0000-0000EA0D0000}"/>
    <cellStyle name="40% - Accent5 2 5 2 4" xfId="1702" xr:uid="{00000000-0005-0000-0000-0000EB0D0000}"/>
    <cellStyle name="40% - Accent5 2 5 2 5" xfId="2980" xr:uid="{00000000-0005-0000-0000-0000EC0D0000}"/>
    <cellStyle name="40% - Accent5 2 5 2 6" xfId="4267" xr:uid="{00000000-0005-0000-0000-0000ED0D0000}"/>
    <cellStyle name="40% - Accent5 2 5 3" xfId="623" xr:uid="{00000000-0005-0000-0000-0000EE0D0000}"/>
    <cellStyle name="40% - Accent5 2 5 3 2" xfId="1915" xr:uid="{00000000-0005-0000-0000-0000EF0D0000}"/>
    <cellStyle name="40% - Accent5 2 5 3 3" xfId="3193" xr:uid="{00000000-0005-0000-0000-0000F00D0000}"/>
    <cellStyle name="40% - Accent5 2 5 3 4" xfId="4480" xr:uid="{00000000-0005-0000-0000-0000F10D0000}"/>
    <cellStyle name="40% - Accent5 2 5 4" xfId="1049" xr:uid="{00000000-0005-0000-0000-0000F20D0000}"/>
    <cellStyle name="40% - Accent5 2 5 4 2" xfId="2341" xr:uid="{00000000-0005-0000-0000-0000F30D0000}"/>
    <cellStyle name="40% - Accent5 2 5 4 3" xfId="3619" xr:uid="{00000000-0005-0000-0000-0000F40D0000}"/>
    <cellStyle name="40% - Accent5 2 5 4 4" xfId="4906" xr:uid="{00000000-0005-0000-0000-0000F50D0000}"/>
    <cellStyle name="40% - Accent5 2 5 5" xfId="1489" xr:uid="{00000000-0005-0000-0000-0000F60D0000}"/>
    <cellStyle name="40% - Accent5 2 5 6" xfId="2767" xr:uid="{00000000-0005-0000-0000-0000F70D0000}"/>
    <cellStyle name="40% - Accent5 2 5 7" xfId="4054" xr:uid="{00000000-0005-0000-0000-0000F80D0000}"/>
    <cellStyle name="40% - Accent5 2 6" xfId="278" xr:uid="{00000000-0005-0000-0000-0000F90D0000}"/>
    <cellStyle name="40% - Accent5 2 6 2" xfId="491" xr:uid="{00000000-0005-0000-0000-0000FA0D0000}"/>
    <cellStyle name="40% - Accent5 2 6 2 2" xfId="916" xr:uid="{00000000-0005-0000-0000-0000FB0D0000}"/>
    <cellStyle name="40% - Accent5 2 6 2 2 2" xfId="2208" xr:uid="{00000000-0005-0000-0000-0000FC0D0000}"/>
    <cellStyle name="40% - Accent5 2 6 2 2 3" xfId="3486" xr:uid="{00000000-0005-0000-0000-0000FD0D0000}"/>
    <cellStyle name="40% - Accent5 2 6 2 2 4" xfId="4773" xr:uid="{00000000-0005-0000-0000-0000FE0D0000}"/>
    <cellStyle name="40% - Accent5 2 6 2 3" xfId="1342" xr:uid="{00000000-0005-0000-0000-0000FF0D0000}"/>
    <cellStyle name="40% - Accent5 2 6 2 3 2" xfId="2634" xr:uid="{00000000-0005-0000-0000-0000000E0000}"/>
    <cellStyle name="40% - Accent5 2 6 2 3 3" xfId="3912" xr:uid="{00000000-0005-0000-0000-0000010E0000}"/>
    <cellStyle name="40% - Accent5 2 6 2 3 4" xfId="5199" xr:uid="{00000000-0005-0000-0000-0000020E0000}"/>
    <cellStyle name="40% - Accent5 2 6 2 4" xfId="1782" xr:uid="{00000000-0005-0000-0000-0000030E0000}"/>
    <cellStyle name="40% - Accent5 2 6 2 5" xfId="3060" xr:uid="{00000000-0005-0000-0000-0000040E0000}"/>
    <cellStyle name="40% - Accent5 2 6 2 6" xfId="4347" xr:uid="{00000000-0005-0000-0000-0000050E0000}"/>
    <cellStyle name="40% - Accent5 2 6 3" xfId="703" xr:uid="{00000000-0005-0000-0000-0000060E0000}"/>
    <cellStyle name="40% - Accent5 2 6 3 2" xfId="1995" xr:uid="{00000000-0005-0000-0000-0000070E0000}"/>
    <cellStyle name="40% - Accent5 2 6 3 3" xfId="3273" xr:uid="{00000000-0005-0000-0000-0000080E0000}"/>
    <cellStyle name="40% - Accent5 2 6 3 4" xfId="4560" xr:uid="{00000000-0005-0000-0000-0000090E0000}"/>
    <cellStyle name="40% - Accent5 2 6 4" xfId="1129" xr:uid="{00000000-0005-0000-0000-00000A0E0000}"/>
    <cellStyle name="40% - Accent5 2 6 4 2" xfId="2421" xr:uid="{00000000-0005-0000-0000-00000B0E0000}"/>
    <cellStyle name="40% - Accent5 2 6 4 3" xfId="3699" xr:uid="{00000000-0005-0000-0000-00000C0E0000}"/>
    <cellStyle name="40% - Accent5 2 6 4 4" xfId="4986" xr:uid="{00000000-0005-0000-0000-00000D0E0000}"/>
    <cellStyle name="40% - Accent5 2 6 5" xfId="1569" xr:uid="{00000000-0005-0000-0000-00000E0E0000}"/>
    <cellStyle name="40% - Accent5 2 6 6" xfId="2847" xr:uid="{00000000-0005-0000-0000-00000F0E0000}"/>
    <cellStyle name="40% - Accent5 2 6 7" xfId="4134" xr:uid="{00000000-0005-0000-0000-0000100E0000}"/>
    <cellStyle name="40% - Accent5 2 7" xfId="405" xr:uid="{00000000-0005-0000-0000-0000110E0000}"/>
    <cellStyle name="40% - Accent5 2 7 2" xfId="831" xr:uid="{00000000-0005-0000-0000-0000120E0000}"/>
    <cellStyle name="40% - Accent5 2 7 2 2" xfId="2123" xr:uid="{00000000-0005-0000-0000-0000130E0000}"/>
    <cellStyle name="40% - Accent5 2 7 2 3" xfId="3401" xr:uid="{00000000-0005-0000-0000-0000140E0000}"/>
    <cellStyle name="40% - Accent5 2 7 2 4" xfId="4688" xr:uid="{00000000-0005-0000-0000-0000150E0000}"/>
    <cellStyle name="40% - Accent5 2 7 3" xfId="1257" xr:uid="{00000000-0005-0000-0000-0000160E0000}"/>
    <cellStyle name="40% - Accent5 2 7 3 2" xfId="2549" xr:uid="{00000000-0005-0000-0000-0000170E0000}"/>
    <cellStyle name="40% - Accent5 2 7 3 3" xfId="3827" xr:uid="{00000000-0005-0000-0000-0000180E0000}"/>
    <cellStyle name="40% - Accent5 2 7 3 4" xfId="5114" xr:uid="{00000000-0005-0000-0000-0000190E0000}"/>
    <cellStyle name="40% - Accent5 2 7 4" xfId="1697" xr:uid="{00000000-0005-0000-0000-00001A0E0000}"/>
    <cellStyle name="40% - Accent5 2 7 5" xfId="2975" xr:uid="{00000000-0005-0000-0000-00001B0E0000}"/>
    <cellStyle name="40% - Accent5 2 7 6" xfId="4262" xr:uid="{00000000-0005-0000-0000-00001C0E0000}"/>
    <cellStyle name="40% - Accent5 2 8" xfId="618" xr:uid="{00000000-0005-0000-0000-00001D0E0000}"/>
    <cellStyle name="40% - Accent5 2 8 2" xfId="1910" xr:uid="{00000000-0005-0000-0000-00001E0E0000}"/>
    <cellStyle name="40% - Accent5 2 8 3" xfId="3188" xr:uid="{00000000-0005-0000-0000-00001F0E0000}"/>
    <cellStyle name="40% - Accent5 2 8 4" xfId="4475" xr:uid="{00000000-0005-0000-0000-0000200E0000}"/>
    <cellStyle name="40% - Accent5 2 9" xfId="1044" xr:uid="{00000000-0005-0000-0000-0000210E0000}"/>
    <cellStyle name="40% - Accent5 2 9 2" xfId="2336" xr:uid="{00000000-0005-0000-0000-0000220E0000}"/>
    <cellStyle name="40% - Accent5 2 9 3" xfId="3614" xr:uid="{00000000-0005-0000-0000-0000230E0000}"/>
    <cellStyle name="40% - Accent5 2 9 4" xfId="4901" xr:uid="{00000000-0005-0000-0000-0000240E0000}"/>
    <cellStyle name="40% - Accent5 3" xfId="188" xr:uid="{00000000-0005-0000-0000-0000250E0000}"/>
    <cellStyle name="40% - Accent5 3 2" xfId="189" xr:uid="{00000000-0005-0000-0000-0000260E0000}"/>
    <cellStyle name="40% - Accent5 3 2 2" xfId="412" xr:uid="{00000000-0005-0000-0000-0000270E0000}"/>
    <cellStyle name="40% - Accent5 3 2 2 2" xfId="838" xr:uid="{00000000-0005-0000-0000-0000280E0000}"/>
    <cellStyle name="40% - Accent5 3 2 2 2 2" xfId="2130" xr:uid="{00000000-0005-0000-0000-0000290E0000}"/>
    <cellStyle name="40% - Accent5 3 2 2 2 3" xfId="3408" xr:uid="{00000000-0005-0000-0000-00002A0E0000}"/>
    <cellStyle name="40% - Accent5 3 2 2 2 4" xfId="4695" xr:uid="{00000000-0005-0000-0000-00002B0E0000}"/>
    <cellStyle name="40% - Accent5 3 2 2 3" xfId="1264" xr:uid="{00000000-0005-0000-0000-00002C0E0000}"/>
    <cellStyle name="40% - Accent5 3 2 2 3 2" xfId="2556" xr:uid="{00000000-0005-0000-0000-00002D0E0000}"/>
    <cellStyle name="40% - Accent5 3 2 2 3 3" xfId="3834" xr:uid="{00000000-0005-0000-0000-00002E0E0000}"/>
    <cellStyle name="40% - Accent5 3 2 2 3 4" xfId="5121" xr:uid="{00000000-0005-0000-0000-00002F0E0000}"/>
    <cellStyle name="40% - Accent5 3 2 2 4" xfId="1704" xr:uid="{00000000-0005-0000-0000-0000300E0000}"/>
    <cellStyle name="40% - Accent5 3 2 2 5" xfId="2982" xr:uid="{00000000-0005-0000-0000-0000310E0000}"/>
    <cellStyle name="40% - Accent5 3 2 2 6" xfId="4269" xr:uid="{00000000-0005-0000-0000-0000320E0000}"/>
    <cellStyle name="40% - Accent5 3 2 3" xfId="625" xr:uid="{00000000-0005-0000-0000-0000330E0000}"/>
    <cellStyle name="40% - Accent5 3 2 3 2" xfId="1917" xr:uid="{00000000-0005-0000-0000-0000340E0000}"/>
    <cellStyle name="40% - Accent5 3 2 3 3" xfId="3195" xr:uid="{00000000-0005-0000-0000-0000350E0000}"/>
    <cellStyle name="40% - Accent5 3 2 3 4" xfId="4482" xr:uid="{00000000-0005-0000-0000-0000360E0000}"/>
    <cellStyle name="40% - Accent5 3 2 4" xfId="1051" xr:uid="{00000000-0005-0000-0000-0000370E0000}"/>
    <cellStyle name="40% - Accent5 3 2 4 2" xfId="2343" xr:uid="{00000000-0005-0000-0000-0000380E0000}"/>
    <cellStyle name="40% - Accent5 3 2 4 3" xfId="3621" xr:uid="{00000000-0005-0000-0000-0000390E0000}"/>
    <cellStyle name="40% - Accent5 3 2 4 4" xfId="4908" xr:uid="{00000000-0005-0000-0000-00003A0E0000}"/>
    <cellStyle name="40% - Accent5 3 2 5" xfId="1491" xr:uid="{00000000-0005-0000-0000-00003B0E0000}"/>
    <cellStyle name="40% - Accent5 3 2 6" xfId="2769" xr:uid="{00000000-0005-0000-0000-00003C0E0000}"/>
    <cellStyle name="40% - Accent5 3 2 7" xfId="4056" xr:uid="{00000000-0005-0000-0000-00003D0E0000}"/>
    <cellStyle name="40% - Accent5 3 2 8" xfId="5292" xr:uid="{00000000-0005-0000-0000-00003E0E0000}"/>
    <cellStyle name="40% - Accent5 3 3" xfId="411" xr:uid="{00000000-0005-0000-0000-00003F0E0000}"/>
    <cellStyle name="40% - Accent5 3 3 2" xfId="837" xr:uid="{00000000-0005-0000-0000-0000400E0000}"/>
    <cellStyle name="40% - Accent5 3 3 2 2" xfId="2129" xr:uid="{00000000-0005-0000-0000-0000410E0000}"/>
    <cellStyle name="40% - Accent5 3 3 2 3" xfId="3407" xr:uid="{00000000-0005-0000-0000-0000420E0000}"/>
    <cellStyle name="40% - Accent5 3 3 2 4" xfId="4694" xr:uid="{00000000-0005-0000-0000-0000430E0000}"/>
    <cellStyle name="40% - Accent5 3 3 3" xfId="1263" xr:uid="{00000000-0005-0000-0000-0000440E0000}"/>
    <cellStyle name="40% - Accent5 3 3 3 2" xfId="2555" xr:uid="{00000000-0005-0000-0000-0000450E0000}"/>
    <cellStyle name="40% - Accent5 3 3 3 3" xfId="3833" xr:uid="{00000000-0005-0000-0000-0000460E0000}"/>
    <cellStyle name="40% - Accent5 3 3 3 4" xfId="5120" xr:uid="{00000000-0005-0000-0000-0000470E0000}"/>
    <cellStyle name="40% - Accent5 3 3 4" xfId="1703" xr:uid="{00000000-0005-0000-0000-0000480E0000}"/>
    <cellStyle name="40% - Accent5 3 3 5" xfId="2981" xr:uid="{00000000-0005-0000-0000-0000490E0000}"/>
    <cellStyle name="40% - Accent5 3 3 6" xfId="4268" xr:uid="{00000000-0005-0000-0000-00004A0E0000}"/>
    <cellStyle name="40% - Accent5 3 4" xfId="624" xr:uid="{00000000-0005-0000-0000-00004B0E0000}"/>
    <cellStyle name="40% - Accent5 3 4 2" xfId="1916" xr:uid="{00000000-0005-0000-0000-00004C0E0000}"/>
    <cellStyle name="40% - Accent5 3 4 3" xfId="3194" xr:uid="{00000000-0005-0000-0000-00004D0E0000}"/>
    <cellStyle name="40% - Accent5 3 4 4" xfId="4481" xr:uid="{00000000-0005-0000-0000-00004E0E0000}"/>
    <cellStyle name="40% - Accent5 3 5" xfId="1050" xr:uid="{00000000-0005-0000-0000-00004F0E0000}"/>
    <cellStyle name="40% - Accent5 3 5 2" xfId="2342" xr:uid="{00000000-0005-0000-0000-0000500E0000}"/>
    <cellStyle name="40% - Accent5 3 5 3" xfId="3620" xr:uid="{00000000-0005-0000-0000-0000510E0000}"/>
    <cellStyle name="40% - Accent5 3 5 4" xfId="4907" xr:uid="{00000000-0005-0000-0000-0000520E0000}"/>
    <cellStyle name="40% - Accent5 3 6" xfId="1490" xr:uid="{00000000-0005-0000-0000-0000530E0000}"/>
    <cellStyle name="40% - Accent5 3 7" xfId="2768" xr:uid="{00000000-0005-0000-0000-0000540E0000}"/>
    <cellStyle name="40% - Accent5 3 8" xfId="4055" xr:uid="{00000000-0005-0000-0000-0000550E0000}"/>
    <cellStyle name="40% - Accent5 3 9" xfId="5291" xr:uid="{00000000-0005-0000-0000-0000560E0000}"/>
    <cellStyle name="40% - Accent5 4" xfId="190" xr:uid="{00000000-0005-0000-0000-0000570E0000}"/>
    <cellStyle name="40% - Accent5 4 2" xfId="413" xr:uid="{00000000-0005-0000-0000-0000580E0000}"/>
    <cellStyle name="40% - Accent5 4 2 2" xfId="839" xr:uid="{00000000-0005-0000-0000-0000590E0000}"/>
    <cellStyle name="40% - Accent5 4 2 2 2" xfId="2131" xr:uid="{00000000-0005-0000-0000-00005A0E0000}"/>
    <cellStyle name="40% - Accent5 4 2 2 3" xfId="3409" xr:uid="{00000000-0005-0000-0000-00005B0E0000}"/>
    <cellStyle name="40% - Accent5 4 2 2 4" xfId="4696" xr:uid="{00000000-0005-0000-0000-00005C0E0000}"/>
    <cellStyle name="40% - Accent5 4 2 3" xfId="1265" xr:uid="{00000000-0005-0000-0000-00005D0E0000}"/>
    <cellStyle name="40% - Accent5 4 2 3 2" xfId="2557" xr:uid="{00000000-0005-0000-0000-00005E0E0000}"/>
    <cellStyle name="40% - Accent5 4 2 3 3" xfId="3835" xr:uid="{00000000-0005-0000-0000-00005F0E0000}"/>
    <cellStyle name="40% - Accent5 4 2 3 4" xfId="5122" xr:uid="{00000000-0005-0000-0000-0000600E0000}"/>
    <cellStyle name="40% - Accent5 4 2 4" xfId="1705" xr:uid="{00000000-0005-0000-0000-0000610E0000}"/>
    <cellStyle name="40% - Accent5 4 2 5" xfId="2983" xr:uid="{00000000-0005-0000-0000-0000620E0000}"/>
    <cellStyle name="40% - Accent5 4 2 6" xfId="4270" xr:uid="{00000000-0005-0000-0000-0000630E0000}"/>
    <cellStyle name="40% - Accent5 4 3" xfId="626" xr:uid="{00000000-0005-0000-0000-0000640E0000}"/>
    <cellStyle name="40% - Accent5 4 3 2" xfId="1918" xr:uid="{00000000-0005-0000-0000-0000650E0000}"/>
    <cellStyle name="40% - Accent5 4 3 3" xfId="3196" xr:uid="{00000000-0005-0000-0000-0000660E0000}"/>
    <cellStyle name="40% - Accent5 4 3 4" xfId="4483" xr:uid="{00000000-0005-0000-0000-0000670E0000}"/>
    <cellStyle name="40% - Accent5 4 4" xfId="1052" xr:uid="{00000000-0005-0000-0000-0000680E0000}"/>
    <cellStyle name="40% - Accent5 4 4 2" xfId="2344" xr:uid="{00000000-0005-0000-0000-0000690E0000}"/>
    <cellStyle name="40% - Accent5 4 4 3" xfId="3622" xr:uid="{00000000-0005-0000-0000-00006A0E0000}"/>
    <cellStyle name="40% - Accent5 4 4 4" xfId="4909" xr:uid="{00000000-0005-0000-0000-00006B0E0000}"/>
    <cellStyle name="40% - Accent5 4 5" xfId="1492" xr:uid="{00000000-0005-0000-0000-00006C0E0000}"/>
    <cellStyle name="40% - Accent5 4 6" xfId="2770" xr:uid="{00000000-0005-0000-0000-00006D0E0000}"/>
    <cellStyle name="40% - Accent5 4 7" xfId="4057" xr:uid="{00000000-0005-0000-0000-00006E0E0000}"/>
    <cellStyle name="40% - Accent5 4 8" xfId="5293" xr:uid="{00000000-0005-0000-0000-00006F0E0000}"/>
    <cellStyle name="40% - Accent5 5" xfId="191" xr:uid="{00000000-0005-0000-0000-0000700E0000}"/>
    <cellStyle name="40% - Accent5 5 2" xfId="414" xr:uid="{00000000-0005-0000-0000-0000710E0000}"/>
    <cellStyle name="40% - Accent5 5 2 2" xfId="840" xr:uid="{00000000-0005-0000-0000-0000720E0000}"/>
    <cellStyle name="40% - Accent5 5 2 2 2" xfId="2132" xr:uid="{00000000-0005-0000-0000-0000730E0000}"/>
    <cellStyle name="40% - Accent5 5 2 2 3" xfId="3410" xr:uid="{00000000-0005-0000-0000-0000740E0000}"/>
    <cellStyle name="40% - Accent5 5 2 2 4" xfId="4697" xr:uid="{00000000-0005-0000-0000-0000750E0000}"/>
    <cellStyle name="40% - Accent5 5 2 3" xfId="1266" xr:uid="{00000000-0005-0000-0000-0000760E0000}"/>
    <cellStyle name="40% - Accent5 5 2 3 2" xfId="2558" xr:uid="{00000000-0005-0000-0000-0000770E0000}"/>
    <cellStyle name="40% - Accent5 5 2 3 3" xfId="3836" xr:uid="{00000000-0005-0000-0000-0000780E0000}"/>
    <cellStyle name="40% - Accent5 5 2 3 4" xfId="5123" xr:uid="{00000000-0005-0000-0000-0000790E0000}"/>
    <cellStyle name="40% - Accent5 5 2 4" xfId="1706" xr:uid="{00000000-0005-0000-0000-00007A0E0000}"/>
    <cellStyle name="40% - Accent5 5 2 5" xfId="2984" xr:uid="{00000000-0005-0000-0000-00007B0E0000}"/>
    <cellStyle name="40% - Accent5 5 2 6" xfId="4271" xr:uid="{00000000-0005-0000-0000-00007C0E0000}"/>
    <cellStyle name="40% - Accent5 5 3" xfId="627" xr:uid="{00000000-0005-0000-0000-00007D0E0000}"/>
    <cellStyle name="40% - Accent5 5 3 2" xfId="1919" xr:uid="{00000000-0005-0000-0000-00007E0E0000}"/>
    <cellStyle name="40% - Accent5 5 3 3" xfId="3197" xr:uid="{00000000-0005-0000-0000-00007F0E0000}"/>
    <cellStyle name="40% - Accent5 5 3 4" xfId="4484" xr:uid="{00000000-0005-0000-0000-0000800E0000}"/>
    <cellStyle name="40% - Accent5 5 4" xfId="1053" xr:uid="{00000000-0005-0000-0000-0000810E0000}"/>
    <cellStyle name="40% - Accent5 5 4 2" xfId="2345" xr:uid="{00000000-0005-0000-0000-0000820E0000}"/>
    <cellStyle name="40% - Accent5 5 4 3" xfId="3623" xr:uid="{00000000-0005-0000-0000-0000830E0000}"/>
    <cellStyle name="40% - Accent5 5 4 4" xfId="4910" xr:uid="{00000000-0005-0000-0000-0000840E0000}"/>
    <cellStyle name="40% - Accent5 5 5" xfId="1493" xr:uid="{00000000-0005-0000-0000-0000850E0000}"/>
    <cellStyle name="40% - Accent5 5 6" xfId="2771" xr:uid="{00000000-0005-0000-0000-0000860E0000}"/>
    <cellStyle name="40% - Accent5 5 7" xfId="4058" xr:uid="{00000000-0005-0000-0000-0000870E0000}"/>
    <cellStyle name="40% - Accent5 6" xfId="192" xr:uid="{00000000-0005-0000-0000-0000880E0000}"/>
    <cellStyle name="40% - Accent5 6 2" xfId="415" xr:uid="{00000000-0005-0000-0000-0000890E0000}"/>
    <cellStyle name="40% - Accent5 6 2 2" xfId="841" xr:uid="{00000000-0005-0000-0000-00008A0E0000}"/>
    <cellStyle name="40% - Accent5 6 2 2 2" xfId="2133" xr:uid="{00000000-0005-0000-0000-00008B0E0000}"/>
    <cellStyle name="40% - Accent5 6 2 2 3" xfId="3411" xr:uid="{00000000-0005-0000-0000-00008C0E0000}"/>
    <cellStyle name="40% - Accent5 6 2 2 4" xfId="4698" xr:uid="{00000000-0005-0000-0000-00008D0E0000}"/>
    <cellStyle name="40% - Accent5 6 2 3" xfId="1267" xr:uid="{00000000-0005-0000-0000-00008E0E0000}"/>
    <cellStyle name="40% - Accent5 6 2 3 2" xfId="2559" xr:uid="{00000000-0005-0000-0000-00008F0E0000}"/>
    <cellStyle name="40% - Accent5 6 2 3 3" xfId="3837" xr:uid="{00000000-0005-0000-0000-0000900E0000}"/>
    <cellStyle name="40% - Accent5 6 2 3 4" xfId="5124" xr:uid="{00000000-0005-0000-0000-0000910E0000}"/>
    <cellStyle name="40% - Accent5 6 2 4" xfId="1707" xr:uid="{00000000-0005-0000-0000-0000920E0000}"/>
    <cellStyle name="40% - Accent5 6 2 5" xfId="2985" xr:uid="{00000000-0005-0000-0000-0000930E0000}"/>
    <cellStyle name="40% - Accent5 6 2 6" xfId="4272" xr:uid="{00000000-0005-0000-0000-0000940E0000}"/>
    <cellStyle name="40% - Accent5 6 3" xfId="628" xr:uid="{00000000-0005-0000-0000-0000950E0000}"/>
    <cellStyle name="40% - Accent5 6 3 2" xfId="1920" xr:uid="{00000000-0005-0000-0000-0000960E0000}"/>
    <cellStyle name="40% - Accent5 6 3 3" xfId="3198" xr:uid="{00000000-0005-0000-0000-0000970E0000}"/>
    <cellStyle name="40% - Accent5 6 3 4" xfId="4485" xr:uid="{00000000-0005-0000-0000-0000980E0000}"/>
    <cellStyle name="40% - Accent5 6 4" xfId="1054" xr:uid="{00000000-0005-0000-0000-0000990E0000}"/>
    <cellStyle name="40% - Accent5 6 4 2" xfId="2346" xr:uid="{00000000-0005-0000-0000-00009A0E0000}"/>
    <cellStyle name="40% - Accent5 6 4 3" xfId="3624" xr:uid="{00000000-0005-0000-0000-00009B0E0000}"/>
    <cellStyle name="40% - Accent5 6 4 4" xfId="4911" xr:uid="{00000000-0005-0000-0000-00009C0E0000}"/>
    <cellStyle name="40% - Accent5 6 5" xfId="1494" xr:uid="{00000000-0005-0000-0000-00009D0E0000}"/>
    <cellStyle name="40% - Accent5 6 6" xfId="2772" xr:uid="{00000000-0005-0000-0000-00009E0E0000}"/>
    <cellStyle name="40% - Accent5 6 7" xfId="4059" xr:uid="{00000000-0005-0000-0000-00009F0E0000}"/>
    <cellStyle name="40% - Accent5 7" xfId="264" xr:uid="{00000000-0005-0000-0000-0000A00E0000}"/>
    <cellStyle name="40% - Accent5 7 2" xfId="477" xr:uid="{00000000-0005-0000-0000-0000A10E0000}"/>
    <cellStyle name="40% - Accent5 7 2 2" xfId="902" xr:uid="{00000000-0005-0000-0000-0000A20E0000}"/>
    <cellStyle name="40% - Accent5 7 2 2 2" xfId="2194" xr:uid="{00000000-0005-0000-0000-0000A30E0000}"/>
    <cellStyle name="40% - Accent5 7 2 2 3" xfId="3472" xr:uid="{00000000-0005-0000-0000-0000A40E0000}"/>
    <cellStyle name="40% - Accent5 7 2 2 4" xfId="4759" xr:uid="{00000000-0005-0000-0000-0000A50E0000}"/>
    <cellStyle name="40% - Accent5 7 2 3" xfId="1328" xr:uid="{00000000-0005-0000-0000-0000A60E0000}"/>
    <cellStyle name="40% - Accent5 7 2 3 2" xfId="2620" xr:uid="{00000000-0005-0000-0000-0000A70E0000}"/>
    <cellStyle name="40% - Accent5 7 2 3 3" xfId="3898" xr:uid="{00000000-0005-0000-0000-0000A80E0000}"/>
    <cellStyle name="40% - Accent5 7 2 3 4" xfId="5185" xr:uid="{00000000-0005-0000-0000-0000A90E0000}"/>
    <cellStyle name="40% - Accent5 7 2 4" xfId="1768" xr:uid="{00000000-0005-0000-0000-0000AA0E0000}"/>
    <cellStyle name="40% - Accent5 7 2 5" xfId="3046" xr:uid="{00000000-0005-0000-0000-0000AB0E0000}"/>
    <cellStyle name="40% - Accent5 7 2 6" xfId="4333" xr:uid="{00000000-0005-0000-0000-0000AC0E0000}"/>
    <cellStyle name="40% - Accent5 7 3" xfId="689" xr:uid="{00000000-0005-0000-0000-0000AD0E0000}"/>
    <cellStyle name="40% - Accent5 7 3 2" xfId="1981" xr:uid="{00000000-0005-0000-0000-0000AE0E0000}"/>
    <cellStyle name="40% - Accent5 7 3 3" xfId="3259" xr:uid="{00000000-0005-0000-0000-0000AF0E0000}"/>
    <cellStyle name="40% - Accent5 7 3 4" xfId="4546" xr:uid="{00000000-0005-0000-0000-0000B00E0000}"/>
    <cellStyle name="40% - Accent5 7 4" xfId="1115" xr:uid="{00000000-0005-0000-0000-0000B10E0000}"/>
    <cellStyle name="40% - Accent5 7 4 2" xfId="2407" xr:uid="{00000000-0005-0000-0000-0000B20E0000}"/>
    <cellStyle name="40% - Accent5 7 4 3" xfId="3685" xr:uid="{00000000-0005-0000-0000-0000B30E0000}"/>
    <cellStyle name="40% - Accent5 7 4 4" xfId="4972" xr:uid="{00000000-0005-0000-0000-0000B40E0000}"/>
    <cellStyle name="40% - Accent5 7 5" xfId="1555" xr:uid="{00000000-0005-0000-0000-0000B50E0000}"/>
    <cellStyle name="40% - Accent5 7 6" xfId="2833" xr:uid="{00000000-0005-0000-0000-0000B60E0000}"/>
    <cellStyle name="40% - Accent5 7 7" xfId="4120" xr:uid="{00000000-0005-0000-0000-0000B70E0000}"/>
    <cellStyle name="40% - Accent5 8" xfId="404" xr:uid="{00000000-0005-0000-0000-0000B80E0000}"/>
    <cellStyle name="40% - Accent5 8 2" xfId="830" xr:uid="{00000000-0005-0000-0000-0000B90E0000}"/>
    <cellStyle name="40% - Accent5 8 2 2" xfId="2122" xr:uid="{00000000-0005-0000-0000-0000BA0E0000}"/>
    <cellStyle name="40% - Accent5 8 2 3" xfId="3400" xr:uid="{00000000-0005-0000-0000-0000BB0E0000}"/>
    <cellStyle name="40% - Accent5 8 2 4" xfId="4687" xr:uid="{00000000-0005-0000-0000-0000BC0E0000}"/>
    <cellStyle name="40% - Accent5 8 3" xfId="1256" xr:uid="{00000000-0005-0000-0000-0000BD0E0000}"/>
    <cellStyle name="40% - Accent5 8 3 2" xfId="2548" xr:uid="{00000000-0005-0000-0000-0000BE0E0000}"/>
    <cellStyle name="40% - Accent5 8 3 3" xfId="3826" xr:uid="{00000000-0005-0000-0000-0000BF0E0000}"/>
    <cellStyle name="40% - Accent5 8 3 4" xfId="5113" xr:uid="{00000000-0005-0000-0000-0000C00E0000}"/>
    <cellStyle name="40% - Accent5 8 4" xfId="1696" xr:uid="{00000000-0005-0000-0000-0000C10E0000}"/>
    <cellStyle name="40% - Accent5 8 5" xfId="2974" xr:uid="{00000000-0005-0000-0000-0000C20E0000}"/>
    <cellStyle name="40% - Accent5 8 6" xfId="4261" xr:uid="{00000000-0005-0000-0000-0000C30E0000}"/>
    <cellStyle name="40% - Accent5 9" xfId="617" xr:uid="{00000000-0005-0000-0000-0000C40E0000}"/>
    <cellStyle name="40% - Accent5 9 2" xfId="1909" xr:uid="{00000000-0005-0000-0000-0000C50E0000}"/>
    <cellStyle name="40% - Accent5 9 3" xfId="3187" xr:uid="{00000000-0005-0000-0000-0000C60E0000}"/>
    <cellStyle name="40% - Accent5 9 4" xfId="4474" xr:uid="{00000000-0005-0000-0000-0000C70E0000}"/>
    <cellStyle name="40% - Accent6" xfId="78" builtinId="51" customBuiltin="1"/>
    <cellStyle name="40% - Accent6 10" xfId="1055" xr:uid="{00000000-0005-0000-0000-0000C90E0000}"/>
    <cellStyle name="40% - Accent6 10 2" xfId="2347" xr:uid="{00000000-0005-0000-0000-0000CA0E0000}"/>
    <cellStyle name="40% - Accent6 10 3" xfId="3625" xr:uid="{00000000-0005-0000-0000-0000CB0E0000}"/>
    <cellStyle name="40% - Accent6 10 4" xfId="4912" xr:uid="{00000000-0005-0000-0000-0000CC0E0000}"/>
    <cellStyle name="40% - Accent6 11" xfId="1495" xr:uid="{00000000-0005-0000-0000-0000CD0E0000}"/>
    <cellStyle name="40% - Accent6 12" xfId="2773" xr:uid="{00000000-0005-0000-0000-0000CE0E0000}"/>
    <cellStyle name="40% - Accent6 13" xfId="4060" xr:uid="{00000000-0005-0000-0000-0000CF0E0000}"/>
    <cellStyle name="40% - Accent6 14" xfId="5294" xr:uid="{00000000-0005-0000-0000-0000D00E0000}"/>
    <cellStyle name="40% - Accent6 2" xfId="21" xr:uid="{00000000-0005-0000-0000-0000D10E0000}"/>
    <cellStyle name="40% - Accent6 2 10" xfId="1496" xr:uid="{00000000-0005-0000-0000-0000D20E0000}"/>
    <cellStyle name="40% - Accent6 2 11" xfId="2774" xr:uid="{00000000-0005-0000-0000-0000D30E0000}"/>
    <cellStyle name="40% - Accent6 2 12" xfId="4061" xr:uid="{00000000-0005-0000-0000-0000D40E0000}"/>
    <cellStyle name="40% - Accent6 2 13" xfId="5295" xr:uid="{00000000-0005-0000-0000-0000D50E0000}"/>
    <cellStyle name="40% - Accent6 2 2" xfId="193" xr:uid="{00000000-0005-0000-0000-0000D60E0000}"/>
    <cellStyle name="40% - Accent6 2 2 2" xfId="194" xr:uid="{00000000-0005-0000-0000-0000D70E0000}"/>
    <cellStyle name="40% - Accent6 2 2 2 2" xfId="419" xr:uid="{00000000-0005-0000-0000-0000D80E0000}"/>
    <cellStyle name="40% - Accent6 2 2 2 2 2" xfId="845" xr:uid="{00000000-0005-0000-0000-0000D90E0000}"/>
    <cellStyle name="40% - Accent6 2 2 2 2 2 2" xfId="2137" xr:uid="{00000000-0005-0000-0000-0000DA0E0000}"/>
    <cellStyle name="40% - Accent6 2 2 2 2 2 3" xfId="3415" xr:uid="{00000000-0005-0000-0000-0000DB0E0000}"/>
    <cellStyle name="40% - Accent6 2 2 2 2 2 4" xfId="4702" xr:uid="{00000000-0005-0000-0000-0000DC0E0000}"/>
    <cellStyle name="40% - Accent6 2 2 2 2 3" xfId="1271" xr:uid="{00000000-0005-0000-0000-0000DD0E0000}"/>
    <cellStyle name="40% - Accent6 2 2 2 2 3 2" xfId="2563" xr:uid="{00000000-0005-0000-0000-0000DE0E0000}"/>
    <cellStyle name="40% - Accent6 2 2 2 2 3 3" xfId="3841" xr:uid="{00000000-0005-0000-0000-0000DF0E0000}"/>
    <cellStyle name="40% - Accent6 2 2 2 2 3 4" xfId="5128" xr:uid="{00000000-0005-0000-0000-0000E00E0000}"/>
    <cellStyle name="40% - Accent6 2 2 2 2 4" xfId="1711" xr:uid="{00000000-0005-0000-0000-0000E10E0000}"/>
    <cellStyle name="40% - Accent6 2 2 2 2 5" xfId="2989" xr:uid="{00000000-0005-0000-0000-0000E20E0000}"/>
    <cellStyle name="40% - Accent6 2 2 2 2 6" xfId="4276" xr:uid="{00000000-0005-0000-0000-0000E30E0000}"/>
    <cellStyle name="40% - Accent6 2 2 2 3" xfId="632" xr:uid="{00000000-0005-0000-0000-0000E40E0000}"/>
    <cellStyle name="40% - Accent6 2 2 2 3 2" xfId="1924" xr:uid="{00000000-0005-0000-0000-0000E50E0000}"/>
    <cellStyle name="40% - Accent6 2 2 2 3 3" xfId="3202" xr:uid="{00000000-0005-0000-0000-0000E60E0000}"/>
    <cellStyle name="40% - Accent6 2 2 2 3 4" xfId="4489" xr:uid="{00000000-0005-0000-0000-0000E70E0000}"/>
    <cellStyle name="40% - Accent6 2 2 2 4" xfId="1058" xr:uid="{00000000-0005-0000-0000-0000E80E0000}"/>
    <cellStyle name="40% - Accent6 2 2 2 4 2" xfId="2350" xr:uid="{00000000-0005-0000-0000-0000E90E0000}"/>
    <cellStyle name="40% - Accent6 2 2 2 4 3" xfId="3628" xr:uid="{00000000-0005-0000-0000-0000EA0E0000}"/>
    <cellStyle name="40% - Accent6 2 2 2 4 4" xfId="4915" xr:uid="{00000000-0005-0000-0000-0000EB0E0000}"/>
    <cellStyle name="40% - Accent6 2 2 2 5" xfId="1498" xr:uid="{00000000-0005-0000-0000-0000EC0E0000}"/>
    <cellStyle name="40% - Accent6 2 2 2 6" xfId="2776" xr:uid="{00000000-0005-0000-0000-0000ED0E0000}"/>
    <cellStyle name="40% - Accent6 2 2 2 7" xfId="4063" xr:uid="{00000000-0005-0000-0000-0000EE0E0000}"/>
    <cellStyle name="40% - Accent6 2 2 2 8" xfId="5297" xr:uid="{00000000-0005-0000-0000-0000EF0E0000}"/>
    <cellStyle name="40% - Accent6 2 2 3" xfId="418" xr:uid="{00000000-0005-0000-0000-0000F00E0000}"/>
    <cellStyle name="40% - Accent6 2 2 3 2" xfId="844" xr:uid="{00000000-0005-0000-0000-0000F10E0000}"/>
    <cellStyle name="40% - Accent6 2 2 3 2 2" xfId="2136" xr:uid="{00000000-0005-0000-0000-0000F20E0000}"/>
    <cellStyle name="40% - Accent6 2 2 3 2 3" xfId="3414" xr:uid="{00000000-0005-0000-0000-0000F30E0000}"/>
    <cellStyle name="40% - Accent6 2 2 3 2 4" xfId="4701" xr:uid="{00000000-0005-0000-0000-0000F40E0000}"/>
    <cellStyle name="40% - Accent6 2 2 3 3" xfId="1270" xr:uid="{00000000-0005-0000-0000-0000F50E0000}"/>
    <cellStyle name="40% - Accent6 2 2 3 3 2" xfId="2562" xr:uid="{00000000-0005-0000-0000-0000F60E0000}"/>
    <cellStyle name="40% - Accent6 2 2 3 3 3" xfId="3840" xr:uid="{00000000-0005-0000-0000-0000F70E0000}"/>
    <cellStyle name="40% - Accent6 2 2 3 3 4" xfId="5127" xr:uid="{00000000-0005-0000-0000-0000F80E0000}"/>
    <cellStyle name="40% - Accent6 2 2 3 4" xfId="1710" xr:uid="{00000000-0005-0000-0000-0000F90E0000}"/>
    <cellStyle name="40% - Accent6 2 2 3 5" xfId="2988" xr:uid="{00000000-0005-0000-0000-0000FA0E0000}"/>
    <cellStyle name="40% - Accent6 2 2 3 6" xfId="4275" xr:uid="{00000000-0005-0000-0000-0000FB0E0000}"/>
    <cellStyle name="40% - Accent6 2 2 4" xfId="631" xr:uid="{00000000-0005-0000-0000-0000FC0E0000}"/>
    <cellStyle name="40% - Accent6 2 2 4 2" xfId="1923" xr:uid="{00000000-0005-0000-0000-0000FD0E0000}"/>
    <cellStyle name="40% - Accent6 2 2 4 3" xfId="3201" xr:uid="{00000000-0005-0000-0000-0000FE0E0000}"/>
    <cellStyle name="40% - Accent6 2 2 4 4" xfId="4488" xr:uid="{00000000-0005-0000-0000-0000FF0E0000}"/>
    <cellStyle name="40% - Accent6 2 2 5" xfId="1057" xr:uid="{00000000-0005-0000-0000-0000000F0000}"/>
    <cellStyle name="40% - Accent6 2 2 5 2" xfId="2349" xr:uid="{00000000-0005-0000-0000-0000010F0000}"/>
    <cellStyle name="40% - Accent6 2 2 5 3" xfId="3627" xr:uid="{00000000-0005-0000-0000-0000020F0000}"/>
    <cellStyle name="40% - Accent6 2 2 5 4" xfId="4914" xr:uid="{00000000-0005-0000-0000-0000030F0000}"/>
    <cellStyle name="40% - Accent6 2 2 6" xfId="1497" xr:uid="{00000000-0005-0000-0000-0000040F0000}"/>
    <cellStyle name="40% - Accent6 2 2 7" xfId="2775" xr:uid="{00000000-0005-0000-0000-0000050F0000}"/>
    <cellStyle name="40% - Accent6 2 2 8" xfId="4062" xr:uid="{00000000-0005-0000-0000-0000060F0000}"/>
    <cellStyle name="40% - Accent6 2 2 9" xfId="5296" xr:uid="{00000000-0005-0000-0000-0000070F0000}"/>
    <cellStyle name="40% - Accent6 2 3" xfId="195" xr:uid="{00000000-0005-0000-0000-0000080F0000}"/>
    <cellStyle name="40% - Accent6 2 3 2" xfId="420" xr:uid="{00000000-0005-0000-0000-0000090F0000}"/>
    <cellStyle name="40% - Accent6 2 3 2 2" xfId="846" xr:uid="{00000000-0005-0000-0000-00000A0F0000}"/>
    <cellStyle name="40% - Accent6 2 3 2 2 2" xfId="2138" xr:uid="{00000000-0005-0000-0000-00000B0F0000}"/>
    <cellStyle name="40% - Accent6 2 3 2 2 3" xfId="3416" xr:uid="{00000000-0005-0000-0000-00000C0F0000}"/>
    <cellStyle name="40% - Accent6 2 3 2 2 4" xfId="4703" xr:uid="{00000000-0005-0000-0000-00000D0F0000}"/>
    <cellStyle name="40% - Accent6 2 3 2 3" xfId="1272" xr:uid="{00000000-0005-0000-0000-00000E0F0000}"/>
    <cellStyle name="40% - Accent6 2 3 2 3 2" xfId="2564" xr:uid="{00000000-0005-0000-0000-00000F0F0000}"/>
    <cellStyle name="40% - Accent6 2 3 2 3 3" xfId="3842" xr:uid="{00000000-0005-0000-0000-0000100F0000}"/>
    <cellStyle name="40% - Accent6 2 3 2 3 4" xfId="5129" xr:uid="{00000000-0005-0000-0000-0000110F0000}"/>
    <cellStyle name="40% - Accent6 2 3 2 4" xfId="1712" xr:uid="{00000000-0005-0000-0000-0000120F0000}"/>
    <cellStyle name="40% - Accent6 2 3 2 5" xfId="2990" xr:uid="{00000000-0005-0000-0000-0000130F0000}"/>
    <cellStyle name="40% - Accent6 2 3 2 6" xfId="4277" xr:uid="{00000000-0005-0000-0000-0000140F0000}"/>
    <cellStyle name="40% - Accent6 2 3 3" xfId="633" xr:uid="{00000000-0005-0000-0000-0000150F0000}"/>
    <cellStyle name="40% - Accent6 2 3 3 2" xfId="1925" xr:uid="{00000000-0005-0000-0000-0000160F0000}"/>
    <cellStyle name="40% - Accent6 2 3 3 3" xfId="3203" xr:uid="{00000000-0005-0000-0000-0000170F0000}"/>
    <cellStyle name="40% - Accent6 2 3 3 4" xfId="4490" xr:uid="{00000000-0005-0000-0000-0000180F0000}"/>
    <cellStyle name="40% - Accent6 2 3 4" xfId="1059" xr:uid="{00000000-0005-0000-0000-0000190F0000}"/>
    <cellStyle name="40% - Accent6 2 3 4 2" xfId="2351" xr:uid="{00000000-0005-0000-0000-00001A0F0000}"/>
    <cellStyle name="40% - Accent6 2 3 4 3" xfId="3629" xr:uid="{00000000-0005-0000-0000-00001B0F0000}"/>
    <cellStyle name="40% - Accent6 2 3 4 4" xfId="4916" xr:uid="{00000000-0005-0000-0000-00001C0F0000}"/>
    <cellStyle name="40% - Accent6 2 3 5" xfId="1499" xr:uid="{00000000-0005-0000-0000-00001D0F0000}"/>
    <cellStyle name="40% - Accent6 2 3 6" xfId="2777" xr:uid="{00000000-0005-0000-0000-00001E0F0000}"/>
    <cellStyle name="40% - Accent6 2 3 7" xfId="4064" xr:uid="{00000000-0005-0000-0000-00001F0F0000}"/>
    <cellStyle name="40% - Accent6 2 3 8" xfId="5298" xr:uid="{00000000-0005-0000-0000-0000200F0000}"/>
    <cellStyle name="40% - Accent6 2 4" xfId="196" xr:uid="{00000000-0005-0000-0000-0000210F0000}"/>
    <cellStyle name="40% - Accent6 2 4 2" xfId="421" xr:uid="{00000000-0005-0000-0000-0000220F0000}"/>
    <cellStyle name="40% - Accent6 2 4 2 2" xfId="847" xr:uid="{00000000-0005-0000-0000-0000230F0000}"/>
    <cellStyle name="40% - Accent6 2 4 2 2 2" xfId="2139" xr:uid="{00000000-0005-0000-0000-0000240F0000}"/>
    <cellStyle name="40% - Accent6 2 4 2 2 3" xfId="3417" xr:uid="{00000000-0005-0000-0000-0000250F0000}"/>
    <cellStyle name="40% - Accent6 2 4 2 2 4" xfId="4704" xr:uid="{00000000-0005-0000-0000-0000260F0000}"/>
    <cellStyle name="40% - Accent6 2 4 2 3" xfId="1273" xr:uid="{00000000-0005-0000-0000-0000270F0000}"/>
    <cellStyle name="40% - Accent6 2 4 2 3 2" xfId="2565" xr:uid="{00000000-0005-0000-0000-0000280F0000}"/>
    <cellStyle name="40% - Accent6 2 4 2 3 3" xfId="3843" xr:uid="{00000000-0005-0000-0000-0000290F0000}"/>
    <cellStyle name="40% - Accent6 2 4 2 3 4" xfId="5130" xr:uid="{00000000-0005-0000-0000-00002A0F0000}"/>
    <cellStyle name="40% - Accent6 2 4 2 4" xfId="1713" xr:uid="{00000000-0005-0000-0000-00002B0F0000}"/>
    <cellStyle name="40% - Accent6 2 4 2 5" xfId="2991" xr:uid="{00000000-0005-0000-0000-00002C0F0000}"/>
    <cellStyle name="40% - Accent6 2 4 2 6" xfId="4278" xr:uid="{00000000-0005-0000-0000-00002D0F0000}"/>
    <cellStyle name="40% - Accent6 2 4 3" xfId="634" xr:uid="{00000000-0005-0000-0000-00002E0F0000}"/>
    <cellStyle name="40% - Accent6 2 4 3 2" xfId="1926" xr:uid="{00000000-0005-0000-0000-00002F0F0000}"/>
    <cellStyle name="40% - Accent6 2 4 3 3" xfId="3204" xr:uid="{00000000-0005-0000-0000-0000300F0000}"/>
    <cellStyle name="40% - Accent6 2 4 3 4" xfId="4491" xr:uid="{00000000-0005-0000-0000-0000310F0000}"/>
    <cellStyle name="40% - Accent6 2 4 4" xfId="1060" xr:uid="{00000000-0005-0000-0000-0000320F0000}"/>
    <cellStyle name="40% - Accent6 2 4 4 2" xfId="2352" xr:uid="{00000000-0005-0000-0000-0000330F0000}"/>
    <cellStyle name="40% - Accent6 2 4 4 3" xfId="3630" xr:uid="{00000000-0005-0000-0000-0000340F0000}"/>
    <cellStyle name="40% - Accent6 2 4 4 4" xfId="4917" xr:uid="{00000000-0005-0000-0000-0000350F0000}"/>
    <cellStyle name="40% - Accent6 2 4 5" xfId="1500" xr:uid="{00000000-0005-0000-0000-0000360F0000}"/>
    <cellStyle name="40% - Accent6 2 4 6" xfId="2778" xr:uid="{00000000-0005-0000-0000-0000370F0000}"/>
    <cellStyle name="40% - Accent6 2 4 7" xfId="4065" xr:uid="{00000000-0005-0000-0000-0000380F0000}"/>
    <cellStyle name="40% - Accent6 2 5" xfId="197" xr:uid="{00000000-0005-0000-0000-0000390F0000}"/>
    <cellStyle name="40% - Accent6 2 5 2" xfId="422" xr:uid="{00000000-0005-0000-0000-00003A0F0000}"/>
    <cellStyle name="40% - Accent6 2 5 2 2" xfId="848" xr:uid="{00000000-0005-0000-0000-00003B0F0000}"/>
    <cellStyle name="40% - Accent6 2 5 2 2 2" xfId="2140" xr:uid="{00000000-0005-0000-0000-00003C0F0000}"/>
    <cellStyle name="40% - Accent6 2 5 2 2 3" xfId="3418" xr:uid="{00000000-0005-0000-0000-00003D0F0000}"/>
    <cellStyle name="40% - Accent6 2 5 2 2 4" xfId="4705" xr:uid="{00000000-0005-0000-0000-00003E0F0000}"/>
    <cellStyle name="40% - Accent6 2 5 2 3" xfId="1274" xr:uid="{00000000-0005-0000-0000-00003F0F0000}"/>
    <cellStyle name="40% - Accent6 2 5 2 3 2" xfId="2566" xr:uid="{00000000-0005-0000-0000-0000400F0000}"/>
    <cellStyle name="40% - Accent6 2 5 2 3 3" xfId="3844" xr:uid="{00000000-0005-0000-0000-0000410F0000}"/>
    <cellStyle name="40% - Accent6 2 5 2 3 4" xfId="5131" xr:uid="{00000000-0005-0000-0000-0000420F0000}"/>
    <cellStyle name="40% - Accent6 2 5 2 4" xfId="1714" xr:uid="{00000000-0005-0000-0000-0000430F0000}"/>
    <cellStyle name="40% - Accent6 2 5 2 5" xfId="2992" xr:uid="{00000000-0005-0000-0000-0000440F0000}"/>
    <cellStyle name="40% - Accent6 2 5 2 6" xfId="4279" xr:uid="{00000000-0005-0000-0000-0000450F0000}"/>
    <cellStyle name="40% - Accent6 2 5 3" xfId="635" xr:uid="{00000000-0005-0000-0000-0000460F0000}"/>
    <cellStyle name="40% - Accent6 2 5 3 2" xfId="1927" xr:uid="{00000000-0005-0000-0000-0000470F0000}"/>
    <cellStyle name="40% - Accent6 2 5 3 3" xfId="3205" xr:uid="{00000000-0005-0000-0000-0000480F0000}"/>
    <cellStyle name="40% - Accent6 2 5 3 4" xfId="4492" xr:uid="{00000000-0005-0000-0000-0000490F0000}"/>
    <cellStyle name="40% - Accent6 2 5 4" xfId="1061" xr:uid="{00000000-0005-0000-0000-00004A0F0000}"/>
    <cellStyle name="40% - Accent6 2 5 4 2" xfId="2353" xr:uid="{00000000-0005-0000-0000-00004B0F0000}"/>
    <cellStyle name="40% - Accent6 2 5 4 3" xfId="3631" xr:uid="{00000000-0005-0000-0000-00004C0F0000}"/>
    <cellStyle name="40% - Accent6 2 5 4 4" xfId="4918" xr:uid="{00000000-0005-0000-0000-00004D0F0000}"/>
    <cellStyle name="40% - Accent6 2 5 5" xfId="1501" xr:uid="{00000000-0005-0000-0000-00004E0F0000}"/>
    <cellStyle name="40% - Accent6 2 5 6" xfId="2779" xr:uid="{00000000-0005-0000-0000-00004F0F0000}"/>
    <cellStyle name="40% - Accent6 2 5 7" xfId="4066" xr:uid="{00000000-0005-0000-0000-0000500F0000}"/>
    <cellStyle name="40% - Accent6 2 6" xfId="280" xr:uid="{00000000-0005-0000-0000-0000510F0000}"/>
    <cellStyle name="40% - Accent6 2 6 2" xfId="493" xr:uid="{00000000-0005-0000-0000-0000520F0000}"/>
    <cellStyle name="40% - Accent6 2 6 2 2" xfId="918" xr:uid="{00000000-0005-0000-0000-0000530F0000}"/>
    <cellStyle name="40% - Accent6 2 6 2 2 2" xfId="2210" xr:uid="{00000000-0005-0000-0000-0000540F0000}"/>
    <cellStyle name="40% - Accent6 2 6 2 2 3" xfId="3488" xr:uid="{00000000-0005-0000-0000-0000550F0000}"/>
    <cellStyle name="40% - Accent6 2 6 2 2 4" xfId="4775" xr:uid="{00000000-0005-0000-0000-0000560F0000}"/>
    <cellStyle name="40% - Accent6 2 6 2 3" xfId="1344" xr:uid="{00000000-0005-0000-0000-0000570F0000}"/>
    <cellStyle name="40% - Accent6 2 6 2 3 2" xfId="2636" xr:uid="{00000000-0005-0000-0000-0000580F0000}"/>
    <cellStyle name="40% - Accent6 2 6 2 3 3" xfId="3914" xr:uid="{00000000-0005-0000-0000-0000590F0000}"/>
    <cellStyle name="40% - Accent6 2 6 2 3 4" xfId="5201" xr:uid="{00000000-0005-0000-0000-00005A0F0000}"/>
    <cellStyle name="40% - Accent6 2 6 2 4" xfId="1784" xr:uid="{00000000-0005-0000-0000-00005B0F0000}"/>
    <cellStyle name="40% - Accent6 2 6 2 5" xfId="3062" xr:uid="{00000000-0005-0000-0000-00005C0F0000}"/>
    <cellStyle name="40% - Accent6 2 6 2 6" xfId="4349" xr:uid="{00000000-0005-0000-0000-00005D0F0000}"/>
    <cellStyle name="40% - Accent6 2 6 3" xfId="705" xr:uid="{00000000-0005-0000-0000-00005E0F0000}"/>
    <cellStyle name="40% - Accent6 2 6 3 2" xfId="1997" xr:uid="{00000000-0005-0000-0000-00005F0F0000}"/>
    <cellStyle name="40% - Accent6 2 6 3 3" xfId="3275" xr:uid="{00000000-0005-0000-0000-0000600F0000}"/>
    <cellStyle name="40% - Accent6 2 6 3 4" xfId="4562" xr:uid="{00000000-0005-0000-0000-0000610F0000}"/>
    <cellStyle name="40% - Accent6 2 6 4" xfId="1131" xr:uid="{00000000-0005-0000-0000-0000620F0000}"/>
    <cellStyle name="40% - Accent6 2 6 4 2" xfId="2423" xr:uid="{00000000-0005-0000-0000-0000630F0000}"/>
    <cellStyle name="40% - Accent6 2 6 4 3" xfId="3701" xr:uid="{00000000-0005-0000-0000-0000640F0000}"/>
    <cellStyle name="40% - Accent6 2 6 4 4" xfId="4988" xr:uid="{00000000-0005-0000-0000-0000650F0000}"/>
    <cellStyle name="40% - Accent6 2 6 5" xfId="1571" xr:uid="{00000000-0005-0000-0000-0000660F0000}"/>
    <cellStyle name="40% - Accent6 2 6 6" xfId="2849" xr:uid="{00000000-0005-0000-0000-0000670F0000}"/>
    <cellStyle name="40% - Accent6 2 6 7" xfId="4136" xr:uid="{00000000-0005-0000-0000-0000680F0000}"/>
    <cellStyle name="40% - Accent6 2 7" xfId="417" xr:uid="{00000000-0005-0000-0000-0000690F0000}"/>
    <cellStyle name="40% - Accent6 2 7 2" xfId="843" xr:uid="{00000000-0005-0000-0000-00006A0F0000}"/>
    <cellStyle name="40% - Accent6 2 7 2 2" xfId="2135" xr:uid="{00000000-0005-0000-0000-00006B0F0000}"/>
    <cellStyle name="40% - Accent6 2 7 2 3" xfId="3413" xr:uid="{00000000-0005-0000-0000-00006C0F0000}"/>
    <cellStyle name="40% - Accent6 2 7 2 4" xfId="4700" xr:uid="{00000000-0005-0000-0000-00006D0F0000}"/>
    <cellStyle name="40% - Accent6 2 7 3" xfId="1269" xr:uid="{00000000-0005-0000-0000-00006E0F0000}"/>
    <cellStyle name="40% - Accent6 2 7 3 2" xfId="2561" xr:uid="{00000000-0005-0000-0000-00006F0F0000}"/>
    <cellStyle name="40% - Accent6 2 7 3 3" xfId="3839" xr:uid="{00000000-0005-0000-0000-0000700F0000}"/>
    <cellStyle name="40% - Accent6 2 7 3 4" xfId="5126" xr:uid="{00000000-0005-0000-0000-0000710F0000}"/>
    <cellStyle name="40% - Accent6 2 7 4" xfId="1709" xr:uid="{00000000-0005-0000-0000-0000720F0000}"/>
    <cellStyle name="40% - Accent6 2 7 5" xfId="2987" xr:uid="{00000000-0005-0000-0000-0000730F0000}"/>
    <cellStyle name="40% - Accent6 2 7 6" xfId="4274" xr:uid="{00000000-0005-0000-0000-0000740F0000}"/>
    <cellStyle name="40% - Accent6 2 8" xfId="630" xr:uid="{00000000-0005-0000-0000-0000750F0000}"/>
    <cellStyle name="40% - Accent6 2 8 2" xfId="1922" xr:uid="{00000000-0005-0000-0000-0000760F0000}"/>
    <cellStyle name="40% - Accent6 2 8 3" xfId="3200" xr:uid="{00000000-0005-0000-0000-0000770F0000}"/>
    <cellStyle name="40% - Accent6 2 8 4" xfId="4487" xr:uid="{00000000-0005-0000-0000-0000780F0000}"/>
    <cellStyle name="40% - Accent6 2 9" xfId="1056" xr:uid="{00000000-0005-0000-0000-0000790F0000}"/>
    <cellStyle name="40% - Accent6 2 9 2" xfId="2348" xr:uid="{00000000-0005-0000-0000-00007A0F0000}"/>
    <cellStyle name="40% - Accent6 2 9 3" xfId="3626" xr:uid="{00000000-0005-0000-0000-00007B0F0000}"/>
    <cellStyle name="40% - Accent6 2 9 4" xfId="4913" xr:uid="{00000000-0005-0000-0000-00007C0F0000}"/>
    <cellStyle name="40% - Accent6 3" xfId="198" xr:uid="{00000000-0005-0000-0000-00007D0F0000}"/>
    <cellStyle name="40% - Accent6 3 2" xfId="199" xr:uid="{00000000-0005-0000-0000-00007E0F0000}"/>
    <cellStyle name="40% - Accent6 3 2 2" xfId="424" xr:uid="{00000000-0005-0000-0000-00007F0F0000}"/>
    <cellStyle name="40% - Accent6 3 2 2 2" xfId="850" xr:uid="{00000000-0005-0000-0000-0000800F0000}"/>
    <cellStyle name="40% - Accent6 3 2 2 2 2" xfId="2142" xr:uid="{00000000-0005-0000-0000-0000810F0000}"/>
    <cellStyle name="40% - Accent6 3 2 2 2 3" xfId="3420" xr:uid="{00000000-0005-0000-0000-0000820F0000}"/>
    <cellStyle name="40% - Accent6 3 2 2 2 4" xfId="4707" xr:uid="{00000000-0005-0000-0000-0000830F0000}"/>
    <cellStyle name="40% - Accent6 3 2 2 3" xfId="1276" xr:uid="{00000000-0005-0000-0000-0000840F0000}"/>
    <cellStyle name="40% - Accent6 3 2 2 3 2" xfId="2568" xr:uid="{00000000-0005-0000-0000-0000850F0000}"/>
    <cellStyle name="40% - Accent6 3 2 2 3 3" xfId="3846" xr:uid="{00000000-0005-0000-0000-0000860F0000}"/>
    <cellStyle name="40% - Accent6 3 2 2 3 4" xfId="5133" xr:uid="{00000000-0005-0000-0000-0000870F0000}"/>
    <cellStyle name="40% - Accent6 3 2 2 4" xfId="1716" xr:uid="{00000000-0005-0000-0000-0000880F0000}"/>
    <cellStyle name="40% - Accent6 3 2 2 5" xfId="2994" xr:uid="{00000000-0005-0000-0000-0000890F0000}"/>
    <cellStyle name="40% - Accent6 3 2 2 6" xfId="4281" xr:uid="{00000000-0005-0000-0000-00008A0F0000}"/>
    <cellStyle name="40% - Accent6 3 2 3" xfId="637" xr:uid="{00000000-0005-0000-0000-00008B0F0000}"/>
    <cellStyle name="40% - Accent6 3 2 3 2" xfId="1929" xr:uid="{00000000-0005-0000-0000-00008C0F0000}"/>
    <cellStyle name="40% - Accent6 3 2 3 3" xfId="3207" xr:uid="{00000000-0005-0000-0000-00008D0F0000}"/>
    <cellStyle name="40% - Accent6 3 2 3 4" xfId="4494" xr:uid="{00000000-0005-0000-0000-00008E0F0000}"/>
    <cellStyle name="40% - Accent6 3 2 4" xfId="1063" xr:uid="{00000000-0005-0000-0000-00008F0F0000}"/>
    <cellStyle name="40% - Accent6 3 2 4 2" xfId="2355" xr:uid="{00000000-0005-0000-0000-0000900F0000}"/>
    <cellStyle name="40% - Accent6 3 2 4 3" xfId="3633" xr:uid="{00000000-0005-0000-0000-0000910F0000}"/>
    <cellStyle name="40% - Accent6 3 2 4 4" xfId="4920" xr:uid="{00000000-0005-0000-0000-0000920F0000}"/>
    <cellStyle name="40% - Accent6 3 2 5" xfId="1503" xr:uid="{00000000-0005-0000-0000-0000930F0000}"/>
    <cellStyle name="40% - Accent6 3 2 6" xfId="2781" xr:uid="{00000000-0005-0000-0000-0000940F0000}"/>
    <cellStyle name="40% - Accent6 3 2 7" xfId="4068" xr:uid="{00000000-0005-0000-0000-0000950F0000}"/>
    <cellStyle name="40% - Accent6 3 2 8" xfId="5300" xr:uid="{00000000-0005-0000-0000-0000960F0000}"/>
    <cellStyle name="40% - Accent6 3 3" xfId="423" xr:uid="{00000000-0005-0000-0000-0000970F0000}"/>
    <cellStyle name="40% - Accent6 3 3 2" xfId="849" xr:uid="{00000000-0005-0000-0000-0000980F0000}"/>
    <cellStyle name="40% - Accent6 3 3 2 2" xfId="2141" xr:uid="{00000000-0005-0000-0000-0000990F0000}"/>
    <cellStyle name="40% - Accent6 3 3 2 3" xfId="3419" xr:uid="{00000000-0005-0000-0000-00009A0F0000}"/>
    <cellStyle name="40% - Accent6 3 3 2 4" xfId="4706" xr:uid="{00000000-0005-0000-0000-00009B0F0000}"/>
    <cellStyle name="40% - Accent6 3 3 3" xfId="1275" xr:uid="{00000000-0005-0000-0000-00009C0F0000}"/>
    <cellStyle name="40% - Accent6 3 3 3 2" xfId="2567" xr:uid="{00000000-0005-0000-0000-00009D0F0000}"/>
    <cellStyle name="40% - Accent6 3 3 3 3" xfId="3845" xr:uid="{00000000-0005-0000-0000-00009E0F0000}"/>
    <cellStyle name="40% - Accent6 3 3 3 4" xfId="5132" xr:uid="{00000000-0005-0000-0000-00009F0F0000}"/>
    <cellStyle name="40% - Accent6 3 3 4" xfId="1715" xr:uid="{00000000-0005-0000-0000-0000A00F0000}"/>
    <cellStyle name="40% - Accent6 3 3 5" xfId="2993" xr:uid="{00000000-0005-0000-0000-0000A10F0000}"/>
    <cellStyle name="40% - Accent6 3 3 6" xfId="4280" xr:uid="{00000000-0005-0000-0000-0000A20F0000}"/>
    <cellStyle name="40% - Accent6 3 4" xfId="636" xr:uid="{00000000-0005-0000-0000-0000A30F0000}"/>
    <cellStyle name="40% - Accent6 3 4 2" xfId="1928" xr:uid="{00000000-0005-0000-0000-0000A40F0000}"/>
    <cellStyle name="40% - Accent6 3 4 3" xfId="3206" xr:uid="{00000000-0005-0000-0000-0000A50F0000}"/>
    <cellStyle name="40% - Accent6 3 4 4" xfId="4493" xr:uid="{00000000-0005-0000-0000-0000A60F0000}"/>
    <cellStyle name="40% - Accent6 3 5" xfId="1062" xr:uid="{00000000-0005-0000-0000-0000A70F0000}"/>
    <cellStyle name="40% - Accent6 3 5 2" xfId="2354" xr:uid="{00000000-0005-0000-0000-0000A80F0000}"/>
    <cellStyle name="40% - Accent6 3 5 3" xfId="3632" xr:uid="{00000000-0005-0000-0000-0000A90F0000}"/>
    <cellStyle name="40% - Accent6 3 5 4" xfId="4919" xr:uid="{00000000-0005-0000-0000-0000AA0F0000}"/>
    <cellStyle name="40% - Accent6 3 6" xfId="1502" xr:uid="{00000000-0005-0000-0000-0000AB0F0000}"/>
    <cellStyle name="40% - Accent6 3 7" xfId="2780" xr:uid="{00000000-0005-0000-0000-0000AC0F0000}"/>
    <cellStyle name="40% - Accent6 3 8" xfId="4067" xr:uid="{00000000-0005-0000-0000-0000AD0F0000}"/>
    <cellStyle name="40% - Accent6 3 9" xfId="5299" xr:uid="{00000000-0005-0000-0000-0000AE0F0000}"/>
    <cellStyle name="40% - Accent6 4" xfId="200" xr:uid="{00000000-0005-0000-0000-0000AF0F0000}"/>
    <cellStyle name="40% - Accent6 4 2" xfId="425" xr:uid="{00000000-0005-0000-0000-0000B00F0000}"/>
    <cellStyle name="40% - Accent6 4 2 2" xfId="851" xr:uid="{00000000-0005-0000-0000-0000B10F0000}"/>
    <cellStyle name="40% - Accent6 4 2 2 2" xfId="2143" xr:uid="{00000000-0005-0000-0000-0000B20F0000}"/>
    <cellStyle name="40% - Accent6 4 2 2 3" xfId="3421" xr:uid="{00000000-0005-0000-0000-0000B30F0000}"/>
    <cellStyle name="40% - Accent6 4 2 2 4" xfId="4708" xr:uid="{00000000-0005-0000-0000-0000B40F0000}"/>
    <cellStyle name="40% - Accent6 4 2 3" xfId="1277" xr:uid="{00000000-0005-0000-0000-0000B50F0000}"/>
    <cellStyle name="40% - Accent6 4 2 3 2" xfId="2569" xr:uid="{00000000-0005-0000-0000-0000B60F0000}"/>
    <cellStyle name="40% - Accent6 4 2 3 3" xfId="3847" xr:uid="{00000000-0005-0000-0000-0000B70F0000}"/>
    <cellStyle name="40% - Accent6 4 2 3 4" xfId="5134" xr:uid="{00000000-0005-0000-0000-0000B80F0000}"/>
    <cellStyle name="40% - Accent6 4 2 4" xfId="1717" xr:uid="{00000000-0005-0000-0000-0000B90F0000}"/>
    <cellStyle name="40% - Accent6 4 2 5" xfId="2995" xr:uid="{00000000-0005-0000-0000-0000BA0F0000}"/>
    <cellStyle name="40% - Accent6 4 2 6" xfId="4282" xr:uid="{00000000-0005-0000-0000-0000BB0F0000}"/>
    <cellStyle name="40% - Accent6 4 3" xfId="638" xr:uid="{00000000-0005-0000-0000-0000BC0F0000}"/>
    <cellStyle name="40% - Accent6 4 3 2" xfId="1930" xr:uid="{00000000-0005-0000-0000-0000BD0F0000}"/>
    <cellStyle name="40% - Accent6 4 3 3" xfId="3208" xr:uid="{00000000-0005-0000-0000-0000BE0F0000}"/>
    <cellStyle name="40% - Accent6 4 3 4" xfId="4495" xr:uid="{00000000-0005-0000-0000-0000BF0F0000}"/>
    <cellStyle name="40% - Accent6 4 4" xfId="1064" xr:uid="{00000000-0005-0000-0000-0000C00F0000}"/>
    <cellStyle name="40% - Accent6 4 4 2" xfId="2356" xr:uid="{00000000-0005-0000-0000-0000C10F0000}"/>
    <cellStyle name="40% - Accent6 4 4 3" xfId="3634" xr:uid="{00000000-0005-0000-0000-0000C20F0000}"/>
    <cellStyle name="40% - Accent6 4 4 4" xfId="4921" xr:uid="{00000000-0005-0000-0000-0000C30F0000}"/>
    <cellStyle name="40% - Accent6 4 5" xfId="1504" xr:uid="{00000000-0005-0000-0000-0000C40F0000}"/>
    <cellStyle name="40% - Accent6 4 6" xfId="2782" xr:uid="{00000000-0005-0000-0000-0000C50F0000}"/>
    <cellStyle name="40% - Accent6 4 7" xfId="4069" xr:uid="{00000000-0005-0000-0000-0000C60F0000}"/>
    <cellStyle name="40% - Accent6 4 8" xfId="5301" xr:uid="{00000000-0005-0000-0000-0000C70F0000}"/>
    <cellStyle name="40% - Accent6 5" xfId="201" xr:uid="{00000000-0005-0000-0000-0000C80F0000}"/>
    <cellStyle name="40% - Accent6 5 2" xfId="426" xr:uid="{00000000-0005-0000-0000-0000C90F0000}"/>
    <cellStyle name="40% - Accent6 5 2 2" xfId="852" xr:uid="{00000000-0005-0000-0000-0000CA0F0000}"/>
    <cellStyle name="40% - Accent6 5 2 2 2" xfId="2144" xr:uid="{00000000-0005-0000-0000-0000CB0F0000}"/>
    <cellStyle name="40% - Accent6 5 2 2 3" xfId="3422" xr:uid="{00000000-0005-0000-0000-0000CC0F0000}"/>
    <cellStyle name="40% - Accent6 5 2 2 4" xfId="4709" xr:uid="{00000000-0005-0000-0000-0000CD0F0000}"/>
    <cellStyle name="40% - Accent6 5 2 3" xfId="1278" xr:uid="{00000000-0005-0000-0000-0000CE0F0000}"/>
    <cellStyle name="40% - Accent6 5 2 3 2" xfId="2570" xr:uid="{00000000-0005-0000-0000-0000CF0F0000}"/>
    <cellStyle name="40% - Accent6 5 2 3 3" xfId="3848" xr:uid="{00000000-0005-0000-0000-0000D00F0000}"/>
    <cellStyle name="40% - Accent6 5 2 3 4" xfId="5135" xr:uid="{00000000-0005-0000-0000-0000D10F0000}"/>
    <cellStyle name="40% - Accent6 5 2 4" xfId="1718" xr:uid="{00000000-0005-0000-0000-0000D20F0000}"/>
    <cellStyle name="40% - Accent6 5 2 5" xfId="2996" xr:uid="{00000000-0005-0000-0000-0000D30F0000}"/>
    <cellStyle name="40% - Accent6 5 2 6" xfId="4283" xr:uid="{00000000-0005-0000-0000-0000D40F0000}"/>
    <cellStyle name="40% - Accent6 5 3" xfId="639" xr:uid="{00000000-0005-0000-0000-0000D50F0000}"/>
    <cellStyle name="40% - Accent6 5 3 2" xfId="1931" xr:uid="{00000000-0005-0000-0000-0000D60F0000}"/>
    <cellStyle name="40% - Accent6 5 3 3" xfId="3209" xr:uid="{00000000-0005-0000-0000-0000D70F0000}"/>
    <cellStyle name="40% - Accent6 5 3 4" xfId="4496" xr:uid="{00000000-0005-0000-0000-0000D80F0000}"/>
    <cellStyle name="40% - Accent6 5 4" xfId="1065" xr:uid="{00000000-0005-0000-0000-0000D90F0000}"/>
    <cellStyle name="40% - Accent6 5 4 2" xfId="2357" xr:uid="{00000000-0005-0000-0000-0000DA0F0000}"/>
    <cellStyle name="40% - Accent6 5 4 3" xfId="3635" xr:uid="{00000000-0005-0000-0000-0000DB0F0000}"/>
    <cellStyle name="40% - Accent6 5 4 4" xfId="4922" xr:uid="{00000000-0005-0000-0000-0000DC0F0000}"/>
    <cellStyle name="40% - Accent6 5 5" xfId="1505" xr:uid="{00000000-0005-0000-0000-0000DD0F0000}"/>
    <cellStyle name="40% - Accent6 5 6" xfId="2783" xr:uid="{00000000-0005-0000-0000-0000DE0F0000}"/>
    <cellStyle name="40% - Accent6 5 7" xfId="4070" xr:uid="{00000000-0005-0000-0000-0000DF0F0000}"/>
    <cellStyle name="40% - Accent6 6" xfId="202" xr:uid="{00000000-0005-0000-0000-0000E00F0000}"/>
    <cellStyle name="40% - Accent6 6 2" xfId="427" xr:uid="{00000000-0005-0000-0000-0000E10F0000}"/>
    <cellStyle name="40% - Accent6 6 2 2" xfId="853" xr:uid="{00000000-0005-0000-0000-0000E20F0000}"/>
    <cellStyle name="40% - Accent6 6 2 2 2" xfId="2145" xr:uid="{00000000-0005-0000-0000-0000E30F0000}"/>
    <cellStyle name="40% - Accent6 6 2 2 3" xfId="3423" xr:uid="{00000000-0005-0000-0000-0000E40F0000}"/>
    <cellStyle name="40% - Accent6 6 2 2 4" xfId="4710" xr:uid="{00000000-0005-0000-0000-0000E50F0000}"/>
    <cellStyle name="40% - Accent6 6 2 3" xfId="1279" xr:uid="{00000000-0005-0000-0000-0000E60F0000}"/>
    <cellStyle name="40% - Accent6 6 2 3 2" xfId="2571" xr:uid="{00000000-0005-0000-0000-0000E70F0000}"/>
    <cellStyle name="40% - Accent6 6 2 3 3" xfId="3849" xr:uid="{00000000-0005-0000-0000-0000E80F0000}"/>
    <cellStyle name="40% - Accent6 6 2 3 4" xfId="5136" xr:uid="{00000000-0005-0000-0000-0000E90F0000}"/>
    <cellStyle name="40% - Accent6 6 2 4" xfId="1719" xr:uid="{00000000-0005-0000-0000-0000EA0F0000}"/>
    <cellStyle name="40% - Accent6 6 2 5" xfId="2997" xr:uid="{00000000-0005-0000-0000-0000EB0F0000}"/>
    <cellStyle name="40% - Accent6 6 2 6" xfId="4284" xr:uid="{00000000-0005-0000-0000-0000EC0F0000}"/>
    <cellStyle name="40% - Accent6 6 3" xfId="640" xr:uid="{00000000-0005-0000-0000-0000ED0F0000}"/>
    <cellStyle name="40% - Accent6 6 3 2" xfId="1932" xr:uid="{00000000-0005-0000-0000-0000EE0F0000}"/>
    <cellStyle name="40% - Accent6 6 3 3" xfId="3210" xr:uid="{00000000-0005-0000-0000-0000EF0F0000}"/>
    <cellStyle name="40% - Accent6 6 3 4" xfId="4497" xr:uid="{00000000-0005-0000-0000-0000F00F0000}"/>
    <cellStyle name="40% - Accent6 6 4" xfId="1066" xr:uid="{00000000-0005-0000-0000-0000F10F0000}"/>
    <cellStyle name="40% - Accent6 6 4 2" xfId="2358" xr:uid="{00000000-0005-0000-0000-0000F20F0000}"/>
    <cellStyle name="40% - Accent6 6 4 3" xfId="3636" xr:uid="{00000000-0005-0000-0000-0000F30F0000}"/>
    <cellStyle name="40% - Accent6 6 4 4" xfId="4923" xr:uid="{00000000-0005-0000-0000-0000F40F0000}"/>
    <cellStyle name="40% - Accent6 6 5" xfId="1506" xr:uid="{00000000-0005-0000-0000-0000F50F0000}"/>
    <cellStyle name="40% - Accent6 6 6" xfId="2784" xr:uid="{00000000-0005-0000-0000-0000F60F0000}"/>
    <cellStyle name="40% - Accent6 6 7" xfId="4071" xr:uid="{00000000-0005-0000-0000-0000F70F0000}"/>
    <cellStyle name="40% - Accent6 7" xfId="265" xr:uid="{00000000-0005-0000-0000-0000F80F0000}"/>
    <cellStyle name="40% - Accent6 7 2" xfId="478" xr:uid="{00000000-0005-0000-0000-0000F90F0000}"/>
    <cellStyle name="40% - Accent6 7 2 2" xfId="903" xr:uid="{00000000-0005-0000-0000-0000FA0F0000}"/>
    <cellStyle name="40% - Accent6 7 2 2 2" xfId="2195" xr:uid="{00000000-0005-0000-0000-0000FB0F0000}"/>
    <cellStyle name="40% - Accent6 7 2 2 3" xfId="3473" xr:uid="{00000000-0005-0000-0000-0000FC0F0000}"/>
    <cellStyle name="40% - Accent6 7 2 2 4" xfId="4760" xr:uid="{00000000-0005-0000-0000-0000FD0F0000}"/>
    <cellStyle name="40% - Accent6 7 2 3" xfId="1329" xr:uid="{00000000-0005-0000-0000-0000FE0F0000}"/>
    <cellStyle name="40% - Accent6 7 2 3 2" xfId="2621" xr:uid="{00000000-0005-0000-0000-0000FF0F0000}"/>
    <cellStyle name="40% - Accent6 7 2 3 3" xfId="3899" xr:uid="{00000000-0005-0000-0000-000000100000}"/>
    <cellStyle name="40% - Accent6 7 2 3 4" xfId="5186" xr:uid="{00000000-0005-0000-0000-000001100000}"/>
    <cellStyle name="40% - Accent6 7 2 4" xfId="1769" xr:uid="{00000000-0005-0000-0000-000002100000}"/>
    <cellStyle name="40% - Accent6 7 2 5" xfId="3047" xr:uid="{00000000-0005-0000-0000-000003100000}"/>
    <cellStyle name="40% - Accent6 7 2 6" xfId="4334" xr:uid="{00000000-0005-0000-0000-000004100000}"/>
    <cellStyle name="40% - Accent6 7 3" xfId="690" xr:uid="{00000000-0005-0000-0000-000005100000}"/>
    <cellStyle name="40% - Accent6 7 3 2" xfId="1982" xr:uid="{00000000-0005-0000-0000-000006100000}"/>
    <cellStyle name="40% - Accent6 7 3 3" xfId="3260" xr:uid="{00000000-0005-0000-0000-000007100000}"/>
    <cellStyle name="40% - Accent6 7 3 4" xfId="4547" xr:uid="{00000000-0005-0000-0000-000008100000}"/>
    <cellStyle name="40% - Accent6 7 4" xfId="1116" xr:uid="{00000000-0005-0000-0000-000009100000}"/>
    <cellStyle name="40% - Accent6 7 4 2" xfId="2408" xr:uid="{00000000-0005-0000-0000-00000A100000}"/>
    <cellStyle name="40% - Accent6 7 4 3" xfId="3686" xr:uid="{00000000-0005-0000-0000-00000B100000}"/>
    <cellStyle name="40% - Accent6 7 4 4" xfId="4973" xr:uid="{00000000-0005-0000-0000-00000C100000}"/>
    <cellStyle name="40% - Accent6 7 5" xfId="1556" xr:uid="{00000000-0005-0000-0000-00000D100000}"/>
    <cellStyle name="40% - Accent6 7 6" xfId="2834" xr:uid="{00000000-0005-0000-0000-00000E100000}"/>
    <cellStyle name="40% - Accent6 7 7" xfId="4121" xr:uid="{00000000-0005-0000-0000-00000F100000}"/>
    <cellStyle name="40% - Accent6 8" xfId="416" xr:uid="{00000000-0005-0000-0000-000010100000}"/>
    <cellStyle name="40% - Accent6 8 2" xfId="842" xr:uid="{00000000-0005-0000-0000-000011100000}"/>
    <cellStyle name="40% - Accent6 8 2 2" xfId="2134" xr:uid="{00000000-0005-0000-0000-000012100000}"/>
    <cellStyle name="40% - Accent6 8 2 3" xfId="3412" xr:uid="{00000000-0005-0000-0000-000013100000}"/>
    <cellStyle name="40% - Accent6 8 2 4" xfId="4699" xr:uid="{00000000-0005-0000-0000-000014100000}"/>
    <cellStyle name="40% - Accent6 8 3" xfId="1268" xr:uid="{00000000-0005-0000-0000-000015100000}"/>
    <cellStyle name="40% - Accent6 8 3 2" xfId="2560" xr:uid="{00000000-0005-0000-0000-000016100000}"/>
    <cellStyle name="40% - Accent6 8 3 3" xfId="3838" xr:uid="{00000000-0005-0000-0000-000017100000}"/>
    <cellStyle name="40% - Accent6 8 3 4" xfId="5125" xr:uid="{00000000-0005-0000-0000-000018100000}"/>
    <cellStyle name="40% - Accent6 8 4" xfId="1708" xr:uid="{00000000-0005-0000-0000-000019100000}"/>
    <cellStyle name="40% - Accent6 8 5" xfId="2986" xr:uid="{00000000-0005-0000-0000-00001A100000}"/>
    <cellStyle name="40% - Accent6 8 6" xfId="4273" xr:uid="{00000000-0005-0000-0000-00001B100000}"/>
    <cellStyle name="40% - Accent6 9" xfId="629" xr:uid="{00000000-0005-0000-0000-00001C100000}"/>
    <cellStyle name="40% - Accent6 9 2" xfId="1921" xr:uid="{00000000-0005-0000-0000-00001D100000}"/>
    <cellStyle name="40% - Accent6 9 3" xfId="3199" xr:uid="{00000000-0005-0000-0000-00001E100000}"/>
    <cellStyle name="40% - Accent6 9 4" xfId="4486" xr:uid="{00000000-0005-0000-0000-00001F100000}"/>
    <cellStyle name="60% - Accent1" xfId="60" builtinId="32" customBuiltin="1"/>
    <cellStyle name="60% - Accent2" xfId="64" builtinId="36" customBuiltin="1"/>
    <cellStyle name="60% - Accent3" xfId="68" builtinId="40" customBuiltin="1"/>
    <cellStyle name="60% - Accent4" xfId="71" builtinId="44" customBuiltin="1"/>
    <cellStyle name="60% - Accent5" xfId="75" builtinId="48" customBuiltin="1"/>
    <cellStyle name="60% - Accent6" xfId="79" builtinId="52" customBuiltin="1"/>
    <cellStyle name="Accent1" xfId="57" builtinId="29" customBuiltin="1"/>
    <cellStyle name="Accent2" xfId="61" builtinId="33" customBuiltin="1"/>
    <cellStyle name="Accent3" xfId="65" builtinId="37" customBuiltin="1"/>
    <cellStyle name="Accent4" xfId="69" builtinId="41" customBuiltin="1"/>
    <cellStyle name="Accent5" xfId="72" builtinId="45" customBuiltin="1"/>
    <cellStyle name="Accent6" xfId="76" builtinId="49" customBuiltin="1"/>
    <cellStyle name="Bad" xfId="48" builtinId="27" customBuiltin="1"/>
    <cellStyle name="Calculation" xfId="51" builtinId="22" customBuiltin="1"/>
    <cellStyle name="Check Cell" xfId="53" builtinId="23" customBuiltin="1"/>
    <cellStyle name="Comma" xfId="9" builtinId="3"/>
    <cellStyle name="Comma 2" xfId="7" xr:uid="{00000000-0005-0000-0000-000030100000}"/>
    <cellStyle name="Comma 2 2" xfId="203" xr:uid="{00000000-0005-0000-0000-000031100000}"/>
    <cellStyle name="Comma 2 3" xfId="82" xr:uid="{00000000-0005-0000-0000-000032100000}"/>
    <cellStyle name="Comma 3" xfId="22" xr:uid="{00000000-0005-0000-0000-000033100000}"/>
    <cellStyle name="Comma 3 2" xfId="204" xr:uid="{00000000-0005-0000-0000-000034100000}"/>
    <cellStyle name="Comma 3 2 2" xfId="250" xr:uid="{00000000-0005-0000-0000-000035100000}"/>
    <cellStyle name="Comma 3 2 2 2" xfId="922" xr:uid="{00000000-0005-0000-0000-000036100000}"/>
    <cellStyle name="Comma 3 2 2 2 2" xfId="2214" xr:uid="{00000000-0005-0000-0000-000037100000}"/>
    <cellStyle name="Comma 3 2 2 2 3" xfId="3492" xr:uid="{00000000-0005-0000-0000-000038100000}"/>
    <cellStyle name="Comma 3 2 2 2 4" xfId="4779" xr:uid="{00000000-0005-0000-0000-000039100000}"/>
    <cellStyle name="Comma 3 2 2 3" xfId="1348" xr:uid="{00000000-0005-0000-0000-00003A100000}"/>
    <cellStyle name="Comma 3 2 2 3 2" xfId="2640" xr:uid="{00000000-0005-0000-0000-00003B100000}"/>
    <cellStyle name="Comma 3 2 2 3 3" xfId="3918" xr:uid="{00000000-0005-0000-0000-00003C100000}"/>
    <cellStyle name="Comma 3 2 2 3 4" xfId="5205" xr:uid="{00000000-0005-0000-0000-00003D100000}"/>
    <cellStyle name="Comma 3 2 2 4" xfId="1788" xr:uid="{00000000-0005-0000-0000-00003E100000}"/>
    <cellStyle name="Comma 3 2 2 5" xfId="3066" xr:uid="{00000000-0005-0000-0000-00003F100000}"/>
    <cellStyle name="Comma 3 2 2 6" xfId="4353" xr:uid="{00000000-0005-0000-0000-000040100000}"/>
    <cellStyle name="Comma 3 2 2 7" xfId="5333" xr:uid="{00000000-0005-0000-0000-000041100000}"/>
    <cellStyle name="Comma 3 2 3" xfId="709" xr:uid="{00000000-0005-0000-0000-000042100000}"/>
    <cellStyle name="Comma 3 2 3 2" xfId="2001" xr:uid="{00000000-0005-0000-0000-000043100000}"/>
    <cellStyle name="Comma 3 2 3 3" xfId="3279" xr:uid="{00000000-0005-0000-0000-000044100000}"/>
    <cellStyle name="Comma 3 2 3 4" xfId="4566" xr:uid="{00000000-0005-0000-0000-000045100000}"/>
    <cellStyle name="Comma 3 2 4" xfId="1135" xr:uid="{00000000-0005-0000-0000-000046100000}"/>
    <cellStyle name="Comma 3 2 4 2" xfId="2427" xr:uid="{00000000-0005-0000-0000-000047100000}"/>
    <cellStyle name="Comma 3 2 4 3" xfId="3705" xr:uid="{00000000-0005-0000-0000-000048100000}"/>
    <cellStyle name="Comma 3 2 4 4" xfId="4992" xr:uid="{00000000-0005-0000-0000-000049100000}"/>
    <cellStyle name="Comma 3 2 5" xfId="1575" xr:uid="{00000000-0005-0000-0000-00004A100000}"/>
    <cellStyle name="Comma 3 2 6" xfId="2853" xr:uid="{00000000-0005-0000-0000-00004B100000}"/>
    <cellStyle name="Comma 3 2 7" xfId="4140" xr:uid="{00000000-0005-0000-0000-00004C100000}"/>
    <cellStyle name="Comma 3 2 8" xfId="5332" xr:uid="{00000000-0005-0000-0000-00004D100000}"/>
    <cellStyle name="Comma 3 3" xfId="1358" xr:uid="{00000000-0005-0000-0000-00004E100000}"/>
    <cellStyle name="Comma 3 4" xfId="5302" xr:uid="{00000000-0005-0000-0000-00004F100000}"/>
    <cellStyle name="Comma 4" xfId="1355" xr:uid="{00000000-0005-0000-0000-000050100000}"/>
    <cellStyle name="Comma 5" xfId="1352" xr:uid="{00000000-0005-0000-0000-000051100000}"/>
    <cellStyle name="Comma 6" xfId="3926" xr:uid="{00000000-0005-0000-0000-000052100000}"/>
    <cellStyle name="Currency" xfId="1" builtinId="4"/>
    <cellStyle name="Currency 2" xfId="205" xr:uid="{00000000-0005-0000-0000-000054100000}"/>
    <cellStyle name="Currency 2 2" xfId="248" xr:uid="{00000000-0005-0000-0000-000055100000}"/>
    <cellStyle name="Currency 2 2 2" xfId="5303" xr:uid="{00000000-0005-0000-0000-000056100000}"/>
    <cellStyle name="Currency 3" xfId="1356" xr:uid="{00000000-0005-0000-0000-000057100000}"/>
    <cellStyle name="Explanatory Text" xfId="55"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5" builtinId="8"/>
    <cellStyle name="Hyperlink 2" xfId="245" xr:uid="{00000000-0005-0000-0000-00005F100000}"/>
    <cellStyle name="Input" xfId="50" builtinId="20" customBuiltin="1"/>
    <cellStyle name="Linked Cell" xfId="52" builtinId="24" customBuiltin="1"/>
    <cellStyle name="Neutral" xfId="49" builtinId="28" customBuiltin="1"/>
    <cellStyle name="Normal" xfId="0" builtinId="0"/>
    <cellStyle name="Normal 10" xfId="1354" xr:uid="{00000000-0005-0000-0000-000064100000}"/>
    <cellStyle name="Normal 10 2" xfId="3924" xr:uid="{00000000-0005-0000-0000-000065100000}"/>
    <cellStyle name="Normal 11" xfId="1351" xr:uid="{00000000-0005-0000-0000-000066100000}"/>
    <cellStyle name="Normal 12" xfId="3919" xr:uid="{00000000-0005-0000-0000-000067100000}"/>
    <cellStyle name="Normal 12 2" xfId="3927" xr:uid="{00000000-0005-0000-0000-000068100000}"/>
    <cellStyle name="Normal 13" xfId="5338" xr:uid="{541B4E07-E577-46C8-B4B3-8F345E16E051}"/>
    <cellStyle name="Normal 2" xfId="6" xr:uid="{00000000-0005-0000-0000-000069100000}"/>
    <cellStyle name="Normal 2 2" xfId="23" xr:uid="{00000000-0005-0000-0000-00006A100000}"/>
    <cellStyle name="Normal 2 2 2 2 2" xfId="5336" xr:uid="{797D6A6C-4BE2-4D45-B3EC-12D696687133}"/>
    <cellStyle name="Normal 2 2 2 2 2 2" xfId="5337" xr:uid="{A3BD22F7-723C-4588-8494-5F5F8AB8FCB5}"/>
    <cellStyle name="Normal 2 2 2 2 3" xfId="5341" xr:uid="{3FCEF959-8EDD-4618-A6FE-76B7BFBC8F24}"/>
    <cellStyle name="Normal 2 3" xfId="24" xr:uid="{00000000-0005-0000-0000-00006B100000}"/>
    <cellStyle name="Normal 2 3 2" xfId="207" xr:uid="{00000000-0005-0000-0000-00006C100000}"/>
    <cellStyle name="Normal 2 4" xfId="25" xr:uid="{00000000-0005-0000-0000-00006D100000}"/>
    <cellStyle name="Normal 2 4 2" xfId="26" xr:uid="{00000000-0005-0000-0000-00006E100000}"/>
    <cellStyle name="Normal 2 4 3" xfId="3921" xr:uid="{00000000-0005-0000-0000-00006F100000}"/>
    <cellStyle name="Normal 2 5" xfId="27" xr:uid="{00000000-0005-0000-0000-000070100000}"/>
    <cellStyle name="Normal 2 5 2" xfId="28" xr:uid="{00000000-0005-0000-0000-000071100000}"/>
    <cellStyle name="Normal 2 6" xfId="29" xr:uid="{00000000-0005-0000-0000-000072100000}"/>
    <cellStyle name="Normal 2 7" xfId="206" xr:uid="{00000000-0005-0000-0000-000073100000}"/>
    <cellStyle name="Normal 2 8" xfId="81" xr:uid="{00000000-0005-0000-0000-000074100000}"/>
    <cellStyle name="Normal 2 9" xfId="3922" xr:uid="{00000000-0005-0000-0000-000075100000}"/>
    <cellStyle name="Normal 3" xfId="30" xr:uid="{00000000-0005-0000-0000-000076100000}"/>
    <cellStyle name="Normal 3 2" xfId="208" xr:uid="{00000000-0005-0000-0000-000077100000}"/>
    <cellStyle name="Normal 3 2 2" xfId="3923" xr:uid="{00000000-0005-0000-0000-000078100000}"/>
    <cellStyle name="Normal 3 2 3" xfId="5339" xr:uid="{19AD957C-B6FA-43FE-81C9-8B9546E71DAF}"/>
    <cellStyle name="Normal 3 3" xfId="3920" xr:uid="{00000000-0005-0000-0000-000079100000}"/>
    <cellStyle name="Normal 4" xfId="31" xr:uid="{00000000-0005-0000-0000-00007A100000}"/>
    <cellStyle name="Normal 4 2" xfId="246" xr:uid="{00000000-0005-0000-0000-00007B100000}"/>
    <cellStyle name="Normal 4 2 2" xfId="1359" xr:uid="{00000000-0005-0000-0000-00007C100000}"/>
    <cellStyle name="Normal 4 3" xfId="251" xr:uid="{00000000-0005-0000-0000-00007D100000}"/>
    <cellStyle name="Normal 4 3 2" xfId="1360" xr:uid="{00000000-0005-0000-0000-00007E100000}"/>
    <cellStyle name="Normal 4 4" xfId="252" xr:uid="{00000000-0005-0000-0000-00007F100000}"/>
    <cellStyle name="Normal 4 4 2" xfId="1362" xr:uid="{00000000-0005-0000-0000-000080100000}"/>
    <cellStyle name="Normal 4 5" xfId="1349" xr:uid="{00000000-0005-0000-0000-000081100000}"/>
    <cellStyle name="Normal 4 5 2" xfId="1350" xr:uid="{00000000-0005-0000-0000-000082100000}"/>
    <cellStyle name="Normal 4 6" xfId="3925" xr:uid="{00000000-0005-0000-0000-000083100000}"/>
    <cellStyle name="Normal 4 6 2" xfId="5334" xr:uid="{00000000-0005-0000-0000-000084100000}"/>
    <cellStyle name="Normal 5" xfId="32" xr:uid="{00000000-0005-0000-0000-000085100000}"/>
    <cellStyle name="Normal 5 2" xfId="5340" xr:uid="{E6088253-DF7C-4C6C-A382-A18E72199282}"/>
    <cellStyle name="Normal 6" xfId="33" xr:uid="{00000000-0005-0000-0000-000086100000}"/>
    <cellStyle name="Normal 6 2" xfId="209" xr:uid="{00000000-0005-0000-0000-000087100000}"/>
    <cellStyle name="Normal 7" xfId="34" xr:uid="{00000000-0005-0000-0000-000088100000}"/>
    <cellStyle name="Normal 7 10" xfId="428" xr:uid="{00000000-0005-0000-0000-000089100000}"/>
    <cellStyle name="Normal 7 10 2" xfId="854" xr:uid="{00000000-0005-0000-0000-00008A100000}"/>
    <cellStyle name="Normal 7 10 2 2" xfId="2146" xr:uid="{00000000-0005-0000-0000-00008B100000}"/>
    <cellStyle name="Normal 7 10 2 3" xfId="3424" xr:uid="{00000000-0005-0000-0000-00008C100000}"/>
    <cellStyle name="Normal 7 10 2 4" xfId="4711" xr:uid="{00000000-0005-0000-0000-00008D100000}"/>
    <cellStyle name="Normal 7 10 3" xfId="1280" xr:uid="{00000000-0005-0000-0000-00008E100000}"/>
    <cellStyle name="Normal 7 10 3 2" xfId="2572" xr:uid="{00000000-0005-0000-0000-00008F100000}"/>
    <cellStyle name="Normal 7 10 3 3" xfId="3850" xr:uid="{00000000-0005-0000-0000-000090100000}"/>
    <cellStyle name="Normal 7 10 3 4" xfId="5137" xr:uid="{00000000-0005-0000-0000-000091100000}"/>
    <cellStyle name="Normal 7 10 4" xfId="1720" xr:uid="{00000000-0005-0000-0000-000092100000}"/>
    <cellStyle name="Normal 7 10 5" xfId="2998" xr:uid="{00000000-0005-0000-0000-000093100000}"/>
    <cellStyle name="Normal 7 10 6" xfId="4285" xr:uid="{00000000-0005-0000-0000-000094100000}"/>
    <cellStyle name="Normal 7 11" xfId="641" xr:uid="{00000000-0005-0000-0000-000095100000}"/>
    <cellStyle name="Normal 7 11 2" xfId="1933" xr:uid="{00000000-0005-0000-0000-000096100000}"/>
    <cellStyle name="Normal 7 11 3" xfId="3211" xr:uid="{00000000-0005-0000-0000-000097100000}"/>
    <cellStyle name="Normal 7 11 4" xfId="4498" xr:uid="{00000000-0005-0000-0000-000098100000}"/>
    <cellStyle name="Normal 7 12" xfId="1067" xr:uid="{00000000-0005-0000-0000-000099100000}"/>
    <cellStyle name="Normal 7 12 2" xfId="2359" xr:uid="{00000000-0005-0000-0000-00009A100000}"/>
    <cellStyle name="Normal 7 12 3" xfId="3637" xr:uid="{00000000-0005-0000-0000-00009B100000}"/>
    <cellStyle name="Normal 7 12 4" xfId="4924" xr:uid="{00000000-0005-0000-0000-00009C100000}"/>
    <cellStyle name="Normal 7 13" xfId="1507" xr:uid="{00000000-0005-0000-0000-00009D100000}"/>
    <cellStyle name="Normal 7 14" xfId="2785" xr:uid="{00000000-0005-0000-0000-00009E100000}"/>
    <cellStyle name="Normal 7 15" xfId="4072" xr:uid="{00000000-0005-0000-0000-00009F100000}"/>
    <cellStyle name="Normal 7 16" xfId="5304" xr:uid="{00000000-0005-0000-0000-0000A0100000}"/>
    <cellStyle name="Normal 7 2" xfId="35" xr:uid="{00000000-0005-0000-0000-0000A1100000}"/>
    <cellStyle name="Normal 7 2 10" xfId="1508" xr:uid="{00000000-0005-0000-0000-0000A2100000}"/>
    <cellStyle name="Normal 7 2 11" xfId="2786" xr:uid="{00000000-0005-0000-0000-0000A3100000}"/>
    <cellStyle name="Normal 7 2 12" xfId="4073" xr:uid="{00000000-0005-0000-0000-0000A4100000}"/>
    <cellStyle name="Normal 7 2 13" xfId="5305" xr:uid="{00000000-0005-0000-0000-0000A5100000}"/>
    <cellStyle name="Normal 7 2 2" xfId="210" xr:uid="{00000000-0005-0000-0000-0000A6100000}"/>
    <cellStyle name="Normal 7 2 2 2" xfId="211" xr:uid="{00000000-0005-0000-0000-0000A7100000}"/>
    <cellStyle name="Normal 7 2 2 2 2" xfId="431" xr:uid="{00000000-0005-0000-0000-0000A8100000}"/>
    <cellStyle name="Normal 7 2 2 2 2 2" xfId="857" xr:uid="{00000000-0005-0000-0000-0000A9100000}"/>
    <cellStyle name="Normal 7 2 2 2 2 2 2" xfId="2149" xr:uid="{00000000-0005-0000-0000-0000AA100000}"/>
    <cellStyle name="Normal 7 2 2 2 2 2 3" xfId="3427" xr:uid="{00000000-0005-0000-0000-0000AB100000}"/>
    <cellStyle name="Normal 7 2 2 2 2 2 4" xfId="4714" xr:uid="{00000000-0005-0000-0000-0000AC100000}"/>
    <cellStyle name="Normal 7 2 2 2 2 3" xfId="1283" xr:uid="{00000000-0005-0000-0000-0000AD100000}"/>
    <cellStyle name="Normal 7 2 2 2 2 3 2" xfId="2575" xr:uid="{00000000-0005-0000-0000-0000AE100000}"/>
    <cellStyle name="Normal 7 2 2 2 2 3 3" xfId="3853" xr:uid="{00000000-0005-0000-0000-0000AF100000}"/>
    <cellStyle name="Normal 7 2 2 2 2 3 4" xfId="5140" xr:uid="{00000000-0005-0000-0000-0000B0100000}"/>
    <cellStyle name="Normal 7 2 2 2 2 4" xfId="1723" xr:uid="{00000000-0005-0000-0000-0000B1100000}"/>
    <cellStyle name="Normal 7 2 2 2 2 5" xfId="3001" xr:uid="{00000000-0005-0000-0000-0000B2100000}"/>
    <cellStyle name="Normal 7 2 2 2 2 6" xfId="4288" xr:uid="{00000000-0005-0000-0000-0000B3100000}"/>
    <cellStyle name="Normal 7 2 2 2 3" xfId="644" xr:uid="{00000000-0005-0000-0000-0000B4100000}"/>
    <cellStyle name="Normal 7 2 2 2 3 2" xfId="1936" xr:uid="{00000000-0005-0000-0000-0000B5100000}"/>
    <cellStyle name="Normal 7 2 2 2 3 3" xfId="3214" xr:uid="{00000000-0005-0000-0000-0000B6100000}"/>
    <cellStyle name="Normal 7 2 2 2 3 4" xfId="4501" xr:uid="{00000000-0005-0000-0000-0000B7100000}"/>
    <cellStyle name="Normal 7 2 2 2 4" xfId="1070" xr:uid="{00000000-0005-0000-0000-0000B8100000}"/>
    <cellStyle name="Normal 7 2 2 2 4 2" xfId="2362" xr:uid="{00000000-0005-0000-0000-0000B9100000}"/>
    <cellStyle name="Normal 7 2 2 2 4 3" xfId="3640" xr:uid="{00000000-0005-0000-0000-0000BA100000}"/>
    <cellStyle name="Normal 7 2 2 2 4 4" xfId="4927" xr:uid="{00000000-0005-0000-0000-0000BB100000}"/>
    <cellStyle name="Normal 7 2 2 2 5" xfId="1510" xr:uid="{00000000-0005-0000-0000-0000BC100000}"/>
    <cellStyle name="Normal 7 2 2 2 6" xfId="2788" xr:uid="{00000000-0005-0000-0000-0000BD100000}"/>
    <cellStyle name="Normal 7 2 2 2 7" xfId="4075" xr:uid="{00000000-0005-0000-0000-0000BE100000}"/>
    <cellStyle name="Normal 7 2 2 2 8" xfId="5307" xr:uid="{00000000-0005-0000-0000-0000BF100000}"/>
    <cellStyle name="Normal 7 2 2 3" xfId="430" xr:uid="{00000000-0005-0000-0000-0000C0100000}"/>
    <cellStyle name="Normal 7 2 2 3 2" xfId="856" xr:uid="{00000000-0005-0000-0000-0000C1100000}"/>
    <cellStyle name="Normal 7 2 2 3 2 2" xfId="2148" xr:uid="{00000000-0005-0000-0000-0000C2100000}"/>
    <cellStyle name="Normal 7 2 2 3 2 3" xfId="3426" xr:uid="{00000000-0005-0000-0000-0000C3100000}"/>
    <cellStyle name="Normal 7 2 2 3 2 4" xfId="4713" xr:uid="{00000000-0005-0000-0000-0000C4100000}"/>
    <cellStyle name="Normal 7 2 2 3 3" xfId="1282" xr:uid="{00000000-0005-0000-0000-0000C5100000}"/>
    <cellStyle name="Normal 7 2 2 3 3 2" xfId="2574" xr:uid="{00000000-0005-0000-0000-0000C6100000}"/>
    <cellStyle name="Normal 7 2 2 3 3 3" xfId="3852" xr:uid="{00000000-0005-0000-0000-0000C7100000}"/>
    <cellStyle name="Normal 7 2 2 3 3 4" xfId="5139" xr:uid="{00000000-0005-0000-0000-0000C8100000}"/>
    <cellStyle name="Normal 7 2 2 3 4" xfId="1722" xr:uid="{00000000-0005-0000-0000-0000C9100000}"/>
    <cellStyle name="Normal 7 2 2 3 5" xfId="3000" xr:uid="{00000000-0005-0000-0000-0000CA100000}"/>
    <cellStyle name="Normal 7 2 2 3 6" xfId="4287" xr:uid="{00000000-0005-0000-0000-0000CB100000}"/>
    <cellStyle name="Normal 7 2 2 4" xfId="643" xr:uid="{00000000-0005-0000-0000-0000CC100000}"/>
    <cellStyle name="Normal 7 2 2 4 2" xfId="1935" xr:uid="{00000000-0005-0000-0000-0000CD100000}"/>
    <cellStyle name="Normal 7 2 2 4 3" xfId="3213" xr:uid="{00000000-0005-0000-0000-0000CE100000}"/>
    <cellStyle name="Normal 7 2 2 4 4" xfId="4500" xr:uid="{00000000-0005-0000-0000-0000CF100000}"/>
    <cellStyle name="Normal 7 2 2 5" xfId="1069" xr:uid="{00000000-0005-0000-0000-0000D0100000}"/>
    <cellStyle name="Normal 7 2 2 5 2" xfId="2361" xr:uid="{00000000-0005-0000-0000-0000D1100000}"/>
    <cellStyle name="Normal 7 2 2 5 3" xfId="3639" xr:uid="{00000000-0005-0000-0000-0000D2100000}"/>
    <cellStyle name="Normal 7 2 2 5 4" xfId="4926" xr:uid="{00000000-0005-0000-0000-0000D3100000}"/>
    <cellStyle name="Normal 7 2 2 6" xfId="1509" xr:uid="{00000000-0005-0000-0000-0000D4100000}"/>
    <cellStyle name="Normal 7 2 2 7" xfId="2787" xr:uid="{00000000-0005-0000-0000-0000D5100000}"/>
    <cellStyle name="Normal 7 2 2 8" xfId="4074" xr:uid="{00000000-0005-0000-0000-0000D6100000}"/>
    <cellStyle name="Normal 7 2 2 9" xfId="5306" xr:uid="{00000000-0005-0000-0000-0000D7100000}"/>
    <cellStyle name="Normal 7 2 3" xfId="212" xr:uid="{00000000-0005-0000-0000-0000D8100000}"/>
    <cellStyle name="Normal 7 2 3 2" xfId="432" xr:uid="{00000000-0005-0000-0000-0000D9100000}"/>
    <cellStyle name="Normal 7 2 3 2 2" xfId="858" xr:uid="{00000000-0005-0000-0000-0000DA100000}"/>
    <cellStyle name="Normal 7 2 3 2 2 2" xfId="2150" xr:uid="{00000000-0005-0000-0000-0000DB100000}"/>
    <cellStyle name="Normal 7 2 3 2 2 3" xfId="3428" xr:uid="{00000000-0005-0000-0000-0000DC100000}"/>
    <cellStyle name="Normal 7 2 3 2 2 4" xfId="4715" xr:uid="{00000000-0005-0000-0000-0000DD100000}"/>
    <cellStyle name="Normal 7 2 3 2 3" xfId="1284" xr:uid="{00000000-0005-0000-0000-0000DE100000}"/>
    <cellStyle name="Normal 7 2 3 2 3 2" xfId="2576" xr:uid="{00000000-0005-0000-0000-0000DF100000}"/>
    <cellStyle name="Normal 7 2 3 2 3 3" xfId="3854" xr:uid="{00000000-0005-0000-0000-0000E0100000}"/>
    <cellStyle name="Normal 7 2 3 2 3 4" xfId="5141" xr:uid="{00000000-0005-0000-0000-0000E1100000}"/>
    <cellStyle name="Normal 7 2 3 2 4" xfId="1724" xr:uid="{00000000-0005-0000-0000-0000E2100000}"/>
    <cellStyle name="Normal 7 2 3 2 5" xfId="3002" xr:uid="{00000000-0005-0000-0000-0000E3100000}"/>
    <cellStyle name="Normal 7 2 3 2 6" xfId="4289" xr:uid="{00000000-0005-0000-0000-0000E4100000}"/>
    <cellStyle name="Normal 7 2 3 3" xfId="645" xr:uid="{00000000-0005-0000-0000-0000E5100000}"/>
    <cellStyle name="Normal 7 2 3 3 2" xfId="1937" xr:uid="{00000000-0005-0000-0000-0000E6100000}"/>
    <cellStyle name="Normal 7 2 3 3 3" xfId="3215" xr:uid="{00000000-0005-0000-0000-0000E7100000}"/>
    <cellStyle name="Normal 7 2 3 3 4" xfId="4502" xr:uid="{00000000-0005-0000-0000-0000E8100000}"/>
    <cellStyle name="Normal 7 2 3 4" xfId="1071" xr:uid="{00000000-0005-0000-0000-0000E9100000}"/>
    <cellStyle name="Normal 7 2 3 4 2" xfId="2363" xr:uid="{00000000-0005-0000-0000-0000EA100000}"/>
    <cellStyle name="Normal 7 2 3 4 3" xfId="3641" xr:uid="{00000000-0005-0000-0000-0000EB100000}"/>
    <cellStyle name="Normal 7 2 3 4 4" xfId="4928" xr:uid="{00000000-0005-0000-0000-0000EC100000}"/>
    <cellStyle name="Normal 7 2 3 5" xfId="1511" xr:uid="{00000000-0005-0000-0000-0000ED100000}"/>
    <cellStyle name="Normal 7 2 3 6" xfId="2789" xr:uid="{00000000-0005-0000-0000-0000EE100000}"/>
    <cellStyle name="Normal 7 2 3 7" xfId="4076" xr:uid="{00000000-0005-0000-0000-0000EF100000}"/>
    <cellStyle name="Normal 7 2 3 8" xfId="5308" xr:uid="{00000000-0005-0000-0000-0000F0100000}"/>
    <cellStyle name="Normal 7 2 4" xfId="213" xr:uid="{00000000-0005-0000-0000-0000F1100000}"/>
    <cellStyle name="Normal 7 2 4 2" xfId="433" xr:uid="{00000000-0005-0000-0000-0000F2100000}"/>
    <cellStyle name="Normal 7 2 4 2 2" xfId="859" xr:uid="{00000000-0005-0000-0000-0000F3100000}"/>
    <cellStyle name="Normal 7 2 4 2 2 2" xfId="2151" xr:uid="{00000000-0005-0000-0000-0000F4100000}"/>
    <cellStyle name="Normal 7 2 4 2 2 3" xfId="3429" xr:uid="{00000000-0005-0000-0000-0000F5100000}"/>
    <cellStyle name="Normal 7 2 4 2 2 4" xfId="4716" xr:uid="{00000000-0005-0000-0000-0000F6100000}"/>
    <cellStyle name="Normal 7 2 4 2 3" xfId="1285" xr:uid="{00000000-0005-0000-0000-0000F7100000}"/>
    <cellStyle name="Normal 7 2 4 2 3 2" xfId="2577" xr:uid="{00000000-0005-0000-0000-0000F8100000}"/>
    <cellStyle name="Normal 7 2 4 2 3 3" xfId="3855" xr:uid="{00000000-0005-0000-0000-0000F9100000}"/>
    <cellStyle name="Normal 7 2 4 2 3 4" xfId="5142" xr:uid="{00000000-0005-0000-0000-0000FA100000}"/>
    <cellStyle name="Normal 7 2 4 2 4" xfId="1725" xr:uid="{00000000-0005-0000-0000-0000FB100000}"/>
    <cellStyle name="Normal 7 2 4 2 5" xfId="3003" xr:uid="{00000000-0005-0000-0000-0000FC100000}"/>
    <cellStyle name="Normal 7 2 4 2 6" xfId="4290" xr:uid="{00000000-0005-0000-0000-0000FD100000}"/>
    <cellStyle name="Normal 7 2 4 3" xfId="646" xr:uid="{00000000-0005-0000-0000-0000FE100000}"/>
    <cellStyle name="Normal 7 2 4 3 2" xfId="1938" xr:uid="{00000000-0005-0000-0000-0000FF100000}"/>
    <cellStyle name="Normal 7 2 4 3 3" xfId="3216" xr:uid="{00000000-0005-0000-0000-000000110000}"/>
    <cellStyle name="Normal 7 2 4 3 4" xfId="4503" xr:uid="{00000000-0005-0000-0000-000001110000}"/>
    <cellStyle name="Normal 7 2 4 4" xfId="1072" xr:uid="{00000000-0005-0000-0000-000002110000}"/>
    <cellStyle name="Normal 7 2 4 4 2" xfId="2364" xr:uid="{00000000-0005-0000-0000-000003110000}"/>
    <cellStyle name="Normal 7 2 4 4 3" xfId="3642" xr:uid="{00000000-0005-0000-0000-000004110000}"/>
    <cellStyle name="Normal 7 2 4 4 4" xfId="4929" xr:uid="{00000000-0005-0000-0000-000005110000}"/>
    <cellStyle name="Normal 7 2 4 5" xfId="1512" xr:uid="{00000000-0005-0000-0000-000006110000}"/>
    <cellStyle name="Normal 7 2 4 6" xfId="2790" xr:uid="{00000000-0005-0000-0000-000007110000}"/>
    <cellStyle name="Normal 7 2 4 7" xfId="4077" xr:uid="{00000000-0005-0000-0000-000008110000}"/>
    <cellStyle name="Normal 7 2 5" xfId="214" xr:uid="{00000000-0005-0000-0000-000009110000}"/>
    <cellStyle name="Normal 7 2 5 2" xfId="434" xr:uid="{00000000-0005-0000-0000-00000A110000}"/>
    <cellStyle name="Normal 7 2 5 2 2" xfId="860" xr:uid="{00000000-0005-0000-0000-00000B110000}"/>
    <cellStyle name="Normal 7 2 5 2 2 2" xfId="2152" xr:uid="{00000000-0005-0000-0000-00000C110000}"/>
    <cellStyle name="Normal 7 2 5 2 2 3" xfId="3430" xr:uid="{00000000-0005-0000-0000-00000D110000}"/>
    <cellStyle name="Normal 7 2 5 2 2 4" xfId="4717" xr:uid="{00000000-0005-0000-0000-00000E110000}"/>
    <cellStyle name="Normal 7 2 5 2 3" xfId="1286" xr:uid="{00000000-0005-0000-0000-00000F110000}"/>
    <cellStyle name="Normal 7 2 5 2 3 2" xfId="2578" xr:uid="{00000000-0005-0000-0000-000010110000}"/>
    <cellStyle name="Normal 7 2 5 2 3 3" xfId="3856" xr:uid="{00000000-0005-0000-0000-000011110000}"/>
    <cellStyle name="Normal 7 2 5 2 3 4" xfId="5143" xr:uid="{00000000-0005-0000-0000-000012110000}"/>
    <cellStyle name="Normal 7 2 5 2 4" xfId="1726" xr:uid="{00000000-0005-0000-0000-000013110000}"/>
    <cellStyle name="Normal 7 2 5 2 5" xfId="3004" xr:uid="{00000000-0005-0000-0000-000014110000}"/>
    <cellStyle name="Normal 7 2 5 2 6" xfId="4291" xr:uid="{00000000-0005-0000-0000-000015110000}"/>
    <cellStyle name="Normal 7 2 5 3" xfId="647" xr:uid="{00000000-0005-0000-0000-000016110000}"/>
    <cellStyle name="Normal 7 2 5 3 2" xfId="1939" xr:uid="{00000000-0005-0000-0000-000017110000}"/>
    <cellStyle name="Normal 7 2 5 3 3" xfId="3217" xr:uid="{00000000-0005-0000-0000-000018110000}"/>
    <cellStyle name="Normal 7 2 5 3 4" xfId="4504" xr:uid="{00000000-0005-0000-0000-000019110000}"/>
    <cellStyle name="Normal 7 2 5 4" xfId="1073" xr:uid="{00000000-0005-0000-0000-00001A110000}"/>
    <cellStyle name="Normal 7 2 5 4 2" xfId="2365" xr:uid="{00000000-0005-0000-0000-00001B110000}"/>
    <cellStyle name="Normal 7 2 5 4 3" xfId="3643" xr:uid="{00000000-0005-0000-0000-00001C110000}"/>
    <cellStyle name="Normal 7 2 5 4 4" xfId="4930" xr:uid="{00000000-0005-0000-0000-00001D110000}"/>
    <cellStyle name="Normal 7 2 5 5" xfId="1513" xr:uid="{00000000-0005-0000-0000-00001E110000}"/>
    <cellStyle name="Normal 7 2 5 6" xfId="2791" xr:uid="{00000000-0005-0000-0000-00001F110000}"/>
    <cellStyle name="Normal 7 2 5 7" xfId="4078" xr:uid="{00000000-0005-0000-0000-000020110000}"/>
    <cellStyle name="Normal 7 2 6" xfId="281" xr:uid="{00000000-0005-0000-0000-000021110000}"/>
    <cellStyle name="Normal 7 2 6 2" xfId="494" xr:uid="{00000000-0005-0000-0000-000022110000}"/>
    <cellStyle name="Normal 7 2 6 2 2" xfId="919" xr:uid="{00000000-0005-0000-0000-000023110000}"/>
    <cellStyle name="Normal 7 2 6 2 2 2" xfId="2211" xr:uid="{00000000-0005-0000-0000-000024110000}"/>
    <cellStyle name="Normal 7 2 6 2 2 3" xfId="3489" xr:uid="{00000000-0005-0000-0000-000025110000}"/>
    <cellStyle name="Normal 7 2 6 2 2 4" xfId="4776" xr:uid="{00000000-0005-0000-0000-000026110000}"/>
    <cellStyle name="Normal 7 2 6 2 3" xfId="1345" xr:uid="{00000000-0005-0000-0000-000027110000}"/>
    <cellStyle name="Normal 7 2 6 2 3 2" xfId="2637" xr:uid="{00000000-0005-0000-0000-000028110000}"/>
    <cellStyle name="Normal 7 2 6 2 3 3" xfId="3915" xr:uid="{00000000-0005-0000-0000-000029110000}"/>
    <cellStyle name="Normal 7 2 6 2 3 4" xfId="5202" xr:uid="{00000000-0005-0000-0000-00002A110000}"/>
    <cellStyle name="Normal 7 2 6 2 4" xfId="1785" xr:uid="{00000000-0005-0000-0000-00002B110000}"/>
    <cellStyle name="Normal 7 2 6 2 5" xfId="3063" xr:uid="{00000000-0005-0000-0000-00002C110000}"/>
    <cellStyle name="Normal 7 2 6 2 6" xfId="4350" xr:uid="{00000000-0005-0000-0000-00002D110000}"/>
    <cellStyle name="Normal 7 2 6 3" xfId="706" xr:uid="{00000000-0005-0000-0000-00002E110000}"/>
    <cellStyle name="Normal 7 2 6 3 2" xfId="1998" xr:uid="{00000000-0005-0000-0000-00002F110000}"/>
    <cellStyle name="Normal 7 2 6 3 3" xfId="3276" xr:uid="{00000000-0005-0000-0000-000030110000}"/>
    <cellStyle name="Normal 7 2 6 3 4" xfId="4563" xr:uid="{00000000-0005-0000-0000-000031110000}"/>
    <cellStyle name="Normal 7 2 6 4" xfId="1132" xr:uid="{00000000-0005-0000-0000-000032110000}"/>
    <cellStyle name="Normal 7 2 6 4 2" xfId="2424" xr:uid="{00000000-0005-0000-0000-000033110000}"/>
    <cellStyle name="Normal 7 2 6 4 3" xfId="3702" xr:uid="{00000000-0005-0000-0000-000034110000}"/>
    <cellStyle name="Normal 7 2 6 4 4" xfId="4989" xr:uid="{00000000-0005-0000-0000-000035110000}"/>
    <cellStyle name="Normal 7 2 6 5" xfId="1572" xr:uid="{00000000-0005-0000-0000-000036110000}"/>
    <cellStyle name="Normal 7 2 6 6" xfId="2850" xr:uid="{00000000-0005-0000-0000-000037110000}"/>
    <cellStyle name="Normal 7 2 6 7" xfId="4137" xr:uid="{00000000-0005-0000-0000-000038110000}"/>
    <cellStyle name="Normal 7 2 7" xfId="429" xr:uid="{00000000-0005-0000-0000-000039110000}"/>
    <cellStyle name="Normal 7 2 7 2" xfId="855" xr:uid="{00000000-0005-0000-0000-00003A110000}"/>
    <cellStyle name="Normal 7 2 7 2 2" xfId="2147" xr:uid="{00000000-0005-0000-0000-00003B110000}"/>
    <cellStyle name="Normal 7 2 7 2 3" xfId="3425" xr:uid="{00000000-0005-0000-0000-00003C110000}"/>
    <cellStyle name="Normal 7 2 7 2 4" xfId="4712" xr:uid="{00000000-0005-0000-0000-00003D110000}"/>
    <cellStyle name="Normal 7 2 7 3" xfId="1281" xr:uid="{00000000-0005-0000-0000-00003E110000}"/>
    <cellStyle name="Normal 7 2 7 3 2" xfId="2573" xr:uid="{00000000-0005-0000-0000-00003F110000}"/>
    <cellStyle name="Normal 7 2 7 3 3" xfId="3851" xr:uid="{00000000-0005-0000-0000-000040110000}"/>
    <cellStyle name="Normal 7 2 7 3 4" xfId="5138" xr:uid="{00000000-0005-0000-0000-000041110000}"/>
    <cellStyle name="Normal 7 2 7 4" xfId="1721" xr:uid="{00000000-0005-0000-0000-000042110000}"/>
    <cellStyle name="Normal 7 2 7 5" xfId="2999" xr:uid="{00000000-0005-0000-0000-000043110000}"/>
    <cellStyle name="Normal 7 2 7 6" xfId="4286" xr:uid="{00000000-0005-0000-0000-000044110000}"/>
    <cellStyle name="Normal 7 2 8" xfId="642" xr:uid="{00000000-0005-0000-0000-000045110000}"/>
    <cellStyle name="Normal 7 2 8 2" xfId="1934" xr:uid="{00000000-0005-0000-0000-000046110000}"/>
    <cellStyle name="Normal 7 2 8 3" xfId="3212" xr:uid="{00000000-0005-0000-0000-000047110000}"/>
    <cellStyle name="Normal 7 2 8 4" xfId="4499" xr:uid="{00000000-0005-0000-0000-000048110000}"/>
    <cellStyle name="Normal 7 2 9" xfId="1068" xr:uid="{00000000-0005-0000-0000-000049110000}"/>
    <cellStyle name="Normal 7 2 9 2" xfId="2360" xr:uid="{00000000-0005-0000-0000-00004A110000}"/>
    <cellStyle name="Normal 7 2 9 3" xfId="3638" xr:uid="{00000000-0005-0000-0000-00004B110000}"/>
    <cellStyle name="Normal 7 2 9 4" xfId="4925" xr:uid="{00000000-0005-0000-0000-00004C110000}"/>
    <cellStyle name="Normal 7 3" xfId="215" xr:uid="{00000000-0005-0000-0000-00004D110000}"/>
    <cellStyle name="Normal 7 3 2" xfId="216" xr:uid="{00000000-0005-0000-0000-00004E110000}"/>
    <cellStyle name="Normal 7 3 2 2" xfId="436" xr:uid="{00000000-0005-0000-0000-00004F110000}"/>
    <cellStyle name="Normal 7 3 2 2 2" xfId="862" xr:uid="{00000000-0005-0000-0000-000050110000}"/>
    <cellStyle name="Normal 7 3 2 2 2 2" xfId="2154" xr:uid="{00000000-0005-0000-0000-000051110000}"/>
    <cellStyle name="Normal 7 3 2 2 2 3" xfId="3432" xr:uid="{00000000-0005-0000-0000-000052110000}"/>
    <cellStyle name="Normal 7 3 2 2 2 4" xfId="4719" xr:uid="{00000000-0005-0000-0000-000053110000}"/>
    <cellStyle name="Normal 7 3 2 2 3" xfId="1288" xr:uid="{00000000-0005-0000-0000-000054110000}"/>
    <cellStyle name="Normal 7 3 2 2 3 2" xfId="2580" xr:uid="{00000000-0005-0000-0000-000055110000}"/>
    <cellStyle name="Normal 7 3 2 2 3 3" xfId="3858" xr:uid="{00000000-0005-0000-0000-000056110000}"/>
    <cellStyle name="Normal 7 3 2 2 3 4" xfId="5145" xr:uid="{00000000-0005-0000-0000-000057110000}"/>
    <cellStyle name="Normal 7 3 2 2 4" xfId="1728" xr:uid="{00000000-0005-0000-0000-000058110000}"/>
    <cellStyle name="Normal 7 3 2 2 5" xfId="3006" xr:uid="{00000000-0005-0000-0000-000059110000}"/>
    <cellStyle name="Normal 7 3 2 2 6" xfId="4293" xr:uid="{00000000-0005-0000-0000-00005A110000}"/>
    <cellStyle name="Normal 7 3 2 3" xfId="649" xr:uid="{00000000-0005-0000-0000-00005B110000}"/>
    <cellStyle name="Normal 7 3 2 3 2" xfId="1941" xr:uid="{00000000-0005-0000-0000-00005C110000}"/>
    <cellStyle name="Normal 7 3 2 3 3" xfId="3219" xr:uid="{00000000-0005-0000-0000-00005D110000}"/>
    <cellStyle name="Normal 7 3 2 3 4" xfId="4506" xr:uid="{00000000-0005-0000-0000-00005E110000}"/>
    <cellStyle name="Normal 7 3 2 4" xfId="1075" xr:uid="{00000000-0005-0000-0000-00005F110000}"/>
    <cellStyle name="Normal 7 3 2 4 2" xfId="2367" xr:uid="{00000000-0005-0000-0000-000060110000}"/>
    <cellStyle name="Normal 7 3 2 4 3" xfId="3645" xr:uid="{00000000-0005-0000-0000-000061110000}"/>
    <cellStyle name="Normal 7 3 2 4 4" xfId="4932" xr:uid="{00000000-0005-0000-0000-000062110000}"/>
    <cellStyle name="Normal 7 3 2 5" xfId="1515" xr:uid="{00000000-0005-0000-0000-000063110000}"/>
    <cellStyle name="Normal 7 3 2 6" xfId="2793" xr:uid="{00000000-0005-0000-0000-000064110000}"/>
    <cellStyle name="Normal 7 3 2 7" xfId="4080" xr:uid="{00000000-0005-0000-0000-000065110000}"/>
    <cellStyle name="Normal 7 3 2 8" xfId="5310" xr:uid="{00000000-0005-0000-0000-000066110000}"/>
    <cellStyle name="Normal 7 3 3" xfId="435" xr:uid="{00000000-0005-0000-0000-000067110000}"/>
    <cellStyle name="Normal 7 3 3 2" xfId="861" xr:uid="{00000000-0005-0000-0000-000068110000}"/>
    <cellStyle name="Normal 7 3 3 2 2" xfId="2153" xr:uid="{00000000-0005-0000-0000-000069110000}"/>
    <cellStyle name="Normal 7 3 3 2 3" xfId="3431" xr:uid="{00000000-0005-0000-0000-00006A110000}"/>
    <cellStyle name="Normal 7 3 3 2 4" xfId="4718" xr:uid="{00000000-0005-0000-0000-00006B110000}"/>
    <cellStyle name="Normal 7 3 3 3" xfId="1287" xr:uid="{00000000-0005-0000-0000-00006C110000}"/>
    <cellStyle name="Normal 7 3 3 3 2" xfId="2579" xr:uid="{00000000-0005-0000-0000-00006D110000}"/>
    <cellStyle name="Normal 7 3 3 3 3" xfId="3857" xr:uid="{00000000-0005-0000-0000-00006E110000}"/>
    <cellStyle name="Normal 7 3 3 3 4" xfId="5144" xr:uid="{00000000-0005-0000-0000-00006F110000}"/>
    <cellStyle name="Normal 7 3 3 4" xfId="1727" xr:uid="{00000000-0005-0000-0000-000070110000}"/>
    <cellStyle name="Normal 7 3 3 5" xfId="3005" xr:uid="{00000000-0005-0000-0000-000071110000}"/>
    <cellStyle name="Normal 7 3 3 6" xfId="4292" xr:uid="{00000000-0005-0000-0000-000072110000}"/>
    <cellStyle name="Normal 7 3 4" xfId="648" xr:uid="{00000000-0005-0000-0000-000073110000}"/>
    <cellStyle name="Normal 7 3 4 2" xfId="1940" xr:uid="{00000000-0005-0000-0000-000074110000}"/>
    <cellStyle name="Normal 7 3 4 3" xfId="3218" xr:uid="{00000000-0005-0000-0000-000075110000}"/>
    <cellStyle name="Normal 7 3 4 4" xfId="4505" xr:uid="{00000000-0005-0000-0000-000076110000}"/>
    <cellStyle name="Normal 7 3 5" xfId="1074" xr:uid="{00000000-0005-0000-0000-000077110000}"/>
    <cellStyle name="Normal 7 3 5 2" xfId="2366" xr:uid="{00000000-0005-0000-0000-000078110000}"/>
    <cellStyle name="Normal 7 3 5 3" xfId="3644" xr:uid="{00000000-0005-0000-0000-000079110000}"/>
    <cellStyle name="Normal 7 3 5 4" xfId="4931" xr:uid="{00000000-0005-0000-0000-00007A110000}"/>
    <cellStyle name="Normal 7 3 6" xfId="1514" xr:uid="{00000000-0005-0000-0000-00007B110000}"/>
    <cellStyle name="Normal 7 3 7" xfId="2792" xr:uid="{00000000-0005-0000-0000-00007C110000}"/>
    <cellStyle name="Normal 7 3 8" xfId="4079" xr:uid="{00000000-0005-0000-0000-00007D110000}"/>
    <cellStyle name="Normal 7 3 9" xfId="5309" xr:uid="{00000000-0005-0000-0000-00007E110000}"/>
    <cellStyle name="Normal 7 4" xfId="217" xr:uid="{00000000-0005-0000-0000-00007F110000}"/>
    <cellStyle name="Normal 7 4 2" xfId="437" xr:uid="{00000000-0005-0000-0000-000080110000}"/>
    <cellStyle name="Normal 7 4 2 2" xfId="863" xr:uid="{00000000-0005-0000-0000-000081110000}"/>
    <cellStyle name="Normal 7 4 2 2 2" xfId="2155" xr:uid="{00000000-0005-0000-0000-000082110000}"/>
    <cellStyle name="Normal 7 4 2 2 3" xfId="3433" xr:uid="{00000000-0005-0000-0000-000083110000}"/>
    <cellStyle name="Normal 7 4 2 2 4" xfId="4720" xr:uid="{00000000-0005-0000-0000-000084110000}"/>
    <cellStyle name="Normal 7 4 2 3" xfId="1289" xr:uid="{00000000-0005-0000-0000-000085110000}"/>
    <cellStyle name="Normal 7 4 2 3 2" xfId="2581" xr:uid="{00000000-0005-0000-0000-000086110000}"/>
    <cellStyle name="Normal 7 4 2 3 3" xfId="3859" xr:uid="{00000000-0005-0000-0000-000087110000}"/>
    <cellStyle name="Normal 7 4 2 3 4" xfId="5146" xr:uid="{00000000-0005-0000-0000-000088110000}"/>
    <cellStyle name="Normal 7 4 2 4" xfId="1729" xr:uid="{00000000-0005-0000-0000-000089110000}"/>
    <cellStyle name="Normal 7 4 2 5" xfId="3007" xr:uid="{00000000-0005-0000-0000-00008A110000}"/>
    <cellStyle name="Normal 7 4 2 6" xfId="4294" xr:uid="{00000000-0005-0000-0000-00008B110000}"/>
    <cellStyle name="Normal 7 4 3" xfId="650" xr:uid="{00000000-0005-0000-0000-00008C110000}"/>
    <cellStyle name="Normal 7 4 3 2" xfId="1942" xr:uid="{00000000-0005-0000-0000-00008D110000}"/>
    <cellStyle name="Normal 7 4 3 3" xfId="3220" xr:uid="{00000000-0005-0000-0000-00008E110000}"/>
    <cellStyle name="Normal 7 4 3 4" xfId="4507" xr:uid="{00000000-0005-0000-0000-00008F110000}"/>
    <cellStyle name="Normal 7 4 4" xfId="1076" xr:uid="{00000000-0005-0000-0000-000090110000}"/>
    <cellStyle name="Normal 7 4 4 2" xfId="2368" xr:uid="{00000000-0005-0000-0000-000091110000}"/>
    <cellStyle name="Normal 7 4 4 3" xfId="3646" xr:uid="{00000000-0005-0000-0000-000092110000}"/>
    <cellStyle name="Normal 7 4 4 4" xfId="4933" xr:uid="{00000000-0005-0000-0000-000093110000}"/>
    <cellStyle name="Normal 7 4 5" xfId="1516" xr:uid="{00000000-0005-0000-0000-000094110000}"/>
    <cellStyle name="Normal 7 4 6" xfId="2794" xr:uid="{00000000-0005-0000-0000-000095110000}"/>
    <cellStyle name="Normal 7 4 7" xfId="4081" xr:uid="{00000000-0005-0000-0000-000096110000}"/>
    <cellStyle name="Normal 7 4 8" xfId="5311" xr:uid="{00000000-0005-0000-0000-000097110000}"/>
    <cellStyle name="Normal 7 5" xfId="218" xr:uid="{00000000-0005-0000-0000-000098110000}"/>
    <cellStyle name="Normal 7 5 2" xfId="438" xr:uid="{00000000-0005-0000-0000-000099110000}"/>
    <cellStyle name="Normal 7 5 2 2" xfId="864" xr:uid="{00000000-0005-0000-0000-00009A110000}"/>
    <cellStyle name="Normal 7 5 2 2 2" xfId="2156" xr:uid="{00000000-0005-0000-0000-00009B110000}"/>
    <cellStyle name="Normal 7 5 2 2 3" xfId="3434" xr:uid="{00000000-0005-0000-0000-00009C110000}"/>
    <cellStyle name="Normal 7 5 2 2 4" xfId="4721" xr:uid="{00000000-0005-0000-0000-00009D110000}"/>
    <cellStyle name="Normal 7 5 2 3" xfId="1290" xr:uid="{00000000-0005-0000-0000-00009E110000}"/>
    <cellStyle name="Normal 7 5 2 3 2" xfId="2582" xr:uid="{00000000-0005-0000-0000-00009F110000}"/>
    <cellStyle name="Normal 7 5 2 3 3" xfId="3860" xr:uid="{00000000-0005-0000-0000-0000A0110000}"/>
    <cellStyle name="Normal 7 5 2 3 4" xfId="5147" xr:uid="{00000000-0005-0000-0000-0000A1110000}"/>
    <cellStyle name="Normal 7 5 2 4" xfId="1730" xr:uid="{00000000-0005-0000-0000-0000A2110000}"/>
    <cellStyle name="Normal 7 5 2 5" xfId="3008" xr:uid="{00000000-0005-0000-0000-0000A3110000}"/>
    <cellStyle name="Normal 7 5 2 6" xfId="4295" xr:uid="{00000000-0005-0000-0000-0000A4110000}"/>
    <cellStyle name="Normal 7 5 3" xfId="651" xr:uid="{00000000-0005-0000-0000-0000A5110000}"/>
    <cellStyle name="Normal 7 5 3 2" xfId="1943" xr:uid="{00000000-0005-0000-0000-0000A6110000}"/>
    <cellStyle name="Normal 7 5 3 3" xfId="3221" xr:uid="{00000000-0005-0000-0000-0000A7110000}"/>
    <cellStyle name="Normal 7 5 3 4" xfId="4508" xr:uid="{00000000-0005-0000-0000-0000A8110000}"/>
    <cellStyle name="Normal 7 5 4" xfId="1077" xr:uid="{00000000-0005-0000-0000-0000A9110000}"/>
    <cellStyle name="Normal 7 5 4 2" xfId="2369" xr:uid="{00000000-0005-0000-0000-0000AA110000}"/>
    <cellStyle name="Normal 7 5 4 3" xfId="3647" xr:uid="{00000000-0005-0000-0000-0000AB110000}"/>
    <cellStyle name="Normal 7 5 4 4" xfId="4934" xr:uid="{00000000-0005-0000-0000-0000AC110000}"/>
    <cellStyle name="Normal 7 5 5" xfId="1517" xr:uid="{00000000-0005-0000-0000-0000AD110000}"/>
    <cellStyle name="Normal 7 5 6" xfId="2795" xr:uid="{00000000-0005-0000-0000-0000AE110000}"/>
    <cellStyle name="Normal 7 5 7" xfId="4082" xr:uid="{00000000-0005-0000-0000-0000AF110000}"/>
    <cellStyle name="Normal 7 6" xfId="219" xr:uid="{00000000-0005-0000-0000-0000B0110000}"/>
    <cellStyle name="Normal 7 6 2" xfId="439" xr:uid="{00000000-0005-0000-0000-0000B1110000}"/>
    <cellStyle name="Normal 7 6 2 2" xfId="865" xr:uid="{00000000-0005-0000-0000-0000B2110000}"/>
    <cellStyle name="Normal 7 6 2 2 2" xfId="2157" xr:uid="{00000000-0005-0000-0000-0000B3110000}"/>
    <cellStyle name="Normal 7 6 2 2 3" xfId="3435" xr:uid="{00000000-0005-0000-0000-0000B4110000}"/>
    <cellStyle name="Normal 7 6 2 2 4" xfId="4722" xr:uid="{00000000-0005-0000-0000-0000B5110000}"/>
    <cellStyle name="Normal 7 6 2 3" xfId="1291" xr:uid="{00000000-0005-0000-0000-0000B6110000}"/>
    <cellStyle name="Normal 7 6 2 3 2" xfId="2583" xr:uid="{00000000-0005-0000-0000-0000B7110000}"/>
    <cellStyle name="Normal 7 6 2 3 3" xfId="3861" xr:uid="{00000000-0005-0000-0000-0000B8110000}"/>
    <cellStyle name="Normal 7 6 2 3 4" xfId="5148" xr:uid="{00000000-0005-0000-0000-0000B9110000}"/>
    <cellStyle name="Normal 7 6 2 4" xfId="1731" xr:uid="{00000000-0005-0000-0000-0000BA110000}"/>
    <cellStyle name="Normal 7 6 2 5" xfId="3009" xr:uid="{00000000-0005-0000-0000-0000BB110000}"/>
    <cellStyle name="Normal 7 6 2 6" xfId="4296" xr:uid="{00000000-0005-0000-0000-0000BC110000}"/>
    <cellStyle name="Normal 7 6 3" xfId="652" xr:uid="{00000000-0005-0000-0000-0000BD110000}"/>
    <cellStyle name="Normal 7 6 3 2" xfId="1944" xr:uid="{00000000-0005-0000-0000-0000BE110000}"/>
    <cellStyle name="Normal 7 6 3 3" xfId="3222" xr:uid="{00000000-0005-0000-0000-0000BF110000}"/>
    <cellStyle name="Normal 7 6 3 4" xfId="4509" xr:uid="{00000000-0005-0000-0000-0000C0110000}"/>
    <cellStyle name="Normal 7 6 4" xfId="1078" xr:uid="{00000000-0005-0000-0000-0000C1110000}"/>
    <cellStyle name="Normal 7 6 4 2" xfId="2370" xr:uid="{00000000-0005-0000-0000-0000C2110000}"/>
    <cellStyle name="Normal 7 6 4 3" xfId="3648" xr:uid="{00000000-0005-0000-0000-0000C3110000}"/>
    <cellStyle name="Normal 7 6 4 4" xfId="4935" xr:uid="{00000000-0005-0000-0000-0000C4110000}"/>
    <cellStyle name="Normal 7 6 5" xfId="1518" xr:uid="{00000000-0005-0000-0000-0000C5110000}"/>
    <cellStyle name="Normal 7 6 6" xfId="2796" xr:uid="{00000000-0005-0000-0000-0000C6110000}"/>
    <cellStyle name="Normal 7 6 7" xfId="4083" xr:uid="{00000000-0005-0000-0000-0000C7110000}"/>
    <cellStyle name="Normal 7 7" xfId="220" xr:uid="{00000000-0005-0000-0000-0000C8110000}"/>
    <cellStyle name="Normal 7 7 2" xfId="440" xr:uid="{00000000-0005-0000-0000-0000C9110000}"/>
    <cellStyle name="Normal 7 7 2 2" xfId="866" xr:uid="{00000000-0005-0000-0000-0000CA110000}"/>
    <cellStyle name="Normal 7 7 2 2 2" xfId="2158" xr:uid="{00000000-0005-0000-0000-0000CB110000}"/>
    <cellStyle name="Normal 7 7 2 2 3" xfId="3436" xr:uid="{00000000-0005-0000-0000-0000CC110000}"/>
    <cellStyle name="Normal 7 7 2 2 4" xfId="4723" xr:uid="{00000000-0005-0000-0000-0000CD110000}"/>
    <cellStyle name="Normal 7 7 2 3" xfId="1292" xr:uid="{00000000-0005-0000-0000-0000CE110000}"/>
    <cellStyle name="Normal 7 7 2 3 2" xfId="2584" xr:uid="{00000000-0005-0000-0000-0000CF110000}"/>
    <cellStyle name="Normal 7 7 2 3 3" xfId="3862" xr:uid="{00000000-0005-0000-0000-0000D0110000}"/>
    <cellStyle name="Normal 7 7 2 3 4" xfId="5149" xr:uid="{00000000-0005-0000-0000-0000D1110000}"/>
    <cellStyle name="Normal 7 7 2 4" xfId="1732" xr:uid="{00000000-0005-0000-0000-0000D2110000}"/>
    <cellStyle name="Normal 7 7 2 5" xfId="3010" xr:uid="{00000000-0005-0000-0000-0000D3110000}"/>
    <cellStyle name="Normal 7 7 2 6" xfId="4297" xr:uid="{00000000-0005-0000-0000-0000D4110000}"/>
    <cellStyle name="Normal 7 7 3" xfId="653" xr:uid="{00000000-0005-0000-0000-0000D5110000}"/>
    <cellStyle name="Normal 7 7 3 2" xfId="1945" xr:uid="{00000000-0005-0000-0000-0000D6110000}"/>
    <cellStyle name="Normal 7 7 3 3" xfId="3223" xr:uid="{00000000-0005-0000-0000-0000D7110000}"/>
    <cellStyle name="Normal 7 7 3 4" xfId="4510" xr:uid="{00000000-0005-0000-0000-0000D8110000}"/>
    <cellStyle name="Normal 7 7 4" xfId="1079" xr:uid="{00000000-0005-0000-0000-0000D9110000}"/>
    <cellStyle name="Normal 7 7 4 2" xfId="2371" xr:uid="{00000000-0005-0000-0000-0000DA110000}"/>
    <cellStyle name="Normal 7 7 4 3" xfId="3649" xr:uid="{00000000-0005-0000-0000-0000DB110000}"/>
    <cellStyle name="Normal 7 7 4 4" xfId="4936" xr:uid="{00000000-0005-0000-0000-0000DC110000}"/>
    <cellStyle name="Normal 7 7 5" xfId="1519" xr:uid="{00000000-0005-0000-0000-0000DD110000}"/>
    <cellStyle name="Normal 7 7 6" xfId="2797" xr:uid="{00000000-0005-0000-0000-0000DE110000}"/>
    <cellStyle name="Normal 7 7 7" xfId="4084" xr:uid="{00000000-0005-0000-0000-0000DF110000}"/>
    <cellStyle name="Normal 7 8" xfId="221" xr:uid="{00000000-0005-0000-0000-0000E0110000}"/>
    <cellStyle name="Normal 7 8 2" xfId="441" xr:uid="{00000000-0005-0000-0000-0000E1110000}"/>
    <cellStyle name="Normal 7 8 2 2" xfId="867" xr:uid="{00000000-0005-0000-0000-0000E2110000}"/>
    <cellStyle name="Normal 7 8 2 2 2" xfId="2159" xr:uid="{00000000-0005-0000-0000-0000E3110000}"/>
    <cellStyle name="Normal 7 8 2 2 3" xfId="3437" xr:uid="{00000000-0005-0000-0000-0000E4110000}"/>
    <cellStyle name="Normal 7 8 2 2 4" xfId="4724" xr:uid="{00000000-0005-0000-0000-0000E5110000}"/>
    <cellStyle name="Normal 7 8 2 3" xfId="1293" xr:uid="{00000000-0005-0000-0000-0000E6110000}"/>
    <cellStyle name="Normal 7 8 2 3 2" xfId="2585" xr:uid="{00000000-0005-0000-0000-0000E7110000}"/>
    <cellStyle name="Normal 7 8 2 3 3" xfId="3863" xr:uid="{00000000-0005-0000-0000-0000E8110000}"/>
    <cellStyle name="Normal 7 8 2 3 4" xfId="5150" xr:uid="{00000000-0005-0000-0000-0000E9110000}"/>
    <cellStyle name="Normal 7 8 2 4" xfId="1733" xr:uid="{00000000-0005-0000-0000-0000EA110000}"/>
    <cellStyle name="Normal 7 8 2 5" xfId="3011" xr:uid="{00000000-0005-0000-0000-0000EB110000}"/>
    <cellStyle name="Normal 7 8 2 6" xfId="4298" xr:uid="{00000000-0005-0000-0000-0000EC110000}"/>
    <cellStyle name="Normal 7 8 3" xfId="654" xr:uid="{00000000-0005-0000-0000-0000ED110000}"/>
    <cellStyle name="Normal 7 8 3 2" xfId="1946" xr:uid="{00000000-0005-0000-0000-0000EE110000}"/>
    <cellStyle name="Normal 7 8 3 3" xfId="3224" xr:uid="{00000000-0005-0000-0000-0000EF110000}"/>
    <cellStyle name="Normal 7 8 3 4" xfId="4511" xr:uid="{00000000-0005-0000-0000-0000F0110000}"/>
    <cellStyle name="Normal 7 8 4" xfId="1080" xr:uid="{00000000-0005-0000-0000-0000F1110000}"/>
    <cellStyle name="Normal 7 8 4 2" xfId="2372" xr:uid="{00000000-0005-0000-0000-0000F2110000}"/>
    <cellStyle name="Normal 7 8 4 3" xfId="3650" xr:uid="{00000000-0005-0000-0000-0000F3110000}"/>
    <cellStyle name="Normal 7 8 4 4" xfId="4937" xr:uid="{00000000-0005-0000-0000-0000F4110000}"/>
    <cellStyle name="Normal 7 8 5" xfId="1520" xr:uid="{00000000-0005-0000-0000-0000F5110000}"/>
    <cellStyle name="Normal 7 8 6" xfId="2798" xr:uid="{00000000-0005-0000-0000-0000F6110000}"/>
    <cellStyle name="Normal 7 8 7" xfId="4085" xr:uid="{00000000-0005-0000-0000-0000F7110000}"/>
    <cellStyle name="Normal 7 9" xfId="266" xr:uid="{00000000-0005-0000-0000-0000F8110000}"/>
    <cellStyle name="Normal 7 9 2" xfId="479" xr:uid="{00000000-0005-0000-0000-0000F9110000}"/>
    <cellStyle name="Normal 7 9 2 2" xfId="904" xr:uid="{00000000-0005-0000-0000-0000FA110000}"/>
    <cellStyle name="Normal 7 9 2 2 2" xfId="2196" xr:uid="{00000000-0005-0000-0000-0000FB110000}"/>
    <cellStyle name="Normal 7 9 2 2 3" xfId="3474" xr:uid="{00000000-0005-0000-0000-0000FC110000}"/>
    <cellStyle name="Normal 7 9 2 2 4" xfId="4761" xr:uid="{00000000-0005-0000-0000-0000FD110000}"/>
    <cellStyle name="Normal 7 9 2 3" xfId="1330" xr:uid="{00000000-0005-0000-0000-0000FE110000}"/>
    <cellStyle name="Normal 7 9 2 3 2" xfId="2622" xr:uid="{00000000-0005-0000-0000-0000FF110000}"/>
    <cellStyle name="Normal 7 9 2 3 3" xfId="3900" xr:uid="{00000000-0005-0000-0000-000000120000}"/>
    <cellStyle name="Normal 7 9 2 3 4" xfId="5187" xr:uid="{00000000-0005-0000-0000-000001120000}"/>
    <cellStyle name="Normal 7 9 2 4" xfId="1770" xr:uid="{00000000-0005-0000-0000-000002120000}"/>
    <cellStyle name="Normal 7 9 2 5" xfId="3048" xr:uid="{00000000-0005-0000-0000-000003120000}"/>
    <cellStyle name="Normal 7 9 2 6" xfId="4335" xr:uid="{00000000-0005-0000-0000-000004120000}"/>
    <cellStyle name="Normal 7 9 3" xfId="691" xr:uid="{00000000-0005-0000-0000-000005120000}"/>
    <cellStyle name="Normal 7 9 3 2" xfId="1983" xr:uid="{00000000-0005-0000-0000-000006120000}"/>
    <cellStyle name="Normal 7 9 3 3" xfId="3261" xr:uid="{00000000-0005-0000-0000-000007120000}"/>
    <cellStyle name="Normal 7 9 3 4" xfId="4548" xr:uid="{00000000-0005-0000-0000-000008120000}"/>
    <cellStyle name="Normal 7 9 4" xfId="1117" xr:uid="{00000000-0005-0000-0000-000009120000}"/>
    <cellStyle name="Normal 7 9 4 2" xfId="2409" xr:uid="{00000000-0005-0000-0000-00000A120000}"/>
    <cellStyle name="Normal 7 9 4 3" xfId="3687" xr:uid="{00000000-0005-0000-0000-00000B120000}"/>
    <cellStyle name="Normal 7 9 4 4" xfId="4974" xr:uid="{00000000-0005-0000-0000-00000C120000}"/>
    <cellStyle name="Normal 7 9 5" xfId="1557" xr:uid="{00000000-0005-0000-0000-00000D120000}"/>
    <cellStyle name="Normal 7 9 6" xfId="2835" xr:uid="{00000000-0005-0000-0000-00000E120000}"/>
    <cellStyle name="Normal 7 9 7" xfId="4122" xr:uid="{00000000-0005-0000-0000-00000F120000}"/>
    <cellStyle name="Normal 8" xfId="222" xr:uid="{00000000-0005-0000-0000-000010120000}"/>
    <cellStyle name="Normal 8 2" xfId="247" xr:uid="{00000000-0005-0000-0000-000011120000}"/>
    <cellStyle name="Normal 8 2 2" xfId="442" xr:uid="{00000000-0005-0000-0000-000012120000}"/>
    <cellStyle name="Normal 8 3" xfId="5312" xr:uid="{00000000-0005-0000-0000-000013120000}"/>
    <cellStyle name="Normal 9" xfId="253" xr:uid="{00000000-0005-0000-0000-000014120000}"/>
    <cellStyle name="Normal 9 2" xfId="1361" xr:uid="{00000000-0005-0000-0000-000015120000}"/>
    <cellStyle name="Normal_A" xfId="5335" xr:uid="{00000000-0005-0000-0000-000016120000}"/>
    <cellStyle name="Normal_Indirects_1" xfId="41" xr:uid="{00000000-0005-0000-0000-000018120000}"/>
    <cellStyle name="Normal_Sheet1" xfId="80" xr:uid="{00000000-0005-0000-0000-000019120000}"/>
    <cellStyle name="Note" xfId="8" builtinId="10"/>
    <cellStyle name="Note 2" xfId="36" xr:uid="{00000000-0005-0000-0000-00001C120000}"/>
    <cellStyle name="Note 2 10" xfId="1081" xr:uid="{00000000-0005-0000-0000-00001D120000}"/>
    <cellStyle name="Note 2 10 2" xfId="2373" xr:uid="{00000000-0005-0000-0000-00001E120000}"/>
    <cellStyle name="Note 2 10 3" xfId="3651" xr:uid="{00000000-0005-0000-0000-00001F120000}"/>
    <cellStyle name="Note 2 10 4" xfId="4938" xr:uid="{00000000-0005-0000-0000-000020120000}"/>
    <cellStyle name="Note 2 11" xfId="1521" xr:uid="{00000000-0005-0000-0000-000021120000}"/>
    <cellStyle name="Note 2 12" xfId="2799" xr:uid="{00000000-0005-0000-0000-000022120000}"/>
    <cellStyle name="Note 2 13" xfId="4086" xr:uid="{00000000-0005-0000-0000-000023120000}"/>
    <cellStyle name="Note 2 14" xfId="5313" xr:uid="{00000000-0005-0000-0000-000024120000}"/>
    <cellStyle name="Note 2 2" xfId="37" xr:uid="{00000000-0005-0000-0000-000025120000}"/>
    <cellStyle name="Note 2 2 10" xfId="1522" xr:uid="{00000000-0005-0000-0000-000026120000}"/>
    <cellStyle name="Note 2 2 11" xfId="2800" xr:uid="{00000000-0005-0000-0000-000027120000}"/>
    <cellStyle name="Note 2 2 12" xfId="4087" xr:uid="{00000000-0005-0000-0000-000028120000}"/>
    <cellStyle name="Note 2 2 13" xfId="5314" xr:uid="{00000000-0005-0000-0000-000029120000}"/>
    <cellStyle name="Note 2 2 2" xfId="223" xr:uid="{00000000-0005-0000-0000-00002A120000}"/>
    <cellStyle name="Note 2 2 2 2" xfId="224" xr:uid="{00000000-0005-0000-0000-00002B120000}"/>
    <cellStyle name="Note 2 2 2 2 2" xfId="446" xr:uid="{00000000-0005-0000-0000-00002C120000}"/>
    <cellStyle name="Note 2 2 2 2 2 2" xfId="871" xr:uid="{00000000-0005-0000-0000-00002D120000}"/>
    <cellStyle name="Note 2 2 2 2 2 2 2" xfId="2163" xr:uid="{00000000-0005-0000-0000-00002E120000}"/>
    <cellStyle name="Note 2 2 2 2 2 2 3" xfId="3441" xr:uid="{00000000-0005-0000-0000-00002F120000}"/>
    <cellStyle name="Note 2 2 2 2 2 2 4" xfId="4728" xr:uid="{00000000-0005-0000-0000-000030120000}"/>
    <cellStyle name="Note 2 2 2 2 2 3" xfId="1297" xr:uid="{00000000-0005-0000-0000-000031120000}"/>
    <cellStyle name="Note 2 2 2 2 2 3 2" xfId="2589" xr:uid="{00000000-0005-0000-0000-000032120000}"/>
    <cellStyle name="Note 2 2 2 2 2 3 3" xfId="3867" xr:uid="{00000000-0005-0000-0000-000033120000}"/>
    <cellStyle name="Note 2 2 2 2 2 3 4" xfId="5154" xr:uid="{00000000-0005-0000-0000-000034120000}"/>
    <cellStyle name="Note 2 2 2 2 2 4" xfId="1737" xr:uid="{00000000-0005-0000-0000-000035120000}"/>
    <cellStyle name="Note 2 2 2 2 2 5" xfId="3015" xr:uid="{00000000-0005-0000-0000-000036120000}"/>
    <cellStyle name="Note 2 2 2 2 2 6" xfId="4302" xr:uid="{00000000-0005-0000-0000-000037120000}"/>
    <cellStyle name="Note 2 2 2 2 3" xfId="658" xr:uid="{00000000-0005-0000-0000-000038120000}"/>
    <cellStyle name="Note 2 2 2 2 3 2" xfId="1950" xr:uid="{00000000-0005-0000-0000-000039120000}"/>
    <cellStyle name="Note 2 2 2 2 3 3" xfId="3228" xr:uid="{00000000-0005-0000-0000-00003A120000}"/>
    <cellStyle name="Note 2 2 2 2 3 4" xfId="4515" xr:uid="{00000000-0005-0000-0000-00003B120000}"/>
    <cellStyle name="Note 2 2 2 2 4" xfId="1084" xr:uid="{00000000-0005-0000-0000-00003C120000}"/>
    <cellStyle name="Note 2 2 2 2 4 2" xfId="2376" xr:uid="{00000000-0005-0000-0000-00003D120000}"/>
    <cellStyle name="Note 2 2 2 2 4 3" xfId="3654" xr:uid="{00000000-0005-0000-0000-00003E120000}"/>
    <cellStyle name="Note 2 2 2 2 4 4" xfId="4941" xr:uid="{00000000-0005-0000-0000-00003F120000}"/>
    <cellStyle name="Note 2 2 2 2 5" xfId="1524" xr:uid="{00000000-0005-0000-0000-000040120000}"/>
    <cellStyle name="Note 2 2 2 2 6" xfId="2802" xr:uid="{00000000-0005-0000-0000-000041120000}"/>
    <cellStyle name="Note 2 2 2 2 7" xfId="4089" xr:uid="{00000000-0005-0000-0000-000042120000}"/>
    <cellStyle name="Note 2 2 2 2 8" xfId="5316" xr:uid="{00000000-0005-0000-0000-000043120000}"/>
    <cellStyle name="Note 2 2 2 3" xfId="445" xr:uid="{00000000-0005-0000-0000-000044120000}"/>
    <cellStyle name="Note 2 2 2 3 2" xfId="870" xr:uid="{00000000-0005-0000-0000-000045120000}"/>
    <cellStyle name="Note 2 2 2 3 2 2" xfId="2162" xr:uid="{00000000-0005-0000-0000-000046120000}"/>
    <cellStyle name="Note 2 2 2 3 2 3" xfId="3440" xr:uid="{00000000-0005-0000-0000-000047120000}"/>
    <cellStyle name="Note 2 2 2 3 2 4" xfId="4727" xr:uid="{00000000-0005-0000-0000-000048120000}"/>
    <cellStyle name="Note 2 2 2 3 3" xfId="1296" xr:uid="{00000000-0005-0000-0000-000049120000}"/>
    <cellStyle name="Note 2 2 2 3 3 2" xfId="2588" xr:uid="{00000000-0005-0000-0000-00004A120000}"/>
    <cellStyle name="Note 2 2 2 3 3 3" xfId="3866" xr:uid="{00000000-0005-0000-0000-00004B120000}"/>
    <cellStyle name="Note 2 2 2 3 3 4" xfId="5153" xr:uid="{00000000-0005-0000-0000-00004C120000}"/>
    <cellStyle name="Note 2 2 2 3 4" xfId="1736" xr:uid="{00000000-0005-0000-0000-00004D120000}"/>
    <cellStyle name="Note 2 2 2 3 5" xfId="3014" xr:uid="{00000000-0005-0000-0000-00004E120000}"/>
    <cellStyle name="Note 2 2 2 3 6" xfId="4301" xr:uid="{00000000-0005-0000-0000-00004F120000}"/>
    <cellStyle name="Note 2 2 2 4" xfId="657" xr:uid="{00000000-0005-0000-0000-000050120000}"/>
    <cellStyle name="Note 2 2 2 4 2" xfId="1949" xr:uid="{00000000-0005-0000-0000-000051120000}"/>
    <cellStyle name="Note 2 2 2 4 3" xfId="3227" xr:uid="{00000000-0005-0000-0000-000052120000}"/>
    <cellStyle name="Note 2 2 2 4 4" xfId="4514" xr:uid="{00000000-0005-0000-0000-000053120000}"/>
    <cellStyle name="Note 2 2 2 5" xfId="1083" xr:uid="{00000000-0005-0000-0000-000054120000}"/>
    <cellStyle name="Note 2 2 2 5 2" xfId="2375" xr:uid="{00000000-0005-0000-0000-000055120000}"/>
    <cellStyle name="Note 2 2 2 5 3" xfId="3653" xr:uid="{00000000-0005-0000-0000-000056120000}"/>
    <cellStyle name="Note 2 2 2 5 4" xfId="4940" xr:uid="{00000000-0005-0000-0000-000057120000}"/>
    <cellStyle name="Note 2 2 2 6" xfId="1523" xr:uid="{00000000-0005-0000-0000-000058120000}"/>
    <cellStyle name="Note 2 2 2 7" xfId="2801" xr:uid="{00000000-0005-0000-0000-000059120000}"/>
    <cellStyle name="Note 2 2 2 8" xfId="4088" xr:uid="{00000000-0005-0000-0000-00005A120000}"/>
    <cellStyle name="Note 2 2 2 9" xfId="5315" xr:uid="{00000000-0005-0000-0000-00005B120000}"/>
    <cellStyle name="Note 2 2 3" xfId="225" xr:uid="{00000000-0005-0000-0000-00005C120000}"/>
    <cellStyle name="Note 2 2 3 2" xfId="447" xr:uid="{00000000-0005-0000-0000-00005D120000}"/>
    <cellStyle name="Note 2 2 3 2 2" xfId="872" xr:uid="{00000000-0005-0000-0000-00005E120000}"/>
    <cellStyle name="Note 2 2 3 2 2 2" xfId="2164" xr:uid="{00000000-0005-0000-0000-00005F120000}"/>
    <cellStyle name="Note 2 2 3 2 2 3" xfId="3442" xr:uid="{00000000-0005-0000-0000-000060120000}"/>
    <cellStyle name="Note 2 2 3 2 2 4" xfId="4729" xr:uid="{00000000-0005-0000-0000-000061120000}"/>
    <cellStyle name="Note 2 2 3 2 3" xfId="1298" xr:uid="{00000000-0005-0000-0000-000062120000}"/>
    <cellStyle name="Note 2 2 3 2 3 2" xfId="2590" xr:uid="{00000000-0005-0000-0000-000063120000}"/>
    <cellStyle name="Note 2 2 3 2 3 3" xfId="3868" xr:uid="{00000000-0005-0000-0000-000064120000}"/>
    <cellStyle name="Note 2 2 3 2 3 4" xfId="5155" xr:uid="{00000000-0005-0000-0000-000065120000}"/>
    <cellStyle name="Note 2 2 3 2 4" xfId="1738" xr:uid="{00000000-0005-0000-0000-000066120000}"/>
    <cellStyle name="Note 2 2 3 2 5" xfId="3016" xr:uid="{00000000-0005-0000-0000-000067120000}"/>
    <cellStyle name="Note 2 2 3 2 6" xfId="4303" xr:uid="{00000000-0005-0000-0000-000068120000}"/>
    <cellStyle name="Note 2 2 3 3" xfId="659" xr:uid="{00000000-0005-0000-0000-000069120000}"/>
    <cellStyle name="Note 2 2 3 3 2" xfId="1951" xr:uid="{00000000-0005-0000-0000-00006A120000}"/>
    <cellStyle name="Note 2 2 3 3 3" xfId="3229" xr:uid="{00000000-0005-0000-0000-00006B120000}"/>
    <cellStyle name="Note 2 2 3 3 4" xfId="4516" xr:uid="{00000000-0005-0000-0000-00006C120000}"/>
    <cellStyle name="Note 2 2 3 4" xfId="1085" xr:uid="{00000000-0005-0000-0000-00006D120000}"/>
    <cellStyle name="Note 2 2 3 4 2" xfId="2377" xr:uid="{00000000-0005-0000-0000-00006E120000}"/>
    <cellStyle name="Note 2 2 3 4 3" xfId="3655" xr:uid="{00000000-0005-0000-0000-00006F120000}"/>
    <cellStyle name="Note 2 2 3 4 4" xfId="4942" xr:uid="{00000000-0005-0000-0000-000070120000}"/>
    <cellStyle name="Note 2 2 3 5" xfId="1525" xr:uid="{00000000-0005-0000-0000-000071120000}"/>
    <cellStyle name="Note 2 2 3 6" xfId="2803" xr:uid="{00000000-0005-0000-0000-000072120000}"/>
    <cellStyle name="Note 2 2 3 7" xfId="4090" xr:uid="{00000000-0005-0000-0000-000073120000}"/>
    <cellStyle name="Note 2 2 3 8" xfId="5317" xr:uid="{00000000-0005-0000-0000-000074120000}"/>
    <cellStyle name="Note 2 2 4" xfId="226" xr:uid="{00000000-0005-0000-0000-000075120000}"/>
    <cellStyle name="Note 2 2 4 2" xfId="448" xr:uid="{00000000-0005-0000-0000-000076120000}"/>
    <cellStyle name="Note 2 2 4 2 2" xfId="873" xr:uid="{00000000-0005-0000-0000-000077120000}"/>
    <cellStyle name="Note 2 2 4 2 2 2" xfId="2165" xr:uid="{00000000-0005-0000-0000-000078120000}"/>
    <cellStyle name="Note 2 2 4 2 2 3" xfId="3443" xr:uid="{00000000-0005-0000-0000-000079120000}"/>
    <cellStyle name="Note 2 2 4 2 2 4" xfId="4730" xr:uid="{00000000-0005-0000-0000-00007A120000}"/>
    <cellStyle name="Note 2 2 4 2 3" xfId="1299" xr:uid="{00000000-0005-0000-0000-00007B120000}"/>
    <cellStyle name="Note 2 2 4 2 3 2" xfId="2591" xr:uid="{00000000-0005-0000-0000-00007C120000}"/>
    <cellStyle name="Note 2 2 4 2 3 3" xfId="3869" xr:uid="{00000000-0005-0000-0000-00007D120000}"/>
    <cellStyle name="Note 2 2 4 2 3 4" xfId="5156" xr:uid="{00000000-0005-0000-0000-00007E120000}"/>
    <cellStyle name="Note 2 2 4 2 4" xfId="1739" xr:uid="{00000000-0005-0000-0000-00007F120000}"/>
    <cellStyle name="Note 2 2 4 2 5" xfId="3017" xr:uid="{00000000-0005-0000-0000-000080120000}"/>
    <cellStyle name="Note 2 2 4 2 6" xfId="4304" xr:uid="{00000000-0005-0000-0000-000081120000}"/>
    <cellStyle name="Note 2 2 4 3" xfId="660" xr:uid="{00000000-0005-0000-0000-000082120000}"/>
    <cellStyle name="Note 2 2 4 3 2" xfId="1952" xr:uid="{00000000-0005-0000-0000-000083120000}"/>
    <cellStyle name="Note 2 2 4 3 3" xfId="3230" xr:uid="{00000000-0005-0000-0000-000084120000}"/>
    <cellStyle name="Note 2 2 4 3 4" xfId="4517" xr:uid="{00000000-0005-0000-0000-000085120000}"/>
    <cellStyle name="Note 2 2 4 4" xfId="1086" xr:uid="{00000000-0005-0000-0000-000086120000}"/>
    <cellStyle name="Note 2 2 4 4 2" xfId="2378" xr:uid="{00000000-0005-0000-0000-000087120000}"/>
    <cellStyle name="Note 2 2 4 4 3" xfId="3656" xr:uid="{00000000-0005-0000-0000-000088120000}"/>
    <cellStyle name="Note 2 2 4 4 4" xfId="4943" xr:uid="{00000000-0005-0000-0000-000089120000}"/>
    <cellStyle name="Note 2 2 4 5" xfId="1526" xr:uid="{00000000-0005-0000-0000-00008A120000}"/>
    <cellStyle name="Note 2 2 4 6" xfId="2804" xr:uid="{00000000-0005-0000-0000-00008B120000}"/>
    <cellStyle name="Note 2 2 4 7" xfId="4091" xr:uid="{00000000-0005-0000-0000-00008C120000}"/>
    <cellStyle name="Note 2 2 5" xfId="227" xr:uid="{00000000-0005-0000-0000-00008D120000}"/>
    <cellStyle name="Note 2 2 5 2" xfId="449" xr:uid="{00000000-0005-0000-0000-00008E120000}"/>
    <cellStyle name="Note 2 2 5 2 2" xfId="874" xr:uid="{00000000-0005-0000-0000-00008F120000}"/>
    <cellStyle name="Note 2 2 5 2 2 2" xfId="2166" xr:uid="{00000000-0005-0000-0000-000090120000}"/>
    <cellStyle name="Note 2 2 5 2 2 3" xfId="3444" xr:uid="{00000000-0005-0000-0000-000091120000}"/>
    <cellStyle name="Note 2 2 5 2 2 4" xfId="4731" xr:uid="{00000000-0005-0000-0000-000092120000}"/>
    <cellStyle name="Note 2 2 5 2 3" xfId="1300" xr:uid="{00000000-0005-0000-0000-000093120000}"/>
    <cellStyle name="Note 2 2 5 2 3 2" xfId="2592" xr:uid="{00000000-0005-0000-0000-000094120000}"/>
    <cellStyle name="Note 2 2 5 2 3 3" xfId="3870" xr:uid="{00000000-0005-0000-0000-000095120000}"/>
    <cellStyle name="Note 2 2 5 2 3 4" xfId="5157" xr:uid="{00000000-0005-0000-0000-000096120000}"/>
    <cellStyle name="Note 2 2 5 2 4" xfId="1740" xr:uid="{00000000-0005-0000-0000-000097120000}"/>
    <cellStyle name="Note 2 2 5 2 5" xfId="3018" xr:uid="{00000000-0005-0000-0000-000098120000}"/>
    <cellStyle name="Note 2 2 5 2 6" xfId="4305" xr:uid="{00000000-0005-0000-0000-000099120000}"/>
    <cellStyle name="Note 2 2 5 3" xfId="661" xr:uid="{00000000-0005-0000-0000-00009A120000}"/>
    <cellStyle name="Note 2 2 5 3 2" xfId="1953" xr:uid="{00000000-0005-0000-0000-00009B120000}"/>
    <cellStyle name="Note 2 2 5 3 3" xfId="3231" xr:uid="{00000000-0005-0000-0000-00009C120000}"/>
    <cellStyle name="Note 2 2 5 3 4" xfId="4518" xr:uid="{00000000-0005-0000-0000-00009D120000}"/>
    <cellStyle name="Note 2 2 5 4" xfId="1087" xr:uid="{00000000-0005-0000-0000-00009E120000}"/>
    <cellStyle name="Note 2 2 5 4 2" xfId="2379" xr:uid="{00000000-0005-0000-0000-00009F120000}"/>
    <cellStyle name="Note 2 2 5 4 3" xfId="3657" xr:uid="{00000000-0005-0000-0000-0000A0120000}"/>
    <cellStyle name="Note 2 2 5 4 4" xfId="4944" xr:uid="{00000000-0005-0000-0000-0000A1120000}"/>
    <cellStyle name="Note 2 2 5 5" xfId="1527" xr:uid="{00000000-0005-0000-0000-0000A2120000}"/>
    <cellStyle name="Note 2 2 5 6" xfId="2805" xr:uid="{00000000-0005-0000-0000-0000A3120000}"/>
    <cellStyle name="Note 2 2 5 7" xfId="4092" xr:uid="{00000000-0005-0000-0000-0000A4120000}"/>
    <cellStyle name="Note 2 2 6" xfId="282" xr:uid="{00000000-0005-0000-0000-0000A5120000}"/>
    <cellStyle name="Note 2 2 6 2" xfId="495" xr:uid="{00000000-0005-0000-0000-0000A6120000}"/>
    <cellStyle name="Note 2 2 6 2 2" xfId="920" xr:uid="{00000000-0005-0000-0000-0000A7120000}"/>
    <cellStyle name="Note 2 2 6 2 2 2" xfId="2212" xr:uid="{00000000-0005-0000-0000-0000A8120000}"/>
    <cellStyle name="Note 2 2 6 2 2 3" xfId="3490" xr:uid="{00000000-0005-0000-0000-0000A9120000}"/>
    <cellStyle name="Note 2 2 6 2 2 4" xfId="4777" xr:uid="{00000000-0005-0000-0000-0000AA120000}"/>
    <cellStyle name="Note 2 2 6 2 3" xfId="1346" xr:uid="{00000000-0005-0000-0000-0000AB120000}"/>
    <cellStyle name="Note 2 2 6 2 3 2" xfId="2638" xr:uid="{00000000-0005-0000-0000-0000AC120000}"/>
    <cellStyle name="Note 2 2 6 2 3 3" xfId="3916" xr:uid="{00000000-0005-0000-0000-0000AD120000}"/>
    <cellStyle name="Note 2 2 6 2 3 4" xfId="5203" xr:uid="{00000000-0005-0000-0000-0000AE120000}"/>
    <cellStyle name="Note 2 2 6 2 4" xfId="1786" xr:uid="{00000000-0005-0000-0000-0000AF120000}"/>
    <cellStyle name="Note 2 2 6 2 5" xfId="3064" xr:uid="{00000000-0005-0000-0000-0000B0120000}"/>
    <cellStyle name="Note 2 2 6 2 6" xfId="4351" xr:uid="{00000000-0005-0000-0000-0000B1120000}"/>
    <cellStyle name="Note 2 2 6 3" xfId="707" xr:uid="{00000000-0005-0000-0000-0000B2120000}"/>
    <cellStyle name="Note 2 2 6 3 2" xfId="1999" xr:uid="{00000000-0005-0000-0000-0000B3120000}"/>
    <cellStyle name="Note 2 2 6 3 3" xfId="3277" xr:uid="{00000000-0005-0000-0000-0000B4120000}"/>
    <cellStyle name="Note 2 2 6 3 4" xfId="4564" xr:uid="{00000000-0005-0000-0000-0000B5120000}"/>
    <cellStyle name="Note 2 2 6 4" xfId="1133" xr:uid="{00000000-0005-0000-0000-0000B6120000}"/>
    <cellStyle name="Note 2 2 6 4 2" xfId="2425" xr:uid="{00000000-0005-0000-0000-0000B7120000}"/>
    <cellStyle name="Note 2 2 6 4 3" xfId="3703" xr:uid="{00000000-0005-0000-0000-0000B8120000}"/>
    <cellStyle name="Note 2 2 6 4 4" xfId="4990" xr:uid="{00000000-0005-0000-0000-0000B9120000}"/>
    <cellStyle name="Note 2 2 6 5" xfId="1573" xr:uid="{00000000-0005-0000-0000-0000BA120000}"/>
    <cellStyle name="Note 2 2 6 6" xfId="2851" xr:uid="{00000000-0005-0000-0000-0000BB120000}"/>
    <cellStyle name="Note 2 2 6 7" xfId="4138" xr:uid="{00000000-0005-0000-0000-0000BC120000}"/>
    <cellStyle name="Note 2 2 7" xfId="444" xr:uid="{00000000-0005-0000-0000-0000BD120000}"/>
    <cellStyle name="Note 2 2 7 2" xfId="869" xr:uid="{00000000-0005-0000-0000-0000BE120000}"/>
    <cellStyle name="Note 2 2 7 2 2" xfId="2161" xr:uid="{00000000-0005-0000-0000-0000BF120000}"/>
    <cellStyle name="Note 2 2 7 2 3" xfId="3439" xr:uid="{00000000-0005-0000-0000-0000C0120000}"/>
    <cellStyle name="Note 2 2 7 2 4" xfId="4726" xr:uid="{00000000-0005-0000-0000-0000C1120000}"/>
    <cellStyle name="Note 2 2 7 3" xfId="1295" xr:uid="{00000000-0005-0000-0000-0000C2120000}"/>
    <cellStyle name="Note 2 2 7 3 2" xfId="2587" xr:uid="{00000000-0005-0000-0000-0000C3120000}"/>
    <cellStyle name="Note 2 2 7 3 3" xfId="3865" xr:uid="{00000000-0005-0000-0000-0000C4120000}"/>
    <cellStyle name="Note 2 2 7 3 4" xfId="5152" xr:uid="{00000000-0005-0000-0000-0000C5120000}"/>
    <cellStyle name="Note 2 2 7 4" xfId="1735" xr:uid="{00000000-0005-0000-0000-0000C6120000}"/>
    <cellStyle name="Note 2 2 7 5" xfId="3013" xr:uid="{00000000-0005-0000-0000-0000C7120000}"/>
    <cellStyle name="Note 2 2 7 6" xfId="4300" xr:uid="{00000000-0005-0000-0000-0000C8120000}"/>
    <cellStyle name="Note 2 2 8" xfId="656" xr:uid="{00000000-0005-0000-0000-0000C9120000}"/>
    <cellStyle name="Note 2 2 8 2" xfId="1948" xr:uid="{00000000-0005-0000-0000-0000CA120000}"/>
    <cellStyle name="Note 2 2 8 3" xfId="3226" xr:uid="{00000000-0005-0000-0000-0000CB120000}"/>
    <cellStyle name="Note 2 2 8 4" xfId="4513" xr:uid="{00000000-0005-0000-0000-0000CC120000}"/>
    <cellStyle name="Note 2 2 9" xfId="1082" xr:uid="{00000000-0005-0000-0000-0000CD120000}"/>
    <cellStyle name="Note 2 2 9 2" xfId="2374" xr:uid="{00000000-0005-0000-0000-0000CE120000}"/>
    <cellStyle name="Note 2 2 9 3" xfId="3652" xr:uid="{00000000-0005-0000-0000-0000CF120000}"/>
    <cellStyle name="Note 2 2 9 4" xfId="4939" xr:uid="{00000000-0005-0000-0000-0000D0120000}"/>
    <cellStyle name="Note 2 3" xfId="228" xr:uid="{00000000-0005-0000-0000-0000D1120000}"/>
    <cellStyle name="Note 2 3 2" xfId="229" xr:uid="{00000000-0005-0000-0000-0000D2120000}"/>
    <cellStyle name="Note 2 3 2 2" xfId="451" xr:uid="{00000000-0005-0000-0000-0000D3120000}"/>
    <cellStyle name="Note 2 3 2 2 2" xfId="876" xr:uid="{00000000-0005-0000-0000-0000D4120000}"/>
    <cellStyle name="Note 2 3 2 2 2 2" xfId="2168" xr:uid="{00000000-0005-0000-0000-0000D5120000}"/>
    <cellStyle name="Note 2 3 2 2 2 3" xfId="3446" xr:uid="{00000000-0005-0000-0000-0000D6120000}"/>
    <cellStyle name="Note 2 3 2 2 2 4" xfId="4733" xr:uid="{00000000-0005-0000-0000-0000D7120000}"/>
    <cellStyle name="Note 2 3 2 2 3" xfId="1302" xr:uid="{00000000-0005-0000-0000-0000D8120000}"/>
    <cellStyle name="Note 2 3 2 2 3 2" xfId="2594" xr:uid="{00000000-0005-0000-0000-0000D9120000}"/>
    <cellStyle name="Note 2 3 2 2 3 3" xfId="3872" xr:uid="{00000000-0005-0000-0000-0000DA120000}"/>
    <cellStyle name="Note 2 3 2 2 3 4" xfId="5159" xr:uid="{00000000-0005-0000-0000-0000DB120000}"/>
    <cellStyle name="Note 2 3 2 2 4" xfId="1742" xr:uid="{00000000-0005-0000-0000-0000DC120000}"/>
    <cellStyle name="Note 2 3 2 2 5" xfId="3020" xr:uid="{00000000-0005-0000-0000-0000DD120000}"/>
    <cellStyle name="Note 2 3 2 2 6" xfId="4307" xr:uid="{00000000-0005-0000-0000-0000DE120000}"/>
    <cellStyle name="Note 2 3 2 3" xfId="663" xr:uid="{00000000-0005-0000-0000-0000DF120000}"/>
    <cellStyle name="Note 2 3 2 3 2" xfId="1955" xr:uid="{00000000-0005-0000-0000-0000E0120000}"/>
    <cellStyle name="Note 2 3 2 3 3" xfId="3233" xr:uid="{00000000-0005-0000-0000-0000E1120000}"/>
    <cellStyle name="Note 2 3 2 3 4" xfId="4520" xr:uid="{00000000-0005-0000-0000-0000E2120000}"/>
    <cellStyle name="Note 2 3 2 4" xfId="1089" xr:uid="{00000000-0005-0000-0000-0000E3120000}"/>
    <cellStyle name="Note 2 3 2 4 2" xfId="2381" xr:uid="{00000000-0005-0000-0000-0000E4120000}"/>
    <cellStyle name="Note 2 3 2 4 3" xfId="3659" xr:uid="{00000000-0005-0000-0000-0000E5120000}"/>
    <cellStyle name="Note 2 3 2 4 4" xfId="4946" xr:uid="{00000000-0005-0000-0000-0000E6120000}"/>
    <cellStyle name="Note 2 3 2 5" xfId="1529" xr:uid="{00000000-0005-0000-0000-0000E7120000}"/>
    <cellStyle name="Note 2 3 2 6" xfId="2807" xr:uid="{00000000-0005-0000-0000-0000E8120000}"/>
    <cellStyle name="Note 2 3 2 7" xfId="4094" xr:uid="{00000000-0005-0000-0000-0000E9120000}"/>
    <cellStyle name="Note 2 3 2 8" xfId="5319" xr:uid="{00000000-0005-0000-0000-0000EA120000}"/>
    <cellStyle name="Note 2 3 3" xfId="450" xr:uid="{00000000-0005-0000-0000-0000EB120000}"/>
    <cellStyle name="Note 2 3 3 2" xfId="875" xr:uid="{00000000-0005-0000-0000-0000EC120000}"/>
    <cellStyle name="Note 2 3 3 2 2" xfId="2167" xr:uid="{00000000-0005-0000-0000-0000ED120000}"/>
    <cellStyle name="Note 2 3 3 2 3" xfId="3445" xr:uid="{00000000-0005-0000-0000-0000EE120000}"/>
    <cellStyle name="Note 2 3 3 2 4" xfId="4732" xr:uid="{00000000-0005-0000-0000-0000EF120000}"/>
    <cellStyle name="Note 2 3 3 3" xfId="1301" xr:uid="{00000000-0005-0000-0000-0000F0120000}"/>
    <cellStyle name="Note 2 3 3 3 2" xfId="2593" xr:uid="{00000000-0005-0000-0000-0000F1120000}"/>
    <cellStyle name="Note 2 3 3 3 3" xfId="3871" xr:uid="{00000000-0005-0000-0000-0000F2120000}"/>
    <cellStyle name="Note 2 3 3 3 4" xfId="5158" xr:uid="{00000000-0005-0000-0000-0000F3120000}"/>
    <cellStyle name="Note 2 3 3 4" xfId="1741" xr:uid="{00000000-0005-0000-0000-0000F4120000}"/>
    <cellStyle name="Note 2 3 3 5" xfId="3019" xr:uid="{00000000-0005-0000-0000-0000F5120000}"/>
    <cellStyle name="Note 2 3 3 6" xfId="4306" xr:uid="{00000000-0005-0000-0000-0000F6120000}"/>
    <cellStyle name="Note 2 3 4" xfId="662" xr:uid="{00000000-0005-0000-0000-0000F7120000}"/>
    <cellStyle name="Note 2 3 4 2" xfId="1954" xr:uid="{00000000-0005-0000-0000-0000F8120000}"/>
    <cellStyle name="Note 2 3 4 3" xfId="3232" xr:uid="{00000000-0005-0000-0000-0000F9120000}"/>
    <cellStyle name="Note 2 3 4 4" xfId="4519" xr:uid="{00000000-0005-0000-0000-0000FA120000}"/>
    <cellStyle name="Note 2 3 5" xfId="1088" xr:uid="{00000000-0005-0000-0000-0000FB120000}"/>
    <cellStyle name="Note 2 3 5 2" xfId="2380" xr:uid="{00000000-0005-0000-0000-0000FC120000}"/>
    <cellStyle name="Note 2 3 5 3" xfId="3658" xr:uid="{00000000-0005-0000-0000-0000FD120000}"/>
    <cellStyle name="Note 2 3 5 4" xfId="4945" xr:uid="{00000000-0005-0000-0000-0000FE120000}"/>
    <cellStyle name="Note 2 3 6" xfId="1528" xr:uid="{00000000-0005-0000-0000-0000FF120000}"/>
    <cellStyle name="Note 2 3 7" xfId="2806" xr:uid="{00000000-0005-0000-0000-000000130000}"/>
    <cellStyle name="Note 2 3 8" xfId="4093" xr:uid="{00000000-0005-0000-0000-000001130000}"/>
    <cellStyle name="Note 2 3 9" xfId="5318" xr:uid="{00000000-0005-0000-0000-000002130000}"/>
    <cellStyle name="Note 2 4" xfId="230" xr:uid="{00000000-0005-0000-0000-000003130000}"/>
    <cellStyle name="Note 2 4 2" xfId="452" xr:uid="{00000000-0005-0000-0000-000004130000}"/>
    <cellStyle name="Note 2 4 2 2" xfId="877" xr:uid="{00000000-0005-0000-0000-000005130000}"/>
    <cellStyle name="Note 2 4 2 2 2" xfId="2169" xr:uid="{00000000-0005-0000-0000-000006130000}"/>
    <cellStyle name="Note 2 4 2 2 3" xfId="3447" xr:uid="{00000000-0005-0000-0000-000007130000}"/>
    <cellStyle name="Note 2 4 2 2 4" xfId="4734" xr:uid="{00000000-0005-0000-0000-000008130000}"/>
    <cellStyle name="Note 2 4 2 3" xfId="1303" xr:uid="{00000000-0005-0000-0000-000009130000}"/>
    <cellStyle name="Note 2 4 2 3 2" xfId="2595" xr:uid="{00000000-0005-0000-0000-00000A130000}"/>
    <cellStyle name="Note 2 4 2 3 3" xfId="3873" xr:uid="{00000000-0005-0000-0000-00000B130000}"/>
    <cellStyle name="Note 2 4 2 3 4" xfId="5160" xr:uid="{00000000-0005-0000-0000-00000C130000}"/>
    <cellStyle name="Note 2 4 2 4" xfId="1743" xr:uid="{00000000-0005-0000-0000-00000D130000}"/>
    <cellStyle name="Note 2 4 2 5" xfId="3021" xr:uid="{00000000-0005-0000-0000-00000E130000}"/>
    <cellStyle name="Note 2 4 2 6" xfId="4308" xr:uid="{00000000-0005-0000-0000-00000F130000}"/>
    <cellStyle name="Note 2 4 3" xfId="664" xr:uid="{00000000-0005-0000-0000-000010130000}"/>
    <cellStyle name="Note 2 4 3 2" xfId="1956" xr:uid="{00000000-0005-0000-0000-000011130000}"/>
    <cellStyle name="Note 2 4 3 3" xfId="3234" xr:uid="{00000000-0005-0000-0000-000012130000}"/>
    <cellStyle name="Note 2 4 3 4" xfId="4521" xr:uid="{00000000-0005-0000-0000-000013130000}"/>
    <cellStyle name="Note 2 4 4" xfId="1090" xr:uid="{00000000-0005-0000-0000-000014130000}"/>
    <cellStyle name="Note 2 4 4 2" xfId="2382" xr:uid="{00000000-0005-0000-0000-000015130000}"/>
    <cellStyle name="Note 2 4 4 3" xfId="3660" xr:uid="{00000000-0005-0000-0000-000016130000}"/>
    <cellStyle name="Note 2 4 4 4" xfId="4947" xr:uid="{00000000-0005-0000-0000-000017130000}"/>
    <cellStyle name="Note 2 4 5" xfId="1530" xr:uid="{00000000-0005-0000-0000-000018130000}"/>
    <cellStyle name="Note 2 4 6" xfId="2808" xr:uid="{00000000-0005-0000-0000-000019130000}"/>
    <cellStyle name="Note 2 4 7" xfId="4095" xr:uid="{00000000-0005-0000-0000-00001A130000}"/>
    <cellStyle name="Note 2 4 8" xfId="5320" xr:uid="{00000000-0005-0000-0000-00001B130000}"/>
    <cellStyle name="Note 2 5" xfId="231" xr:uid="{00000000-0005-0000-0000-00001C130000}"/>
    <cellStyle name="Note 2 5 2" xfId="453" xr:uid="{00000000-0005-0000-0000-00001D130000}"/>
    <cellStyle name="Note 2 5 2 2" xfId="878" xr:uid="{00000000-0005-0000-0000-00001E130000}"/>
    <cellStyle name="Note 2 5 2 2 2" xfId="2170" xr:uid="{00000000-0005-0000-0000-00001F130000}"/>
    <cellStyle name="Note 2 5 2 2 3" xfId="3448" xr:uid="{00000000-0005-0000-0000-000020130000}"/>
    <cellStyle name="Note 2 5 2 2 4" xfId="4735" xr:uid="{00000000-0005-0000-0000-000021130000}"/>
    <cellStyle name="Note 2 5 2 3" xfId="1304" xr:uid="{00000000-0005-0000-0000-000022130000}"/>
    <cellStyle name="Note 2 5 2 3 2" xfId="2596" xr:uid="{00000000-0005-0000-0000-000023130000}"/>
    <cellStyle name="Note 2 5 2 3 3" xfId="3874" xr:uid="{00000000-0005-0000-0000-000024130000}"/>
    <cellStyle name="Note 2 5 2 3 4" xfId="5161" xr:uid="{00000000-0005-0000-0000-000025130000}"/>
    <cellStyle name="Note 2 5 2 4" xfId="1744" xr:uid="{00000000-0005-0000-0000-000026130000}"/>
    <cellStyle name="Note 2 5 2 5" xfId="3022" xr:uid="{00000000-0005-0000-0000-000027130000}"/>
    <cellStyle name="Note 2 5 2 6" xfId="4309" xr:uid="{00000000-0005-0000-0000-000028130000}"/>
    <cellStyle name="Note 2 5 3" xfId="665" xr:uid="{00000000-0005-0000-0000-000029130000}"/>
    <cellStyle name="Note 2 5 3 2" xfId="1957" xr:uid="{00000000-0005-0000-0000-00002A130000}"/>
    <cellStyle name="Note 2 5 3 3" xfId="3235" xr:uid="{00000000-0005-0000-0000-00002B130000}"/>
    <cellStyle name="Note 2 5 3 4" xfId="4522" xr:uid="{00000000-0005-0000-0000-00002C130000}"/>
    <cellStyle name="Note 2 5 4" xfId="1091" xr:uid="{00000000-0005-0000-0000-00002D130000}"/>
    <cellStyle name="Note 2 5 4 2" xfId="2383" xr:uid="{00000000-0005-0000-0000-00002E130000}"/>
    <cellStyle name="Note 2 5 4 3" xfId="3661" xr:uid="{00000000-0005-0000-0000-00002F130000}"/>
    <cellStyle name="Note 2 5 4 4" xfId="4948" xr:uid="{00000000-0005-0000-0000-000030130000}"/>
    <cellStyle name="Note 2 5 5" xfId="1531" xr:uid="{00000000-0005-0000-0000-000031130000}"/>
    <cellStyle name="Note 2 5 6" xfId="2809" xr:uid="{00000000-0005-0000-0000-000032130000}"/>
    <cellStyle name="Note 2 5 7" xfId="4096" xr:uid="{00000000-0005-0000-0000-000033130000}"/>
    <cellStyle name="Note 2 6" xfId="232" xr:uid="{00000000-0005-0000-0000-000034130000}"/>
    <cellStyle name="Note 2 6 2" xfId="454" xr:uid="{00000000-0005-0000-0000-000035130000}"/>
    <cellStyle name="Note 2 6 2 2" xfId="879" xr:uid="{00000000-0005-0000-0000-000036130000}"/>
    <cellStyle name="Note 2 6 2 2 2" xfId="2171" xr:uid="{00000000-0005-0000-0000-000037130000}"/>
    <cellStyle name="Note 2 6 2 2 3" xfId="3449" xr:uid="{00000000-0005-0000-0000-000038130000}"/>
    <cellStyle name="Note 2 6 2 2 4" xfId="4736" xr:uid="{00000000-0005-0000-0000-000039130000}"/>
    <cellStyle name="Note 2 6 2 3" xfId="1305" xr:uid="{00000000-0005-0000-0000-00003A130000}"/>
    <cellStyle name="Note 2 6 2 3 2" xfId="2597" xr:uid="{00000000-0005-0000-0000-00003B130000}"/>
    <cellStyle name="Note 2 6 2 3 3" xfId="3875" xr:uid="{00000000-0005-0000-0000-00003C130000}"/>
    <cellStyle name="Note 2 6 2 3 4" xfId="5162" xr:uid="{00000000-0005-0000-0000-00003D130000}"/>
    <cellStyle name="Note 2 6 2 4" xfId="1745" xr:uid="{00000000-0005-0000-0000-00003E130000}"/>
    <cellStyle name="Note 2 6 2 5" xfId="3023" xr:uid="{00000000-0005-0000-0000-00003F130000}"/>
    <cellStyle name="Note 2 6 2 6" xfId="4310" xr:uid="{00000000-0005-0000-0000-000040130000}"/>
    <cellStyle name="Note 2 6 3" xfId="666" xr:uid="{00000000-0005-0000-0000-000041130000}"/>
    <cellStyle name="Note 2 6 3 2" xfId="1958" xr:uid="{00000000-0005-0000-0000-000042130000}"/>
    <cellStyle name="Note 2 6 3 3" xfId="3236" xr:uid="{00000000-0005-0000-0000-000043130000}"/>
    <cellStyle name="Note 2 6 3 4" xfId="4523" xr:uid="{00000000-0005-0000-0000-000044130000}"/>
    <cellStyle name="Note 2 6 4" xfId="1092" xr:uid="{00000000-0005-0000-0000-000045130000}"/>
    <cellStyle name="Note 2 6 4 2" xfId="2384" xr:uid="{00000000-0005-0000-0000-000046130000}"/>
    <cellStyle name="Note 2 6 4 3" xfId="3662" xr:uid="{00000000-0005-0000-0000-000047130000}"/>
    <cellStyle name="Note 2 6 4 4" xfId="4949" xr:uid="{00000000-0005-0000-0000-000048130000}"/>
    <cellStyle name="Note 2 6 5" xfId="1532" xr:uid="{00000000-0005-0000-0000-000049130000}"/>
    <cellStyle name="Note 2 6 6" xfId="2810" xr:uid="{00000000-0005-0000-0000-00004A130000}"/>
    <cellStyle name="Note 2 6 7" xfId="4097" xr:uid="{00000000-0005-0000-0000-00004B130000}"/>
    <cellStyle name="Note 2 7" xfId="267" xr:uid="{00000000-0005-0000-0000-00004C130000}"/>
    <cellStyle name="Note 2 7 2" xfId="480" xr:uid="{00000000-0005-0000-0000-00004D130000}"/>
    <cellStyle name="Note 2 7 2 2" xfId="905" xr:uid="{00000000-0005-0000-0000-00004E130000}"/>
    <cellStyle name="Note 2 7 2 2 2" xfId="2197" xr:uid="{00000000-0005-0000-0000-00004F130000}"/>
    <cellStyle name="Note 2 7 2 2 3" xfId="3475" xr:uid="{00000000-0005-0000-0000-000050130000}"/>
    <cellStyle name="Note 2 7 2 2 4" xfId="4762" xr:uid="{00000000-0005-0000-0000-000051130000}"/>
    <cellStyle name="Note 2 7 2 3" xfId="1331" xr:uid="{00000000-0005-0000-0000-000052130000}"/>
    <cellStyle name="Note 2 7 2 3 2" xfId="2623" xr:uid="{00000000-0005-0000-0000-000053130000}"/>
    <cellStyle name="Note 2 7 2 3 3" xfId="3901" xr:uid="{00000000-0005-0000-0000-000054130000}"/>
    <cellStyle name="Note 2 7 2 3 4" xfId="5188" xr:uid="{00000000-0005-0000-0000-000055130000}"/>
    <cellStyle name="Note 2 7 2 4" xfId="1771" xr:uid="{00000000-0005-0000-0000-000056130000}"/>
    <cellStyle name="Note 2 7 2 5" xfId="3049" xr:uid="{00000000-0005-0000-0000-000057130000}"/>
    <cellStyle name="Note 2 7 2 6" xfId="4336" xr:uid="{00000000-0005-0000-0000-000058130000}"/>
    <cellStyle name="Note 2 7 3" xfId="692" xr:uid="{00000000-0005-0000-0000-000059130000}"/>
    <cellStyle name="Note 2 7 3 2" xfId="1984" xr:uid="{00000000-0005-0000-0000-00005A130000}"/>
    <cellStyle name="Note 2 7 3 3" xfId="3262" xr:uid="{00000000-0005-0000-0000-00005B130000}"/>
    <cellStyle name="Note 2 7 3 4" xfId="4549" xr:uid="{00000000-0005-0000-0000-00005C130000}"/>
    <cellStyle name="Note 2 7 4" xfId="1118" xr:uid="{00000000-0005-0000-0000-00005D130000}"/>
    <cellStyle name="Note 2 7 4 2" xfId="2410" xr:uid="{00000000-0005-0000-0000-00005E130000}"/>
    <cellStyle name="Note 2 7 4 3" xfId="3688" xr:uid="{00000000-0005-0000-0000-00005F130000}"/>
    <cellStyle name="Note 2 7 4 4" xfId="4975" xr:uid="{00000000-0005-0000-0000-000060130000}"/>
    <cellStyle name="Note 2 7 5" xfId="1558" xr:uid="{00000000-0005-0000-0000-000061130000}"/>
    <cellStyle name="Note 2 7 6" xfId="2836" xr:uid="{00000000-0005-0000-0000-000062130000}"/>
    <cellStyle name="Note 2 7 7" xfId="4123" xr:uid="{00000000-0005-0000-0000-000063130000}"/>
    <cellStyle name="Note 2 8" xfId="443" xr:uid="{00000000-0005-0000-0000-000064130000}"/>
    <cellStyle name="Note 2 8 2" xfId="868" xr:uid="{00000000-0005-0000-0000-000065130000}"/>
    <cellStyle name="Note 2 8 2 2" xfId="2160" xr:uid="{00000000-0005-0000-0000-000066130000}"/>
    <cellStyle name="Note 2 8 2 3" xfId="3438" xr:uid="{00000000-0005-0000-0000-000067130000}"/>
    <cellStyle name="Note 2 8 2 4" xfId="4725" xr:uid="{00000000-0005-0000-0000-000068130000}"/>
    <cellStyle name="Note 2 8 3" xfId="1294" xr:uid="{00000000-0005-0000-0000-000069130000}"/>
    <cellStyle name="Note 2 8 3 2" xfId="2586" xr:uid="{00000000-0005-0000-0000-00006A130000}"/>
    <cellStyle name="Note 2 8 3 3" xfId="3864" xr:uid="{00000000-0005-0000-0000-00006B130000}"/>
    <cellStyle name="Note 2 8 3 4" xfId="5151" xr:uid="{00000000-0005-0000-0000-00006C130000}"/>
    <cellStyle name="Note 2 8 4" xfId="1734" xr:uid="{00000000-0005-0000-0000-00006D130000}"/>
    <cellStyle name="Note 2 8 5" xfId="3012" xr:uid="{00000000-0005-0000-0000-00006E130000}"/>
    <cellStyle name="Note 2 8 6" xfId="4299" xr:uid="{00000000-0005-0000-0000-00006F130000}"/>
    <cellStyle name="Note 2 9" xfId="655" xr:uid="{00000000-0005-0000-0000-000070130000}"/>
    <cellStyle name="Note 2 9 2" xfId="1947" xr:uid="{00000000-0005-0000-0000-000071130000}"/>
    <cellStyle name="Note 2 9 3" xfId="3225" xr:uid="{00000000-0005-0000-0000-000072130000}"/>
    <cellStyle name="Note 2 9 4" xfId="4512" xr:uid="{00000000-0005-0000-0000-000073130000}"/>
    <cellStyle name="Note 3" xfId="38" xr:uid="{00000000-0005-0000-0000-000074130000}"/>
    <cellStyle name="Note 3 10" xfId="1093" xr:uid="{00000000-0005-0000-0000-000075130000}"/>
    <cellStyle name="Note 3 10 2" xfId="2385" xr:uid="{00000000-0005-0000-0000-000076130000}"/>
    <cellStyle name="Note 3 10 3" xfId="3663" xr:uid="{00000000-0005-0000-0000-000077130000}"/>
    <cellStyle name="Note 3 10 4" xfId="4950" xr:uid="{00000000-0005-0000-0000-000078130000}"/>
    <cellStyle name="Note 3 11" xfId="1533" xr:uid="{00000000-0005-0000-0000-000079130000}"/>
    <cellStyle name="Note 3 12" xfId="2811" xr:uid="{00000000-0005-0000-0000-00007A130000}"/>
    <cellStyle name="Note 3 13" xfId="4098" xr:uid="{00000000-0005-0000-0000-00007B130000}"/>
    <cellStyle name="Note 3 14" xfId="5321" xr:uid="{00000000-0005-0000-0000-00007C130000}"/>
    <cellStyle name="Note 3 2" xfId="39" xr:uid="{00000000-0005-0000-0000-00007D130000}"/>
    <cellStyle name="Note 3 2 10" xfId="1534" xr:uid="{00000000-0005-0000-0000-00007E130000}"/>
    <cellStyle name="Note 3 2 11" xfId="2812" xr:uid="{00000000-0005-0000-0000-00007F130000}"/>
    <cellStyle name="Note 3 2 12" xfId="4099" xr:uid="{00000000-0005-0000-0000-000080130000}"/>
    <cellStyle name="Note 3 2 13" xfId="5322" xr:uid="{00000000-0005-0000-0000-000081130000}"/>
    <cellStyle name="Note 3 2 2" xfId="233" xr:uid="{00000000-0005-0000-0000-000082130000}"/>
    <cellStyle name="Note 3 2 2 2" xfId="234" xr:uid="{00000000-0005-0000-0000-000083130000}"/>
    <cellStyle name="Note 3 2 2 2 2" xfId="458" xr:uid="{00000000-0005-0000-0000-000084130000}"/>
    <cellStyle name="Note 3 2 2 2 2 2" xfId="883" xr:uid="{00000000-0005-0000-0000-000085130000}"/>
    <cellStyle name="Note 3 2 2 2 2 2 2" xfId="2175" xr:uid="{00000000-0005-0000-0000-000086130000}"/>
    <cellStyle name="Note 3 2 2 2 2 2 3" xfId="3453" xr:uid="{00000000-0005-0000-0000-000087130000}"/>
    <cellStyle name="Note 3 2 2 2 2 2 4" xfId="4740" xr:uid="{00000000-0005-0000-0000-000088130000}"/>
    <cellStyle name="Note 3 2 2 2 2 3" xfId="1309" xr:uid="{00000000-0005-0000-0000-000089130000}"/>
    <cellStyle name="Note 3 2 2 2 2 3 2" xfId="2601" xr:uid="{00000000-0005-0000-0000-00008A130000}"/>
    <cellStyle name="Note 3 2 2 2 2 3 3" xfId="3879" xr:uid="{00000000-0005-0000-0000-00008B130000}"/>
    <cellStyle name="Note 3 2 2 2 2 3 4" xfId="5166" xr:uid="{00000000-0005-0000-0000-00008C130000}"/>
    <cellStyle name="Note 3 2 2 2 2 4" xfId="1749" xr:uid="{00000000-0005-0000-0000-00008D130000}"/>
    <cellStyle name="Note 3 2 2 2 2 5" xfId="3027" xr:uid="{00000000-0005-0000-0000-00008E130000}"/>
    <cellStyle name="Note 3 2 2 2 2 6" xfId="4314" xr:uid="{00000000-0005-0000-0000-00008F130000}"/>
    <cellStyle name="Note 3 2 2 2 3" xfId="670" xr:uid="{00000000-0005-0000-0000-000090130000}"/>
    <cellStyle name="Note 3 2 2 2 3 2" xfId="1962" xr:uid="{00000000-0005-0000-0000-000091130000}"/>
    <cellStyle name="Note 3 2 2 2 3 3" xfId="3240" xr:uid="{00000000-0005-0000-0000-000092130000}"/>
    <cellStyle name="Note 3 2 2 2 3 4" xfId="4527" xr:uid="{00000000-0005-0000-0000-000093130000}"/>
    <cellStyle name="Note 3 2 2 2 4" xfId="1096" xr:uid="{00000000-0005-0000-0000-000094130000}"/>
    <cellStyle name="Note 3 2 2 2 4 2" xfId="2388" xr:uid="{00000000-0005-0000-0000-000095130000}"/>
    <cellStyle name="Note 3 2 2 2 4 3" xfId="3666" xr:uid="{00000000-0005-0000-0000-000096130000}"/>
    <cellStyle name="Note 3 2 2 2 4 4" xfId="4953" xr:uid="{00000000-0005-0000-0000-000097130000}"/>
    <cellStyle name="Note 3 2 2 2 5" xfId="1536" xr:uid="{00000000-0005-0000-0000-000098130000}"/>
    <cellStyle name="Note 3 2 2 2 6" xfId="2814" xr:uid="{00000000-0005-0000-0000-000099130000}"/>
    <cellStyle name="Note 3 2 2 2 7" xfId="4101" xr:uid="{00000000-0005-0000-0000-00009A130000}"/>
    <cellStyle name="Note 3 2 2 2 8" xfId="5324" xr:uid="{00000000-0005-0000-0000-00009B130000}"/>
    <cellStyle name="Note 3 2 2 3" xfId="457" xr:uid="{00000000-0005-0000-0000-00009C130000}"/>
    <cellStyle name="Note 3 2 2 3 2" xfId="882" xr:uid="{00000000-0005-0000-0000-00009D130000}"/>
    <cellStyle name="Note 3 2 2 3 2 2" xfId="2174" xr:uid="{00000000-0005-0000-0000-00009E130000}"/>
    <cellStyle name="Note 3 2 2 3 2 3" xfId="3452" xr:uid="{00000000-0005-0000-0000-00009F130000}"/>
    <cellStyle name="Note 3 2 2 3 2 4" xfId="4739" xr:uid="{00000000-0005-0000-0000-0000A0130000}"/>
    <cellStyle name="Note 3 2 2 3 3" xfId="1308" xr:uid="{00000000-0005-0000-0000-0000A1130000}"/>
    <cellStyle name="Note 3 2 2 3 3 2" xfId="2600" xr:uid="{00000000-0005-0000-0000-0000A2130000}"/>
    <cellStyle name="Note 3 2 2 3 3 3" xfId="3878" xr:uid="{00000000-0005-0000-0000-0000A3130000}"/>
    <cellStyle name="Note 3 2 2 3 3 4" xfId="5165" xr:uid="{00000000-0005-0000-0000-0000A4130000}"/>
    <cellStyle name="Note 3 2 2 3 4" xfId="1748" xr:uid="{00000000-0005-0000-0000-0000A5130000}"/>
    <cellStyle name="Note 3 2 2 3 5" xfId="3026" xr:uid="{00000000-0005-0000-0000-0000A6130000}"/>
    <cellStyle name="Note 3 2 2 3 6" xfId="4313" xr:uid="{00000000-0005-0000-0000-0000A7130000}"/>
    <cellStyle name="Note 3 2 2 4" xfId="669" xr:uid="{00000000-0005-0000-0000-0000A8130000}"/>
    <cellStyle name="Note 3 2 2 4 2" xfId="1961" xr:uid="{00000000-0005-0000-0000-0000A9130000}"/>
    <cellStyle name="Note 3 2 2 4 3" xfId="3239" xr:uid="{00000000-0005-0000-0000-0000AA130000}"/>
    <cellStyle name="Note 3 2 2 4 4" xfId="4526" xr:uid="{00000000-0005-0000-0000-0000AB130000}"/>
    <cellStyle name="Note 3 2 2 5" xfId="1095" xr:uid="{00000000-0005-0000-0000-0000AC130000}"/>
    <cellStyle name="Note 3 2 2 5 2" xfId="2387" xr:uid="{00000000-0005-0000-0000-0000AD130000}"/>
    <cellStyle name="Note 3 2 2 5 3" xfId="3665" xr:uid="{00000000-0005-0000-0000-0000AE130000}"/>
    <cellStyle name="Note 3 2 2 5 4" xfId="4952" xr:uid="{00000000-0005-0000-0000-0000AF130000}"/>
    <cellStyle name="Note 3 2 2 6" xfId="1535" xr:uid="{00000000-0005-0000-0000-0000B0130000}"/>
    <cellStyle name="Note 3 2 2 7" xfId="2813" xr:uid="{00000000-0005-0000-0000-0000B1130000}"/>
    <cellStyle name="Note 3 2 2 8" xfId="4100" xr:uid="{00000000-0005-0000-0000-0000B2130000}"/>
    <cellStyle name="Note 3 2 2 9" xfId="5323" xr:uid="{00000000-0005-0000-0000-0000B3130000}"/>
    <cellStyle name="Note 3 2 3" xfId="235" xr:uid="{00000000-0005-0000-0000-0000B4130000}"/>
    <cellStyle name="Note 3 2 3 2" xfId="459" xr:uid="{00000000-0005-0000-0000-0000B5130000}"/>
    <cellStyle name="Note 3 2 3 2 2" xfId="884" xr:uid="{00000000-0005-0000-0000-0000B6130000}"/>
    <cellStyle name="Note 3 2 3 2 2 2" xfId="2176" xr:uid="{00000000-0005-0000-0000-0000B7130000}"/>
    <cellStyle name="Note 3 2 3 2 2 3" xfId="3454" xr:uid="{00000000-0005-0000-0000-0000B8130000}"/>
    <cellStyle name="Note 3 2 3 2 2 4" xfId="4741" xr:uid="{00000000-0005-0000-0000-0000B9130000}"/>
    <cellStyle name="Note 3 2 3 2 3" xfId="1310" xr:uid="{00000000-0005-0000-0000-0000BA130000}"/>
    <cellStyle name="Note 3 2 3 2 3 2" xfId="2602" xr:uid="{00000000-0005-0000-0000-0000BB130000}"/>
    <cellStyle name="Note 3 2 3 2 3 3" xfId="3880" xr:uid="{00000000-0005-0000-0000-0000BC130000}"/>
    <cellStyle name="Note 3 2 3 2 3 4" xfId="5167" xr:uid="{00000000-0005-0000-0000-0000BD130000}"/>
    <cellStyle name="Note 3 2 3 2 4" xfId="1750" xr:uid="{00000000-0005-0000-0000-0000BE130000}"/>
    <cellStyle name="Note 3 2 3 2 5" xfId="3028" xr:uid="{00000000-0005-0000-0000-0000BF130000}"/>
    <cellStyle name="Note 3 2 3 2 6" xfId="4315" xr:uid="{00000000-0005-0000-0000-0000C0130000}"/>
    <cellStyle name="Note 3 2 3 3" xfId="671" xr:uid="{00000000-0005-0000-0000-0000C1130000}"/>
    <cellStyle name="Note 3 2 3 3 2" xfId="1963" xr:uid="{00000000-0005-0000-0000-0000C2130000}"/>
    <cellStyle name="Note 3 2 3 3 3" xfId="3241" xr:uid="{00000000-0005-0000-0000-0000C3130000}"/>
    <cellStyle name="Note 3 2 3 3 4" xfId="4528" xr:uid="{00000000-0005-0000-0000-0000C4130000}"/>
    <cellStyle name="Note 3 2 3 4" xfId="1097" xr:uid="{00000000-0005-0000-0000-0000C5130000}"/>
    <cellStyle name="Note 3 2 3 4 2" xfId="2389" xr:uid="{00000000-0005-0000-0000-0000C6130000}"/>
    <cellStyle name="Note 3 2 3 4 3" xfId="3667" xr:uid="{00000000-0005-0000-0000-0000C7130000}"/>
    <cellStyle name="Note 3 2 3 4 4" xfId="4954" xr:uid="{00000000-0005-0000-0000-0000C8130000}"/>
    <cellStyle name="Note 3 2 3 5" xfId="1537" xr:uid="{00000000-0005-0000-0000-0000C9130000}"/>
    <cellStyle name="Note 3 2 3 6" xfId="2815" xr:uid="{00000000-0005-0000-0000-0000CA130000}"/>
    <cellStyle name="Note 3 2 3 7" xfId="4102" xr:uid="{00000000-0005-0000-0000-0000CB130000}"/>
    <cellStyle name="Note 3 2 3 8" xfId="5325" xr:uid="{00000000-0005-0000-0000-0000CC130000}"/>
    <cellStyle name="Note 3 2 4" xfId="236" xr:uid="{00000000-0005-0000-0000-0000CD130000}"/>
    <cellStyle name="Note 3 2 4 2" xfId="460" xr:uid="{00000000-0005-0000-0000-0000CE130000}"/>
    <cellStyle name="Note 3 2 4 2 2" xfId="885" xr:uid="{00000000-0005-0000-0000-0000CF130000}"/>
    <cellStyle name="Note 3 2 4 2 2 2" xfId="2177" xr:uid="{00000000-0005-0000-0000-0000D0130000}"/>
    <cellStyle name="Note 3 2 4 2 2 3" xfId="3455" xr:uid="{00000000-0005-0000-0000-0000D1130000}"/>
    <cellStyle name="Note 3 2 4 2 2 4" xfId="4742" xr:uid="{00000000-0005-0000-0000-0000D2130000}"/>
    <cellStyle name="Note 3 2 4 2 3" xfId="1311" xr:uid="{00000000-0005-0000-0000-0000D3130000}"/>
    <cellStyle name="Note 3 2 4 2 3 2" xfId="2603" xr:uid="{00000000-0005-0000-0000-0000D4130000}"/>
    <cellStyle name="Note 3 2 4 2 3 3" xfId="3881" xr:uid="{00000000-0005-0000-0000-0000D5130000}"/>
    <cellStyle name="Note 3 2 4 2 3 4" xfId="5168" xr:uid="{00000000-0005-0000-0000-0000D6130000}"/>
    <cellStyle name="Note 3 2 4 2 4" xfId="1751" xr:uid="{00000000-0005-0000-0000-0000D7130000}"/>
    <cellStyle name="Note 3 2 4 2 5" xfId="3029" xr:uid="{00000000-0005-0000-0000-0000D8130000}"/>
    <cellStyle name="Note 3 2 4 2 6" xfId="4316" xr:uid="{00000000-0005-0000-0000-0000D9130000}"/>
    <cellStyle name="Note 3 2 4 3" xfId="672" xr:uid="{00000000-0005-0000-0000-0000DA130000}"/>
    <cellStyle name="Note 3 2 4 3 2" xfId="1964" xr:uid="{00000000-0005-0000-0000-0000DB130000}"/>
    <cellStyle name="Note 3 2 4 3 3" xfId="3242" xr:uid="{00000000-0005-0000-0000-0000DC130000}"/>
    <cellStyle name="Note 3 2 4 3 4" xfId="4529" xr:uid="{00000000-0005-0000-0000-0000DD130000}"/>
    <cellStyle name="Note 3 2 4 4" xfId="1098" xr:uid="{00000000-0005-0000-0000-0000DE130000}"/>
    <cellStyle name="Note 3 2 4 4 2" xfId="2390" xr:uid="{00000000-0005-0000-0000-0000DF130000}"/>
    <cellStyle name="Note 3 2 4 4 3" xfId="3668" xr:uid="{00000000-0005-0000-0000-0000E0130000}"/>
    <cellStyle name="Note 3 2 4 4 4" xfId="4955" xr:uid="{00000000-0005-0000-0000-0000E1130000}"/>
    <cellStyle name="Note 3 2 4 5" xfId="1538" xr:uid="{00000000-0005-0000-0000-0000E2130000}"/>
    <cellStyle name="Note 3 2 4 6" xfId="2816" xr:uid="{00000000-0005-0000-0000-0000E3130000}"/>
    <cellStyle name="Note 3 2 4 7" xfId="4103" xr:uid="{00000000-0005-0000-0000-0000E4130000}"/>
    <cellStyle name="Note 3 2 5" xfId="237" xr:uid="{00000000-0005-0000-0000-0000E5130000}"/>
    <cellStyle name="Note 3 2 5 2" xfId="461" xr:uid="{00000000-0005-0000-0000-0000E6130000}"/>
    <cellStyle name="Note 3 2 5 2 2" xfId="886" xr:uid="{00000000-0005-0000-0000-0000E7130000}"/>
    <cellStyle name="Note 3 2 5 2 2 2" xfId="2178" xr:uid="{00000000-0005-0000-0000-0000E8130000}"/>
    <cellStyle name="Note 3 2 5 2 2 3" xfId="3456" xr:uid="{00000000-0005-0000-0000-0000E9130000}"/>
    <cellStyle name="Note 3 2 5 2 2 4" xfId="4743" xr:uid="{00000000-0005-0000-0000-0000EA130000}"/>
    <cellStyle name="Note 3 2 5 2 3" xfId="1312" xr:uid="{00000000-0005-0000-0000-0000EB130000}"/>
    <cellStyle name="Note 3 2 5 2 3 2" xfId="2604" xr:uid="{00000000-0005-0000-0000-0000EC130000}"/>
    <cellStyle name="Note 3 2 5 2 3 3" xfId="3882" xr:uid="{00000000-0005-0000-0000-0000ED130000}"/>
    <cellStyle name="Note 3 2 5 2 3 4" xfId="5169" xr:uid="{00000000-0005-0000-0000-0000EE130000}"/>
    <cellStyle name="Note 3 2 5 2 4" xfId="1752" xr:uid="{00000000-0005-0000-0000-0000EF130000}"/>
    <cellStyle name="Note 3 2 5 2 5" xfId="3030" xr:uid="{00000000-0005-0000-0000-0000F0130000}"/>
    <cellStyle name="Note 3 2 5 2 6" xfId="4317" xr:uid="{00000000-0005-0000-0000-0000F1130000}"/>
    <cellStyle name="Note 3 2 5 3" xfId="673" xr:uid="{00000000-0005-0000-0000-0000F2130000}"/>
    <cellStyle name="Note 3 2 5 3 2" xfId="1965" xr:uid="{00000000-0005-0000-0000-0000F3130000}"/>
    <cellStyle name="Note 3 2 5 3 3" xfId="3243" xr:uid="{00000000-0005-0000-0000-0000F4130000}"/>
    <cellStyle name="Note 3 2 5 3 4" xfId="4530" xr:uid="{00000000-0005-0000-0000-0000F5130000}"/>
    <cellStyle name="Note 3 2 5 4" xfId="1099" xr:uid="{00000000-0005-0000-0000-0000F6130000}"/>
    <cellStyle name="Note 3 2 5 4 2" xfId="2391" xr:uid="{00000000-0005-0000-0000-0000F7130000}"/>
    <cellStyle name="Note 3 2 5 4 3" xfId="3669" xr:uid="{00000000-0005-0000-0000-0000F8130000}"/>
    <cellStyle name="Note 3 2 5 4 4" xfId="4956" xr:uid="{00000000-0005-0000-0000-0000F9130000}"/>
    <cellStyle name="Note 3 2 5 5" xfId="1539" xr:uid="{00000000-0005-0000-0000-0000FA130000}"/>
    <cellStyle name="Note 3 2 5 6" xfId="2817" xr:uid="{00000000-0005-0000-0000-0000FB130000}"/>
    <cellStyle name="Note 3 2 5 7" xfId="4104" xr:uid="{00000000-0005-0000-0000-0000FC130000}"/>
    <cellStyle name="Note 3 2 6" xfId="283" xr:uid="{00000000-0005-0000-0000-0000FD130000}"/>
    <cellStyle name="Note 3 2 6 2" xfId="496" xr:uid="{00000000-0005-0000-0000-0000FE130000}"/>
    <cellStyle name="Note 3 2 6 2 2" xfId="921" xr:uid="{00000000-0005-0000-0000-0000FF130000}"/>
    <cellStyle name="Note 3 2 6 2 2 2" xfId="2213" xr:uid="{00000000-0005-0000-0000-000000140000}"/>
    <cellStyle name="Note 3 2 6 2 2 3" xfId="3491" xr:uid="{00000000-0005-0000-0000-000001140000}"/>
    <cellStyle name="Note 3 2 6 2 2 4" xfId="4778" xr:uid="{00000000-0005-0000-0000-000002140000}"/>
    <cellStyle name="Note 3 2 6 2 3" xfId="1347" xr:uid="{00000000-0005-0000-0000-000003140000}"/>
    <cellStyle name="Note 3 2 6 2 3 2" xfId="2639" xr:uid="{00000000-0005-0000-0000-000004140000}"/>
    <cellStyle name="Note 3 2 6 2 3 3" xfId="3917" xr:uid="{00000000-0005-0000-0000-000005140000}"/>
    <cellStyle name="Note 3 2 6 2 3 4" xfId="5204" xr:uid="{00000000-0005-0000-0000-000006140000}"/>
    <cellStyle name="Note 3 2 6 2 4" xfId="1787" xr:uid="{00000000-0005-0000-0000-000007140000}"/>
    <cellStyle name="Note 3 2 6 2 5" xfId="3065" xr:uid="{00000000-0005-0000-0000-000008140000}"/>
    <cellStyle name="Note 3 2 6 2 6" xfId="4352" xr:uid="{00000000-0005-0000-0000-000009140000}"/>
    <cellStyle name="Note 3 2 6 3" xfId="708" xr:uid="{00000000-0005-0000-0000-00000A140000}"/>
    <cellStyle name="Note 3 2 6 3 2" xfId="2000" xr:uid="{00000000-0005-0000-0000-00000B140000}"/>
    <cellStyle name="Note 3 2 6 3 3" xfId="3278" xr:uid="{00000000-0005-0000-0000-00000C140000}"/>
    <cellStyle name="Note 3 2 6 3 4" xfId="4565" xr:uid="{00000000-0005-0000-0000-00000D140000}"/>
    <cellStyle name="Note 3 2 6 4" xfId="1134" xr:uid="{00000000-0005-0000-0000-00000E140000}"/>
    <cellStyle name="Note 3 2 6 4 2" xfId="2426" xr:uid="{00000000-0005-0000-0000-00000F140000}"/>
    <cellStyle name="Note 3 2 6 4 3" xfId="3704" xr:uid="{00000000-0005-0000-0000-000010140000}"/>
    <cellStyle name="Note 3 2 6 4 4" xfId="4991" xr:uid="{00000000-0005-0000-0000-000011140000}"/>
    <cellStyle name="Note 3 2 6 5" xfId="1574" xr:uid="{00000000-0005-0000-0000-000012140000}"/>
    <cellStyle name="Note 3 2 6 6" xfId="2852" xr:uid="{00000000-0005-0000-0000-000013140000}"/>
    <cellStyle name="Note 3 2 6 7" xfId="4139" xr:uid="{00000000-0005-0000-0000-000014140000}"/>
    <cellStyle name="Note 3 2 7" xfId="456" xr:uid="{00000000-0005-0000-0000-000015140000}"/>
    <cellStyle name="Note 3 2 7 2" xfId="881" xr:uid="{00000000-0005-0000-0000-000016140000}"/>
    <cellStyle name="Note 3 2 7 2 2" xfId="2173" xr:uid="{00000000-0005-0000-0000-000017140000}"/>
    <cellStyle name="Note 3 2 7 2 3" xfId="3451" xr:uid="{00000000-0005-0000-0000-000018140000}"/>
    <cellStyle name="Note 3 2 7 2 4" xfId="4738" xr:uid="{00000000-0005-0000-0000-000019140000}"/>
    <cellStyle name="Note 3 2 7 3" xfId="1307" xr:uid="{00000000-0005-0000-0000-00001A140000}"/>
    <cellStyle name="Note 3 2 7 3 2" xfId="2599" xr:uid="{00000000-0005-0000-0000-00001B140000}"/>
    <cellStyle name="Note 3 2 7 3 3" xfId="3877" xr:uid="{00000000-0005-0000-0000-00001C140000}"/>
    <cellStyle name="Note 3 2 7 3 4" xfId="5164" xr:uid="{00000000-0005-0000-0000-00001D140000}"/>
    <cellStyle name="Note 3 2 7 4" xfId="1747" xr:uid="{00000000-0005-0000-0000-00001E140000}"/>
    <cellStyle name="Note 3 2 7 5" xfId="3025" xr:uid="{00000000-0005-0000-0000-00001F140000}"/>
    <cellStyle name="Note 3 2 7 6" xfId="4312" xr:uid="{00000000-0005-0000-0000-000020140000}"/>
    <cellStyle name="Note 3 2 8" xfId="668" xr:uid="{00000000-0005-0000-0000-000021140000}"/>
    <cellStyle name="Note 3 2 8 2" xfId="1960" xr:uid="{00000000-0005-0000-0000-000022140000}"/>
    <cellStyle name="Note 3 2 8 3" xfId="3238" xr:uid="{00000000-0005-0000-0000-000023140000}"/>
    <cellStyle name="Note 3 2 8 4" xfId="4525" xr:uid="{00000000-0005-0000-0000-000024140000}"/>
    <cellStyle name="Note 3 2 9" xfId="1094" xr:uid="{00000000-0005-0000-0000-000025140000}"/>
    <cellStyle name="Note 3 2 9 2" xfId="2386" xr:uid="{00000000-0005-0000-0000-000026140000}"/>
    <cellStyle name="Note 3 2 9 3" xfId="3664" xr:uid="{00000000-0005-0000-0000-000027140000}"/>
    <cellStyle name="Note 3 2 9 4" xfId="4951" xr:uid="{00000000-0005-0000-0000-000028140000}"/>
    <cellStyle name="Note 3 3" xfId="238" xr:uid="{00000000-0005-0000-0000-000029140000}"/>
    <cellStyle name="Note 3 3 2" xfId="239" xr:uid="{00000000-0005-0000-0000-00002A140000}"/>
    <cellStyle name="Note 3 3 2 2" xfId="463" xr:uid="{00000000-0005-0000-0000-00002B140000}"/>
    <cellStyle name="Note 3 3 2 2 2" xfId="888" xr:uid="{00000000-0005-0000-0000-00002C140000}"/>
    <cellStyle name="Note 3 3 2 2 2 2" xfId="2180" xr:uid="{00000000-0005-0000-0000-00002D140000}"/>
    <cellStyle name="Note 3 3 2 2 2 3" xfId="3458" xr:uid="{00000000-0005-0000-0000-00002E140000}"/>
    <cellStyle name="Note 3 3 2 2 2 4" xfId="4745" xr:uid="{00000000-0005-0000-0000-00002F140000}"/>
    <cellStyle name="Note 3 3 2 2 3" xfId="1314" xr:uid="{00000000-0005-0000-0000-000030140000}"/>
    <cellStyle name="Note 3 3 2 2 3 2" xfId="2606" xr:uid="{00000000-0005-0000-0000-000031140000}"/>
    <cellStyle name="Note 3 3 2 2 3 3" xfId="3884" xr:uid="{00000000-0005-0000-0000-000032140000}"/>
    <cellStyle name="Note 3 3 2 2 3 4" xfId="5171" xr:uid="{00000000-0005-0000-0000-000033140000}"/>
    <cellStyle name="Note 3 3 2 2 4" xfId="1754" xr:uid="{00000000-0005-0000-0000-000034140000}"/>
    <cellStyle name="Note 3 3 2 2 5" xfId="3032" xr:uid="{00000000-0005-0000-0000-000035140000}"/>
    <cellStyle name="Note 3 3 2 2 6" xfId="4319" xr:uid="{00000000-0005-0000-0000-000036140000}"/>
    <cellStyle name="Note 3 3 2 3" xfId="675" xr:uid="{00000000-0005-0000-0000-000037140000}"/>
    <cellStyle name="Note 3 3 2 3 2" xfId="1967" xr:uid="{00000000-0005-0000-0000-000038140000}"/>
    <cellStyle name="Note 3 3 2 3 3" xfId="3245" xr:uid="{00000000-0005-0000-0000-000039140000}"/>
    <cellStyle name="Note 3 3 2 3 4" xfId="4532" xr:uid="{00000000-0005-0000-0000-00003A140000}"/>
    <cellStyle name="Note 3 3 2 4" xfId="1101" xr:uid="{00000000-0005-0000-0000-00003B140000}"/>
    <cellStyle name="Note 3 3 2 4 2" xfId="2393" xr:uid="{00000000-0005-0000-0000-00003C140000}"/>
    <cellStyle name="Note 3 3 2 4 3" xfId="3671" xr:uid="{00000000-0005-0000-0000-00003D140000}"/>
    <cellStyle name="Note 3 3 2 4 4" xfId="4958" xr:uid="{00000000-0005-0000-0000-00003E140000}"/>
    <cellStyle name="Note 3 3 2 5" xfId="1541" xr:uid="{00000000-0005-0000-0000-00003F140000}"/>
    <cellStyle name="Note 3 3 2 6" xfId="2819" xr:uid="{00000000-0005-0000-0000-000040140000}"/>
    <cellStyle name="Note 3 3 2 7" xfId="4106" xr:uid="{00000000-0005-0000-0000-000041140000}"/>
    <cellStyle name="Note 3 3 2 8" xfId="5327" xr:uid="{00000000-0005-0000-0000-000042140000}"/>
    <cellStyle name="Note 3 3 3" xfId="462" xr:uid="{00000000-0005-0000-0000-000043140000}"/>
    <cellStyle name="Note 3 3 3 2" xfId="887" xr:uid="{00000000-0005-0000-0000-000044140000}"/>
    <cellStyle name="Note 3 3 3 2 2" xfId="2179" xr:uid="{00000000-0005-0000-0000-000045140000}"/>
    <cellStyle name="Note 3 3 3 2 3" xfId="3457" xr:uid="{00000000-0005-0000-0000-000046140000}"/>
    <cellStyle name="Note 3 3 3 2 4" xfId="4744" xr:uid="{00000000-0005-0000-0000-000047140000}"/>
    <cellStyle name="Note 3 3 3 3" xfId="1313" xr:uid="{00000000-0005-0000-0000-000048140000}"/>
    <cellStyle name="Note 3 3 3 3 2" xfId="2605" xr:uid="{00000000-0005-0000-0000-000049140000}"/>
    <cellStyle name="Note 3 3 3 3 3" xfId="3883" xr:uid="{00000000-0005-0000-0000-00004A140000}"/>
    <cellStyle name="Note 3 3 3 3 4" xfId="5170" xr:uid="{00000000-0005-0000-0000-00004B140000}"/>
    <cellStyle name="Note 3 3 3 4" xfId="1753" xr:uid="{00000000-0005-0000-0000-00004C140000}"/>
    <cellStyle name="Note 3 3 3 5" xfId="3031" xr:uid="{00000000-0005-0000-0000-00004D140000}"/>
    <cellStyle name="Note 3 3 3 6" xfId="4318" xr:uid="{00000000-0005-0000-0000-00004E140000}"/>
    <cellStyle name="Note 3 3 4" xfId="674" xr:uid="{00000000-0005-0000-0000-00004F140000}"/>
    <cellStyle name="Note 3 3 4 2" xfId="1966" xr:uid="{00000000-0005-0000-0000-000050140000}"/>
    <cellStyle name="Note 3 3 4 3" xfId="3244" xr:uid="{00000000-0005-0000-0000-000051140000}"/>
    <cellStyle name="Note 3 3 4 4" xfId="4531" xr:uid="{00000000-0005-0000-0000-000052140000}"/>
    <cellStyle name="Note 3 3 5" xfId="1100" xr:uid="{00000000-0005-0000-0000-000053140000}"/>
    <cellStyle name="Note 3 3 5 2" xfId="2392" xr:uid="{00000000-0005-0000-0000-000054140000}"/>
    <cellStyle name="Note 3 3 5 3" xfId="3670" xr:uid="{00000000-0005-0000-0000-000055140000}"/>
    <cellStyle name="Note 3 3 5 4" xfId="4957" xr:uid="{00000000-0005-0000-0000-000056140000}"/>
    <cellStyle name="Note 3 3 6" xfId="1540" xr:uid="{00000000-0005-0000-0000-000057140000}"/>
    <cellStyle name="Note 3 3 7" xfId="2818" xr:uid="{00000000-0005-0000-0000-000058140000}"/>
    <cellStyle name="Note 3 3 8" xfId="4105" xr:uid="{00000000-0005-0000-0000-000059140000}"/>
    <cellStyle name="Note 3 3 9" xfId="5326" xr:uid="{00000000-0005-0000-0000-00005A140000}"/>
    <cellStyle name="Note 3 4" xfId="240" xr:uid="{00000000-0005-0000-0000-00005B140000}"/>
    <cellStyle name="Note 3 4 2" xfId="464" xr:uid="{00000000-0005-0000-0000-00005C140000}"/>
    <cellStyle name="Note 3 4 2 2" xfId="889" xr:uid="{00000000-0005-0000-0000-00005D140000}"/>
    <cellStyle name="Note 3 4 2 2 2" xfId="2181" xr:uid="{00000000-0005-0000-0000-00005E140000}"/>
    <cellStyle name="Note 3 4 2 2 3" xfId="3459" xr:uid="{00000000-0005-0000-0000-00005F140000}"/>
    <cellStyle name="Note 3 4 2 2 4" xfId="4746" xr:uid="{00000000-0005-0000-0000-000060140000}"/>
    <cellStyle name="Note 3 4 2 3" xfId="1315" xr:uid="{00000000-0005-0000-0000-000061140000}"/>
    <cellStyle name="Note 3 4 2 3 2" xfId="2607" xr:uid="{00000000-0005-0000-0000-000062140000}"/>
    <cellStyle name="Note 3 4 2 3 3" xfId="3885" xr:uid="{00000000-0005-0000-0000-000063140000}"/>
    <cellStyle name="Note 3 4 2 3 4" xfId="5172" xr:uid="{00000000-0005-0000-0000-000064140000}"/>
    <cellStyle name="Note 3 4 2 4" xfId="1755" xr:uid="{00000000-0005-0000-0000-000065140000}"/>
    <cellStyle name="Note 3 4 2 5" xfId="3033" xr:uid="{00000000-0005-0000-0000-000066140000}"/>
    <cellStyle name="Note 3 4 2 6" xfId="4320" xr:uid="{00000000-0005-0000-0000-000067140000}"/>
    <cellStyle name="Note 3 4 3" xfId="676" xr:uid="{00000000-0005-0000-0000-000068140000}"/>
    <cellStyle name="Note 3 4 3 2" xfId="1968" xr:uid="{00000000-0005-0000-0000-000069140000}"/>
    <cellStyle name="Note 3 4 3 3" xfId="3246" xr:uid="{00000000-0005-0000-0000-00006A140000}"/>
    <cellStyle name="Note 3 4 3 4" xfId="4533" xr:uid="{00000000-0005-0000-0000-00006B140000}"/>
    <cellStyle name="Note 3 4 4" xfId="1102" xr:uid="{00000000-0005-0000-0000-00006C140000}"/>
    <cellStyle name="Note 3 4 4 2" xfId="2394" xr:uid="{00000000-0005-0000-0000-00006D140000}"/>
    <cellStyle name="Note 3 4 4 3" xfId="3672" xr:uid="{00000000-0005-0000-0000-00006E140000}"/>
    <cellStyle name="Note 3 4 4 4" xfId="4959" xr:uid="{00000000-0005-0000-0000-00006F140000}"/>
    <cellStyle name="Note 3 4 5" xfId="1542" xr:uid="{00000000-0005-0000-0000-000070140000}"/>
    <cellStyle name="Note 3 4 6" xfId="2820" xr:uid="{00000000-0005-0000-0000-000071140000}"/>
    <cellStyle name="Note 3 4 7" xfId="4107" xr:uid="{00000000-0005-0000-0000-000072140000}"/>
    <cellStyle name="Note 3 4 8" xfId="5328" xr:uid="{00000000-0005-0000-0000-000073140000}"/>
    <cellStyle name="Note 3 5" xfId="241" xr:uid="{00000000-0005-0000-0000-000074140000}"/>
    <cellStyle name="Note 3 5 2" xfId="465" xr:uid="{00000000-0005-0000-0000-000075140000}"/>
    <cellStyle name="Note 3 5 2 2" xfId="890" xr:uid="{00000000-0005-0000-0000-000076140000}"/>
    <cellStyle name="Note 3 5 2 2 2" xfId="2182" xr:uid="{00000000-0005-0000-0000-000077140000}"/>
    <cellStyle name="Note 3 5 2 2 3" xfId="3460" xr:uid="{00000000-0005-0000-0000-000078140000}"/>
    <cellStyle name="Note 3 5 2 2 4" xfId="4747" xr:uid="{00000000-0005-0000-0000-000079140000}"/>
    <cellStyle name="Note 3 5 2 3" xfId="1316" xr:uid="{00000000-0005-0000-0000-00007A140000}"/>
    <cellStyle name="Note 3 5 2 3 2" xfId="2608" xr:uid="{00000000-0005-0000-0000-00007B140000}"/>
    <cellStyle name="Note 3 5 2 3 3" xfId="3886" xr:uid="{00000000-0005-0000-0000-00007C140000}"/>
    <cellStyle name="Note 3 5 2 3 4" xfId="5173" xr:uid="{00000000-0005-0000-0000-00007D140000}"/>
    <cellStyle name="Note 3 5 2 4" xfId="1756" xr:uid="{00000000-0005-0000-0000-00007E140000}"/>
    <cellStyle name="Note 3 5 2 5" xfId="3034" xr:uid="{00000000-0005-0000-0000-00007F140000}"/>
    <cellStyle name="Note 3 5 2 6" xfId="4321" xr:uid="{00000000-0005-0000-0000-000080140000}"/>
    <cellStyle name="Note 3 5 3" xfId="677" xr:uid="{00000000-0005-0000-0000-000081140000}"/>
    <cellStyle name="Note 3 5 3 2" xfId="1969" xr:uid="{00000000-0005-0000-0000-000082140000}"/>
    <cellStyle name="Note 3 5 3 3" xfId="3247" xr:uid="{00000000-0005-0000-0000-000083140000}"/>
    <cellStyle name="Note 3 5 3 4" xfId="4534" xr:uid="{00000000-0005-0000-0000-000084140000}"/>
    <cellStyle name="Note 3 5 4" xfId="1103" xr:uid="{00000000-0005-0000-0000-000085140000}"/>
    <cellStyle name="Note 3 5 4 2" xfId="2395" xr:uid="{00000000-0005-0000-0000-000086140000}"/>
    <cellStyle name="Note 3 5 4 3" xfId="3673" xr:uid="{00000000-0005-0000-0000-000087140000}"/>
    <cellStyle name="Note 3 5 4 4" xfId="4960" xr:uid="{00000000-0005-0000-0000-000088140000}"/>
    <cellStyle name="Note 3 5 5" xfId="1543" xr:uid="{00000000-0005-0000-0000-000089140000}"/>
    <cellStyle name="Note 3 5 6" xfId="2821" xr:uid="{00000000-0005-0000-0000-00008A140000}"/>
    <cellStyle name="Note 3 5 7" xfId="4108" xr:uid="{00000000-0005-0000-0000-00008B140000}"/>
    <cellStyle name="Note 3 6" xfId="242" xr:uid="{00000000-0005-0000-0000-00008C140000}"/>
    <cellStyle name="Note 3 6 2" xfId="466" xr:uid="{00000000-0005-0000-0000-00008D140000}"/>
    <cellStyle name="Note 3 6 2 2" xfId="891" xr:uid="{00000000-0005-0000-0000-00008E140000}"/>
    <cellStyle name="Note 3 6 2 2 2" xfId="2183" xr:uid="{00000000-0005-0000-0000-00008F140000}"/>
    <cellStyle name="Note 3 6 2 2 3" xfId="3461" xr:uid="{00000000-0005-0000-0000-000090140000}"/>
    <cellStyle name="Note 3 6 2 2 4" xfId="4748" xr:uid="{00000000-0005-0000-0000-000091140000}"/>
    <cellStyle name="Note 3 6 2 3" xfId="1317" xr:uid="{00000000-0005-0000-0000-000092140000}"/>
    <cellStyle name="Note 3 6 2 3 2" xfId="2609" xr:uid="{00000000-0005-0000-0000-000093140000}"/>
    <cellStyle name="Note 3 6 2 3 3" xfId="3887" xr:uid="{00000000-0005-0000-0000-000094140000}"/>
    <cellStyle name="Note 3 6 2 3 4" xfId="5174" xr:uid="{00000000-0005-0000-0000-000095140000}"/>
    <cellStyle name="Note 3 6 2 4" xfId="1757" xr:uid="{00000000-0005-0000-0000-000096140000}"/>
    <cellStyle name="Note 3 6 2 5" xfId="3035" xr:uid="{00000000-0005-0000-0000-000097140000}"/>
    <cellStyle name="Note 3 6 2 6" xfId="4322" xr:uid="{00000000-0005-0000-0000-000098140000}"/>
    <cellStyle name="Note 3 6 3" xfId="678" xr:uid="{00000000-0005-0000-0000-000099140000}"/>
    <cellStyle name="Note 3 6 3 2" xfId="1970" xr:uid="{00000000-0005-0000-0000-00009A140000}"/>
    <cellStyle name="Note 3 6 3 3" xfId="3248" xr:uid="{00000000-0005-0000-0000-00009B140000}"/>
    <cellStyle name="Note 3 6 3 4" xfId="4535" xr:uid="{00000000-0005-0000-0000-00009C140000}"/>
    <cellStyle name="Note 3 6 4" xfId="1104" xr:uid="{00000000-0005-0000-0000-00009D140000}"/>
    <cellStyle name="Note 3 6 4 2" xfId="2396" xr:uid="{00000000-0005-0000-0000-00009E140000}"/>
    <cellStyle name="Note 3 6 4 3" xfId="3674" xr:uid="{00000000-0005-0000-0000-00009F140000}"/>
    <cellStyle name="Note 3 6 4 4" xfId="4961" xr:uid="{00000000-0005-0000-0000-0000A0140000}"/>
    <cellStyle name="Note 3 6 5" xfId="1544" xr:uid="{00000000-0005-0000-0000-0000A1140000}"/>
    <cellStyle name="Note 3 6 6" xfId="2822" xr:uid="{00000000-0005-0000-0000-0000A2140000}"/>
    <cellStyle name="Note 3 6 7" xfId="4109" xr:uid="{00000000-0005-0000-0000-0000A3140000}"/>
    <cellStyle name="Note 3 7" xfId="268" xr:uid="{00000000-0005-0000-0000-0000A4140000}"/>
    <cellStyle name="Note 3 7 2" xfId="481" xr:uid="{00000000-0005-0000-0000-0000A5140000}"/>
    <cellStyle name="Note 3 7 2 2" xfId="906" xr:uid="{00000000-0005-0000-0000-0000A6140000}"/>
    <cellStyle name="Note 3 7 2 2 2" xfId="2198" xr:uid="{00000000-0005-0000-0000-0000A7140000}"/>
    <cellStyle name="Note 3 7 2 2 3" xfId="3476" xr:uid="{00000000-0005-0000-0000-0000A8140000}"/>
    <cellStyle name="Note 3 7 2 2 4" xfId="4763" xr:uid="{00000000-0005-0000-0000-0000A9140000}"/>
    <cellStyle name="Note 3 7 2 3" xfId="1332" xr:uid="{00000000-0005-0000-0000-0000AA140000}"/>
    <cellStyle name="Note 3 7 2 3 2" xfId="2624" xr:uid="{00000000-0005-0000-0000-0000AB140000}"/>
    <cellStyle name="Note 3 7 2 3 3" xfId="3902" xr:uid="{00000000-0005-0000-0000-0000AC140000}"/>
    <cellStyle name="Note 3 7 2 3 4" xfId="5189" xr:uid="{00000000-0005-0000-0000-0000AD140000}"/>
    <cellStyle name="Note 3 7 2 4" xfId="1772" xr:uid="{00000000-0005-0000-0000-0000AE140000}"/>
    <cellStyle name="Note 3 7 2 5" xfId="3050" xr:uid="{00000000-0005-0000-0000-0000AF140000}"/>
    <cellStyle name="Note 3 7 2 6" xfId="4337" xr:uid="{00000000-0005-0000-0000-0000B0140000}"/>
    <cellStyle name="Note 3 7 3" xfId="693" xr:uid="{00000000-0005-0000-0000-0000B1140000}"/>
    <cellStyle name="Note 3 7 3 2" xfId="1985" xr:uid="{00000000-0005-0000-0000-0000B2140000}"/>
    <cellStyle name="Note 3 7 3 3" xfId="3263" xr:uid="{00000000-0005-0000-0000-0000B3140000}"/>
    <cellStyle name="Note 3 7 3 4" xfId="4550" xr:uid="{00000000-0005-0000-0000-0000B4140000}"/>
    <cellStyle name="Note 3 7 4" xfId="1119" xr:uid="{00000000-0005-0000-0000-0000B5140000}"/>
    <cellStyle name="Note 3 7 4 2" xfId="2411" xr:uid="{00000000-0005-0000-0000-0000B6140000}"/>
    <cellStyle name="Note 3 7 4 3" xfId="3689" xr:uid="{00000000-0005-0000-0000-0000B7140000}"/>
    <cellStyle name="Note 3 7 4 4" xfId="4976" xr:uid="{00000000-0005-0000-0000-0000B8140000}"/>
    <cellStyle name="Note 3 7 5" xfId="1559" xr:uid="{00000000-0005-0000-0000-0000B9140000}"/>
    <cellStyle name="Note 3 7 6" xfId="2837" xr:uid="{00000000-0005-0000-0000-0000BA140000}"/>
    <cellStyle name="Note 3 7 7" xfId="4124" xr:uid="{00000000-0005-0000-0000-0000BB140000}"/>
    <cellStyle name="Note 3 8" xfId="455" xr:uid="{00000000-0005-0000-0000-0000BC140000}"/>
    <cellStyle name="Note 3 8 2" xfId="880" xr:uid="{00000000-0005-0000-0000-0000BD140000}"/>
    <cellStyle name="Note 3 8 2 2" xfId="2172" xr:uid="{00000000-0005-0000-0000-0000BE140000}"/>
    <cellStyle name="Note 3 8 2 3" xfId="3450" xr:uid="{00000000-0005-0000-0000-0000BF140000}"/>
    <cellStyle name="Note 3 8 2 4" xfId="4737" xr:uid="{00000000-0005-0000-0000-0000C0140000}"/>
    <cellStyle name="Note 3 8 3" xfId="1306" xr:uid="{00000000-0005-0000-0000-0000C1140000}"/>
    <cellStyle name="Note 3 8 3 2" xfId="2598" xr:uid="{00000000-0005-0000-0000-0000C2140000}"/>
    <cellStyle name="Note 3 8 3 3" xfId="3876" xr:uid="{00000000-0005-0000-0000-0000C3140000}"/>
    <cellStyle name="Note 3 8 3 4" xfId="5163" xr:uid="{00000000-0005-0000-0000-0000C4140000}"/>
    <cellStyle name="Note 3 8 4" xfId="1746" xr:uid="{00000000-0005-0000-0000-0000C5140000}"/>
    <cellStyle name="Note 3 8 5" xfId="3024" xr:uid="{00000000-0005-0000-0000-0000C6140000}"/>
    <cellStyle name="Note 3 8 6" xfId="4311" xr:uid="{00000000-0005-0000-0000-0000C7140000}"/>
    <cellStyle name="Note 3 9" xfId="667" xr:uid="{00000000-0005-0000-0000-0000C8140000}"/>
    <cellStyle name="Note 3 9 2" xfId="1959" xr:uid="{00000000-0005-0000-0000-0000C9140000}"/>
    <cellStyle name="Note 3 9 3" xfId="3237" xr:uid="{00000000-0005-0000-0000-0000CA140000}"/>
    <cellStyle name="Note 3 9 4" xfId="4524" xr:uid="{00000000-0005-0000-0000-0000CB140000}"/>
    <cellStyle name="Output" xfId="3" builtinId="21" customBuiltin="1"/>
    <cellStyle name="Percent" xfId="2" builtinId="5"/>
    <cellStyle name="Percent 2" xfId="40" xr:uid="{00000000-0005-0000-0000-0000CE140000}"/>
    <cellStyle name="Percent 2 2" xfId="249" xr:uid="{00000000-0005-0000-0000-0000CF140000}"/>
    <cellStyle name="Percent 2 2 2" xfId="5329" xr:uid="{00000000-0005-0000-0000-0000D0140000}"/>
    <cellStyle name="Percent 3" xfId="243" xr:uid="{00000000-0005-0000-0000-0000D1140000}"/>
    <cellStyle name="Percent 3 2" xfId="1357" xr:uid="{00000000-0005-0000-0000-0000D2140000}"/>
    <cellStyle name="Percent 3 2 2" xfId="5330" xr:uid="{00000000-0005-0000-0000-0000D3140000}"/>
    <cellStyle name="Percent 4" xfId="244" xr:uid="{00000000-0005-0000-0000-0000D4140000}"/>
    <cellStyle name="Percent 4 2" xfId="1353" xr:uid="{00000000-0005-0000-0000-0000D5140000}"/>
    <cellStyle name="Percent 4 2 2" xfId="5331" xr:uid="{00000000-0005-0000-0000-0000D6140000}"/>
    <cellStyle name="Title" xfId="42" builtinId="15" customBuiltin="1"/>
    <cellStyle name="Total" xfId="56" builtinId="25" customBuiltin="1"/>
    <cellStyle name="Warning Text" xfId="54" builtinId="11" customBuiltin="1"/>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191970"/>
      </font>
      <fill>
        <patternFill>
          <bgColor rgb="FFFFDEA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FF"/>
      <color rgb="FFE9F54D"/>
      <color rgb="FF66FF33"/>
      <color rgb="FFFFFFCC"/>
      <color rgb="FFCCFF99"/>
      <color rgb="FFFFE1FF"/>
      <color rgb="FFDDFFDD"/>
      <color rgb="FFCCFFCC"/>
      <color rgb="FFFD8BF5"/>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4.0/"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58</xdr:row>
      <xdr:rowOff>0</xdr:rowOff>
    </xdr:from>
    <xdr:to>
      <xdr:col>0</xdr:col>
      <xdr:colOff>762000</xdr:colOff>
      <xdr:row>58</xdr:row>
      <xdr:rowOff>136684</xdr:rowOff>
    </xdr:to>
    <xdr:pic>
      <xdr:nvPicPr>
        <xdr:cNvPr id="2" name="Picture 1" descr="Creative Commons License">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068050"/>
          <a:ext cx="762000" cy="140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0</xdr:row>
      <xdr:rowOff>1</xdr:rowOff>
    </xdr:from>
    <xdr:to>
      <xdr:col>16</xdr:col>
      <xdr:colOff>609599</xdr:colOff>
      <xdr:row>11</xdr:row>
      <xdr:rowOff>1</xdr:rowOff>
    </xdr:to>
    <xdr:sp macro="" textlink="">
      <xdr:nvSpPr>
        <xdr:cNvPr id="2" name="TextBox 1" title="gl 840 guidance">
          <a:extLst>
            <a:ext uri="{FF2B5EF4-FFF2-40B4-BE49-F238E27FC236}">
              <a16:creationId xmlns:a16="http://schemas.microsoft.com/office/drawing/2014/main" id="{00000000-0008-0000-1000-000002000000}"/>
            </a:ext>
          </a:extLst>
        </xdr:cNvPr>
        <xdr:cNvSpPr txBox="1"/>
      </xdr:nvSpPr>
      <xdr:spPr>
        <a:xfrm>
          <a:off x="8305800" y="1"/>
          <a:ext cx="4876799"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840 Nonspendable</a:t>
          </a:r>
          <a:r>
            <a:rPr lang="en-US" sz="1100" b="1" i="1" baseline="0"/>
            <a:t> Fund Balance—Inventory and Prepaid Items </a:t>
          </a:r>
        </a:p>
        <a:p>
          <a:r>
            <a:rPr lang="en-US" sz="1100" b="0" i="0" baseline="0"/>
            <a:t>This account balance should reflect the district's recorded inventories and/or prepaid items on the balance sheet. These are assets of the district that are not in spendable form.</a:t>
          </a:r>
        </a:p>
        <a:p>
          <a:endParaRPr lang="en-US" sz="1100" b="0" i="0" baseline="0"/>
        </a:p>
        <a:p>
          <a:pPr algn="ctr"/>
          <a:r>
            <a:rPr lang="en-US" sz="1100" b="0" i="1" baseline="0"/>
            <a:t>Instructions for this sheet</a:t>
          </a:r>
        </a:p>
        <a:p>
          <a:pPr algn="l"/>
          <a:r>
            <a:rPr lang="en-US" sz="1100" b="0" i="0" baseline="0"/>
            <a:t>In the yellow cells, enter the amounts in the appropriate corresponding GL code for the appropriate fund. The General Fund and ASB Fund calculate separately.</a:t>
          </a:r>
        </a:p>
        <a:p>
          <a:pPr algn="l"/>
          <a:endParaRPr lang="en-US" sz="1100" b="0" i="0" baseline="0"/>
        </a:p>
        <a:p>
          <a:pPr algn="l"/>
          <a:r>
            <a:rPr lang="en-US" sz="1100" b="0" i="0" baseline="0"/>
            <a:t>These amounts represent net assets (fund balance) of the district that are not in spendable form.</a:t>
          </a:r>
          <a:endParaRPr lang="en-US" sz="1100" b="0" i="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7</xdr:col>
      <xdr:colOff>9525</xdr:colOff>
      <xdr:row>0</xdr:row>
      <xdr:rowOff>0</xdr:rowOff>
    </xdr:from>
    <xdr:ext cx="3667125" cy="1914524"/>
    <xdr:sp macro="" textlink="">
      <xdr:nvSpPr>
        <xdr:cNvPr id="2" name="TextBox 1" title="gl 845 guidance">
          <a:extLst>
            <a:ext uri="{FF2B5EF4-FFF2-40B4-BE49-F238E27FC236}">
              <a16:creationId xmlns:a16="http://schemas.microsoft.com/office/drawing/2014/main" id="{00000000-0008-0000-1100-000002000000}"/>
            </a:ext>
          </a:extLst>
        </xdr:cNvPr>
        <xdr:cNvSpPr txBox="1"/>
      </xdr:nvSpPr>
      <xdr:spPr>
        <a:xfrm>
          <a:off x="5600700" y="0"/>
          <a:ext cx="3667125" cy="1914524"/>
        </a:xfrm>
        <a:prstGeom prst="rect">
          <a:avLst/>
        </a:prstGeom>
        <a:solidFill>
          <a:schemeClr val="bg1"/>
        </a:solidFill>
        <a:ln>
          <a:solidFill>
            <a:schemeClr val="bg2">
              <a:lumMod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i="1"/>
            <a:t>GL 845 Restricted</a:t>
          </a:r>
          <a:r>
            <a:rPr lang="en-US" sz="1100" b="1" i="1" baseline="0"/>
            <a:t> for Self-Insurance</a:t>
          </a:r>
        </a:p>
        <a:p>
          <a:r>
            <a:rPr lang="en-US" sz="1100" b="0" i="0" baseline="0"/>
            <a:t>This account is used to restrict fund balance for amounts that the district is legally required to maintain as a condition of being self-insured (with the Department of Labor and Industries). </a:t>
          </a:r>
        </a:p>
        <a:p>
          <a:endParaRPr lang="en-US" sz="1100" b="0" i="0" baseline="0"/>
        </a:p>
        <a:p>
          <a:pPr algn="ctr"/>
          <a:r>
            <a:rPr lang="en-US" sz="1100" b="0" i="1" baseline="0"/>
            <a:t>Instructions for this sheet</a:t>
          </a:r>
        </a:p>
        <a:p>
          <a:pPr algn="l"/>
          <a:r>
            <a:rPr lang="en-US" sz="1100" b="0" i="0" baseline="0"/>
            <a:t>If the district is self-insured for industrial insurance, enter the amount that the district is required to maintain in reserve as a condition of being self-insured.</a:t>
          </a:r>
          <a:endParaRPr lang="en-US" sz="1100" b="0" i="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0</xdr:colOff>
      <xdr:row>0</xdr:row>
      <xdr:rowOff>0</xdr:rowOff>
    </xdr:from>
    <xdr:to>
      <xdr:col>17</xdr:col>
      <xdr:colOff>0</xdr:colOff>
      <xdr:row>12</xdr:row>
      <xdr:rowOff>9524</xdr:rowOff>
    </xdr:to>
    <xdr:sp macro="" textlink="">
      <xdr:nvSpPr>
        <xdr:cNvPr id="2" name="TextBox 1" title="gl 850 guidance">
          <a:extLst>
            <a:ext uri="{FF2B5EF4-FFF2-40B4-BE49-F238E27FC236}">
              <a16:creationId xmlns:a16="http://schemas.microsoft.com/office/drawing/2014/main" id="{00000000-0008-0000-1200-000002000000}"/>
            </a:ext>
          </a:extLst>
        </xdr:cNvPr>
        <xdr:cNvSpPr txBox="1"/>
      </xdr:nvSpPr>
      <xdr:spPr>
        <a:xfrm>
          <a:off x="7515225" y="0"/>
          <a:ext cx="4876800" cy="2295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850 Restricted for</a:t>
          </a:r>
          <a:r>
            <a:rPr lang="en-US" sz="1100" b="1" i="1" baseline="0"/>
            <a:t> Uninsured Risks </a:t>
          </a:r>
          <a:endParaRPr lang="en-US" sz="1100" b="0" i="0" baseline="0"/>
        </a:p>
        <a:p>
          <a:r>
            <a:rPr lang="en-US" sz="1100" b="0" i="0" baseline="0"/>
            <a:t>This account is used to restrict a portion of fund balance for future losses not covered by insurance. The amounts put in this account are required under self-insurance. Contra entries are made to Account 890 Unassigned Fund Balance (GF) or 889 Assigned to Fund Purposes (all other listed funds).</a:t>
          </a:r>
        </a:p>
        <a:p>
          <a:endParaRPr lang="en-US" sz="1100" b="0" i="0" baseline="0"/>
        </a:p>
        <a:p>
          <a:pPr algn="ctr"/>
          <a:r>
            <a:rPr lang="en-US" sz="1100" b="0" i="1" baseline="0"/>
            <a:t>Instructions for this sheet</a:t>
          </a:r>
        </a:p>
        <a:p>
          <a:pPr algn="l"/>
          <a:r>
            <a:rPr lang="en-US" sz="1100" b="0" i="0" baseline="0"/>
            <a:t>If the district maintains self-insurance for items other than industrial insurance, any amounts that the district is required to keep in reserve should be reported in this account. Space is provided for multiple accounts if necessary. Also, any other contractual obligations to maintain coverage in the event of losses not covered by insurance should be reported here.</a:t>
          </a:r>
          <a:endParaRPr lang="en-US" sz="1100" b="1" i="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0</xdr:row>
      <xdr:rowOff>0</xdr:rowOff>
    </xdr:from>
    <xdr:to>
      <xdr:col>12</xdr:col>
      <xdr:colOff>600075</xdr:colOff>
      <xdr:row>11</xdr:row>
      <xdr:rowOff>0</xdr:rowOff>
    </xdr:to>
    <xdr:sp macro="" textlink="">
      <xdr:nvSpPr>
        <xdr:cNvPr id="2" name="TextBox 1" title="gl 855 guidance">
          <a:extLst>
            <a:ext uri="{FF2B5EF4-FFF2-40B4-BE49-F238E27FC236}">
              <a16:creationId xmlns:a16="http://schemas.microsoft.com/office/drawing/2014/main" id="{00000000-0008-0000-1300-000002000000}"/>
            </a:ext>
          </a:extLst>
        </xdr:cNvPr>
        <xdr:cNvSpPr txBox="1"/>
      </xdr:nvSpPr>
      <xdr:spPr>
        <a:xfrm>
          <a:off x="5514975" y="0"/>
          <a:ext cx="3648075" cy="229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855 Nonspendable</a:t>
          </a:r>
          <a:r>
            <a:rPr lang="en-US" sz="1100" b="1" i="1" baseline="0"/>
            <a:t> Fund Balance—Trust Principal           </a:t>
          </a:r>
        </a:p>
        <a:p>
          <a:r>
            <a:rPr lang="en-US" sz="1100" b="0" i="0" baseline="0"/>
            <a:t>For use only in trust funds where the principal may not be expended, this account shows the portion of trust assets that represents principal. After the closing of the nonoperating revenue and nonoperating expense accounts, this account is equal to the principal of the trust.</a:t>
          </a:r>
        </a:p>
        <a:p>
          <a:endParaRPr lang="en-US" sz="1100" b="0" i="0" baseline="0"/>
        </a:p>
        <a:p>
          <a:pPr algn="ctr"/>
          <a:r>
            <a:rPr lang="en-US" sz="1100" b="0" i="1" baseline="0"/>
            <a:t>Instructions for this sheet</a:t>
          </a:r>
        </a:p>
        <a:p>
          <a:pPr algn="l"/>
          <a:r>
            <a:rPr lang="en-US" sz="1100" b="0" i="0" baseline="0"/>
            <a:t>If the district has a permanent fund (a donation or other endowment that is limited such that only interest earnings may be spent), enter the amount of the principal of that fund in this account.</a:t>
          </a:r>
          <a:endParaRPr lang="en-US" sz="1100" b="0" i="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600074</xdr:colOff>
      <xdr:row>0</xdr:row>
      <xdr:rowOff>1</xdr:rowOff>
    </xdr:from>
    <xdr:to>
      <xdr:col>12</xdr:col>
      <xdr:colOff>609599</xdr:colOff>
      <xdr:row>10</xdr:row>
      <xdr:rowOff>0</xdr:rowOff>
    </xdr:to>
    <xdr:sp macro="" textlink="">
      <xdr:nvSpPr>
        <xdr:cNvPr id="2" name="TextBox 1" title="gl 861 guidance">
          <a:extLst>
            <a:ext uri="{FF2B5EF4-FFF2-40B4-BE49-F238E27FC236}">
              <a16:creationId xmlns:a16="http://schemas.microsoft.com/office/drawing/2014/main" id="{00000000-0008-0000-1400-000002000000}"/>
            </a:ext>
          </a:extLst>
        </xdr:cNvPr>
        <xdr:cNvSpPr txBox="1"/>
      </xdr:nvSpPr>
      <xdr:spPr>
        <a:xfrm>
          <a:off x="6143624" y="1"/>
          <a:ext cx="4276725" cy="1904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861 Restricted from Bond Proceeds</a:t>
          </a:r>
          <a:endParaRPr lang="en-US" sz="1100" b="1" i="1" baseline="0"/>
        </a:p>
        <a:p>
          <a:r>
            <a:rPr lang="en-US" sz="1100" b="0" i="0" baseline="0"/>
            <a:t>This account is provided to record the amounts remaining from bond issues and earnings from bond proceeds investments that have been allocated for specific projects or the amounts remaining after the proposition projects have been completed.</a:t>
          </a:r>
        </a:p>
        <a:p>
          <a:endParaRPr lang="en-US" sz="1100" b="0" i="0" baseline="0"/>
        </a:p>
        <a:p>
          <a:pPr algn="ctr"/>
          <a:r>
            <a:rPr lang="en-US" sz="1100" b="0" i="1" baseline="0"/>
            <a:t>Instructions for this sheet</a:t>
          </a:r>
        </a:p>
        <a:p>
          <a:pPr algn="l"/>
          <a:r>
            <a:rPr lang="en-US" sz="1100" b="0" i="0" baseline="0"/>
            <a:t>Bonds sold and interest earned should be equal to CPF revenues with a source/use code of 1. Expenditures with a source/use code of 1 should be recorded in the appropriate place.</a:t>
          </a:r>
          <a:endParaRPr lang="en-US" sz="1100" b="0" i="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0</xdr:row>
      <xdr:rowOff>0</xdr:rowOff>
    </xdr:from>
    <xdr:to>
      <xdr:col>13</xdr:col>
      <xdr:colOff>0</xdr:colOff>
      <xdr:row>10</xdr:row>
      <xdr:rowOff>9524</xdr:rowOff>
    </xdr:to>
    <xdr:sp macro="" textlink="">
      <xdr:nvSpPr>
        <xdr:cNvPr id="2" name="TextBox 1" title="gl 862 guidance">
          <a:extLst>
            <a:ext uri="{FF2B5EF4-FFF2-40B4-BE49-F238E27FC236}">
              <a16:creationId xmlns:a16="http://schemas.microsoft.com/office/drawing/2014/main" id="{00000000-0008-0000-1500-000002000000}"/>
            </a:ext>
          </a:extLst>
        </xdr:cNvPr>
        <xdr:cNvSpPr txBox="1"/>
      </xdr:nvSpPr>
      <xdr:spPr>
        <a:xfrm>
          <a:off x="6153150" y="0"/>
          <a:ext cx="4267200" cy="1914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862</a:t>
          </a:r>
          <a:r>
            <a:rPr lang="en-US" sz="1100" b="1" i="1" baseline="0"/>
            <a:t> Committed from Levy Proceeds</a:t>
          </a:r>
        </a:p>
        <a:p>
          <a:r>
            <a:rPr lang="en-US" sz="1100" b="0" i="0" baseline="0"/>
            <a:t>This account is provided to record the amounts remaining from capital projects levies that have been allocated for specific purposes or the amounts remaining after the proposition projects have been completed.</a:t>
          </a:r>
        </a:p>
        <a:p>
          <a:endParaRPr lang="en-US" sz="1100" b="0" i="0" baseline="0"/>
        </a:p>
        <a:p>
          <a:pPr algn="ctr"/>
          <a:r>
            <a:rPr lang="en-US" sz="1100" b="0" i="1" baseline="0"/>
            <a:t>Instructions for this sheet</a:t>
          </a:r>
        </a:p>
        <a:p>
          <a:pPr algn="l"/>
          <a:r>
            <a:rPr lang="en-US" sz="1100" b="0" i="0" baseline="0"/>
            <a:t>This sheet is used to record transactions (revenues, expenditures) in the CPF with a source/use code of "2".</a:t>
          </a:r>
          <a:endParaRPr lang="en-US" sz="1100" b="0" i="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9525</xdr:colOff>
      <xdr:row>0</xdr:row>
      <xdr:rowOff>0</xdr:rowOff>
    </xdr:from>
    <xdr:to>
      <xdr:col>13</xdr:col>
      <xdr:colOff>0</xdr:colOff>
      <xdr:row>9</xdr:row>
      <xdr:rowOff>0</xdr:rowOff>
    </xdr:to>
    <xdr:sp macro="" textlink="">
      <xdr:nvSpPr>
        <xdr:cNvPr id="2" name="TextBox 1" title="gl 863 guidance">
          <a:extLst>
            <a:ext uri="{FF2B5EF4-FFF2-40B4-BE49-F238E27FC236}">
              <a16:creationId xmlns:a16="http://schemas.microsoft.com/office/drawing/2014/main" id="{00000000-0008-0000-1600-000002000000}"/>
            </a:ext>
          </a:extLst>
        </xdr:cNvPr>
        <xdr:cNvSpPr txBox="1"/>
      </xdr:nvSpPr>
      <xdr:spPr>
        <a:xfrm>
          <a:off x="6772275" y="0"/>
          <a:ext cx="3648075"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863 Restricted from</a:t>
          </a:r>
          <a:r>
            <a:rPr lang="en-US" sz="1100" b="1" i="1" baseline="0"/>
            <a:t> State Proceeds</a:t>
          </a:r>
        </a:p>
        <a:p>
          <a:r>
            <a:rPr lang="en-US" sz="1100" b="0" i="0" baseline="0"/>
            <a:t>This account is provided to close project revenues and expenditures for projects funded totally or in part with state funds.</a:t>
          </a:r>
        </a:p>
        <a:p>
          <a:endParaRPr lang="en-US" sz="1100" b="0" i="0" baseline="0"/>
        </a:p>
        <a:p>
          <a:pPr algn="ctr"/>
          <a:r>
            <a:rPr lang="en-US" sz="1100" b="0" i="1" baseline="0"/>
            <a:t>Instructions for this sheet</a:t>
          </a:r>
        </a:p>
        <a:p>
          <a:pPr algn="l"/>
          <a:r>
            <a:rPr lang="en-US" sz="1100" b="0" i="0" baseline="0"/>
            <a:t>This sheet is used to record transactions (revenues, expenditures) in the CPF that have a source/use code of "3".</a:t>
          </a:r>
          <a:endParaRPr lang="en-US" sz="1100" b="0" i="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0</xdr:row>
      <xdr:rowOff>0</xdr:rowOff>
    </xdr:from>
    <xdr:to>
      <xdr:col>13</xdr:col>
      <xdr:colOff>9525</xdr:colOff>
      <xdr:row>8</xdr:row>
      <xdr:rowOff>9525</xdr:rowOff>
    </xdr:to>
    <xdr:sp macro="" textlink="">
      <xdr:nvSpPr>
        <xdr:cNvPr id="2" name="TextBox 1" title="GL 864 Guiidance">
          <a:extLst>
            <a:ext uri="{FF2B5EF4-FFF2-40B4-BE49-F238E27FC236}">
              <a16:creationId xmlns:a16="http://schemas.microsoft.com/office/drawing/2014/main" id="{00000000-0008-0000-1700-000002000000}"/>
            </a:ext>
          </a:extLst>
        </xdr:cNvPr>
        <xdr:cNvSpPr txBox="1"/>
      </xdr:nvSpPr>
      <xdr:spPr>
        <a:xfrm>
          <a:off x="6762750" y="0"/>
          <a:ext cx="366712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864 Restricted from</a:t>
          </a:r>
          <a:r>
            <a:rPr lang="en-US" sz="1100" b="1" i="1" baseline="0"/>
            <a:t> Federal Proceeds </a:t>
          </a:r>
        </a:p>
        <a:p>
          <a:r>
            <a:rPr lang="en-US" sz="1100" b="0" i="0" baseline="0"/>
            <a:t>This account is provided to close project revenues and expenditures for projects funded totally or in part by federal agencies.</a:t>
          </a:r>
        </a:p>
        <a:p>
          <a:endParaRPr lang="en-US" sz="1100" b="0" i="0" baseline="0"/>
        </a:p>
        <a:p>
          <a:pPr algn="ctr"/>
          <a:r>
            <a:rPr lang="en-US" sz="1100" b="0" i="1" baseline="0"/>
            <a:t>Instructions for this sheet</a:t>
          </a:r>
        </a:p>
        <a:p>
          <a:pPr algn="l"/>
          <a:r>
            <a:rPr lang="en-US" sz="1100" b="0" i="0" baseline="0"/>
            <a:t>This sheet is for recording transactions (revenues, expenditures) in the CPF that have a source/use code of "4".</a:t>
          </a:r>
          <a:endParaRPr lang="en-US" sz="1100" b="0" i="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0</xdr:row>
      <xdr:rowOff>0</xdr:rowOff>
    </xdr:from>
    <xdr:to>
      <xdr:col>13</xdr:col>
      <xdr:colOff>600075</xdr:colOff>
      <xdr:row>10</xdr:row>
      <xdr:rowOff>0</xdr:rowOff>
    </xdr:to>
    <xdr:sp macro="" textlink="">
      <xdr:nvSpPr>
        <xdr:cNvPr id="2" name="TextBox 1" title="GL 865 Guidance">
          <a:extLst>
            <a:ext uri="{FF2B5EF4-FFF2-40B4-BE49-F238E27FC236}">
              <a16:creationId xmlns:a16="http://schemas.microsoft.com/office/drawing/2014/main" id="{00000000-0008-0000-1800-000002000000}"/>
            </a:ext>
          </a:extLst>
        </xdr:cNvPr>
        <xdr:cNvSpPr txBox="1"/>
      </xdr:nvSpPr>
      <xdr:spPr>
        <a:xfrm>
          <a:off x="6762750" y="0"/>
          <a:ext cx="4257675"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865 Restricted from Other Proceeds</a:t>
          </a:r>
          <a:r>
            <a:rPr lang="en-US" sz="1100" b="1" i="1" baseline="0"/>
            <a:t> </a:t>
          </a:r>
        </a:p>
        <a:p>
          <a:r>
            <a:rPr lang="en-US" sz="1100" b="0" i="0" baseline="0"/>
            <a:t>This account is provided to close project revenues and expenditures for projects funded totally or in part by sources other than bond, levy, state, or federal proceeds. For example, the district may receive resources from a private citizen for the construction of a library; these resources would be restricted for that purpose.</a:t>
          </a:r>
        </a:p>
        <a:p>
          <a:endParaRPr lang="en-US" sz="1100" b="0" i="0" baseline="0"/>
        </a:p>
        <a:p>
          <a:pPr algn="ctr"/>
          <a:r>
            <a:rPr lang="en-US" sz="1100" b="0" i="1" baseline="0"/>
            <a:t>Instructions for this sheet</a:t>
          </a:r>
        </a:p>
        <a:p>
          <a:pPr algn="l"/>
          <a:r>
            <a:rPr lang="en-US" sz="1100" b="0" i="0" baseline="0"/>
            <a:t>This sheet is for recording transactions (revenues, expenditures) in the CPF that have a source/use code of "5".</a:t>
          </a:r>
          <a:endParaRPr lang="en-US" sz="1100" b="0" i="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9525</xdr:colOff>
      <xdr:row>0</xdr:row>
      <xdr:rowOff>0</xdr:rowOff>
    </xdr:from>
    <xdr:to>
      <xdr:col>13</xdr:col>
      <xdr:colOff>0</xdr:colOff>
      <xdr:row>9</xdr:row>
      <xdr:rowOff>0</xdr:rowOff>
    </xdr:to>
    <xdr:sp macro="" textlink="">
      <xdr:nvSpPr>
        <xdr:cNvPr id="2" name="TextBox 1" title="GL 866 Guidance">
          <a:extLst>
            <a:ext uri="{FF2B5EF4-FFF2-40B4-BE49-F238E27FC236}">
              <a16:creationId xmlns:a16="http://schemas.microsoft.com/office/drawing/2014/main" id="{00000000-0008-0000-1900-000002000000}"/>
            </a:ext>
          </a:extLst>
        </xdr:cNvPr>
        <xdr:cNvSpPr txBox="1"/>
      </xdr:nvSpPr>
      <xdr:spPr>
        <a:xfrm>
          <a:off x="6772275" y="0"/>
          <a:ext cx="3648075"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866</a:t>
          </a:r>
          <a:r>
            <a:rPr lang="en-US" sz="1100" b="1" i="1" baseline="0"/>
            <a:t> Restricted from Impact Fee Proceeds </a:t>
          </a:r>
        </a:p>
        <a:p>
          <a:r>
            <a:rPr lang="en-US" sz="1100" b="0" i="0" baseline="0"/>
            <a:t>This account is provided to close project revenues and expenditures for projects funded totally or in part by impact fees collected in accordance with the Growth Management Act.</a:t>
          </a:r>
        </a:p>
        <a:p>
          <a:endParaRPr lang="en-US" sz="1100" b="0" i="0" baseline="0"/>
        </a:p>
        <a:p>
          <a:pPr algn="ctr"/>
          <a:r>
            <a:rPr lang="en-US" sz="1100" b="0" i="1" baseline="0"/>
            <a:t>Instructions for this sheet</a:t>
          </a:r>
        </a:p>
        <a:p>
          <a:pPr algn="l"/>
          <a:r>
            <a:rPr lang="en-US" sz="1100" b="0" i="0" baseline="0"/>
            <a:t>This sheet is for recording transactions (revenues, expenditures) in the CPF that have a source/use code of "6".</a:t>
          </a:r>
          <a:endParaRPr lang="en-US" sz="1100" b="0"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xdr:colOff>
      <xdr:row>0</xdr:row>
      <xdr:rowOff>0</xdr:rowOff>
    </xdr:from>
    <xdr:to>
      <xdr:col>14</xdr:col>
      <xdr:colOff>1</xdr:colOff>
      <xdr:row>17</xdr:row>
      <xdr:rowOff>171450</xdr:rowOff>
    </xdr:to>
    <xdr:sp macro="" textlink="">
      <xdr:nvSpPr>
        <xdr:cNvPr id="2" name="TextBox 1" title="GL 810 Guidance">
          <a:extLst>
            <a:ext uri="{FF2B5EF4-FFF2-40B4-BE49-F238E27FC236}">
              <a16:creationId xmlns:a16="http://schemas.microsoft.com/office/drawing/2014/main" id="{00000000-0008-0000-0400-000002000000}"/>
            </a:ext>
          </a:extLst>
        </xdr:cNvPr>
        <xdr:cNvSpPr txBox="1"/>
      </xdr:nvSpPr>
      <xdr:spPr>
        <a:xfrm>
          <a:off x="9525001" y="0"/>
          <a:ext cx="3657600" cy="340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810 Restricted for Other Items </a:t>
          </a:r>
        </a:p>
        <a:p>
          <a:pPr algn="l"/>
          <a:r>
            <a:rPr lang="en-US" sz="1100" b="0" i="0"/>
            <a:t>This account is used for recording</a:t>
          </a:r>
          <a:r>
            <a:rPr lang="en-US" sz="1100" b="0" i="0" baseline="0"/>
            <a:t> restrictions on spendable fund balance for amounts that have not been recorded in other accounts.</a:t>
          </a:r>
        </a:p>
        <a:p>
          <a:pPr algn="l"/>
          <a:endParaRPr lang="en-US" sz="1100" b="0" i="0" baseline="0"/>
        </a:p>
        <a:p>
          <a:pPr algn="l"/>
          <a:r>
            <a:rPr lang="en-US" sz="1100" b="1" i="0" baseline="0"/>
            <a:t>Beginning in 2011-2012: </a:t>
          </a:r>
          <a:r>
            <a:rPr lang="en-US" sz="1100" b="0" i="0" baseline="0"/>
            <a:t>Record amounts from the ASB Fund and the Debt Service Fund that are neither Nonspendable or recorded in a separate Restricted account. The fund balance for these funds should be reported in this GL  beginning  in 2011-2012. Districts are encouraged to use this GL for their Transportation Vehicle Fund balance as well.</a:t>
          </a:r>
          <a:endParaRPr lang="en-US" sz="1100" b="1" i="0" baseline="0"/>
        </a:p>
        <a:p>
          <a:pPr algn="l"/>
          <a:endParaRPr lang="en-US" sz="1100" b="0" i="0" baseline="0"/>
        </a:p>
        <a:p>
          <a:pPr algn="ctr"/>
          <a:r>
            <a:rPr lang="en-US" sz="1100" b="0" i="1" baseline="0"/>
            <a:t>Instructions for this sheet</a:t>
          </a:r>
        </a:p>
        <a:p>
          <a:pPr algn="l"/>
          <a:r>
            <a:rPr lang="en-US" sz="1100" b="0" i="0" baseline="0"/>
            <a:t>Space is provided for a number of restrictions on fund balance use. Restrictions come from outside of the district (Legislature, creditors, etc.). Each fund has its own column. Enter a description and enter the amount in the appropriate column.</a:t>
          </a:r>
          <a:endParaRPr lang="en-US" sz="1100" b="0" i="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0</xdr:colOff>
      <xdr:row>0</xdr:row>
      <xdr:rowOff>1</xdr:rowOff>
    </xdr:from>
    <xdr:to>
      <xdr:col>13</xdr:col>
      <xdr:colOff>0</xdr:colOff>
      <xdr:row>8</xdr:row>
      <xdr:rowOff>1</xdr:rowOff>
    </xdr:to>
    <xdr:sp macro="" textlink="">
      <xdr:nvSpPr>
        <xdr:cNvPr id="2" name="TextBox 1" title="GL 867 Guidance">
          <a:extLst>
            <a:ext uri="{FF2B5EF4-FFF2-40B4-BE49-F238E27FC236}">
              <a16:creationId xmlns:a16="http://schemas.microsoft.com/office/drawing/2014/main" id="{00000000-0008-0000-1A00-000002000000}"/>
            </a:ext>
          </a:extLst>
        </xdr:cNvPr>
        <xdr:cNvSpPr txBox="1"/>
      </xdr:nvSpPr>
      <xdr:spPr>
        <a:xfrm>
          <a:off x="6762750" y="1"/>
          <a:ext cx="365760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867</a:t>
          </a:r>
          <a:r>
            <a:rPr lang="en-US" sz="1100" b="1" i="1" baseline="0"/>
            <a:t> Restricted from Mitigation Fee Proceeds</a:t>
          </a:r>
        </a:p>
        <a:p>
          <a:r>
            <a:rPr lang="en-US" sz="1100" b="0" i="0" baseline="0"/>
            <a:t>This account is provided to close project revenues and expenditures for projects funded totally or in part by State Environmental Protection Act (SEPA) mitigation fees.</a:t>
          </a:r>
        </a:p>
        <a:p>
          <a:endParaRPr lang="en-US" sz="1100" b="0" i="0" baseline="0"/>
        </a:p>
        <a:p>
          <a:pPr algn="ctr"/>
          <a:r>
            <a:rPr lang="en-US" sz="1100" b="0" i="1" baseline="0"/>
            <a:t>Instructions for this sheet</a:t>
          </a:r>
        </a:p>
        <a:p>
          <a:pPr algn="l"/>
          <a:r>
            <a:rPr lang="en-US" sz="1100" b="0" i="0" baseline="0"/>
            <a:t>This sheet is for recording transactions (revenues, expenditures) in the CPF that have a source/use code of "7".</a:t>
          </a:r>
          <a:endParaRPr lang="en-US" sz="1100" b="0" i="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0</xdr:row>
      <xdr:rowOff>0</xdr:rowOff>
    </xdr:from>
    <xdr:to>
      <xdr:col>10</xdr:col>
      <xdr:colOff>571500</xdr:colOff>
      <xdr:row>14</xdr:row>
      <xdr:rowOff>9525</xdr:rowOff>
    </xdr:to>
    <xdr:sp macro="" textlink="">
      <xdr:nvSpPr>
        <xdr:cNvPr id="2" name="TextBox 1" title="GL 869 Guidance">
          <a:extLst>
            <a:ext uri="{FF2B5EF4-FFF2-40B4-BE49-F238E27FC236}">
              <a16:creationId xmlns:a16="http://schemas.microsoft.com/office/drawing/2014/main" id="{159E4D96-8188-400F-9130-DE067C416322}"/>
            </a:ext>
          </a:extLst>
        </xdr:cNvPr>
        <xdr:cNvSpPr txBox="1"/>
      </xdr:nvSpPr>
      <xdr:spPr>
        <a:xfrm>
          <a:off x="5562600" y="0"/>
          <a:ext cx="3619500"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868 Restricted from CTE</a:t>
          </a:r>
          <a:r>
            <a:rPr lang="en-US" sz="1100" b="1" i="1" baseline="0"/>
            <a:t> Carryover Resouces </a:t>
          </a:r>
        </a:p>
        <a:p>
          <a:pPr algn="ctr"/>
          <a:endParaRPr lang="en-US" sz="1100" b="1" i="1" baseline="0"/>
        </a:p>
        <a:p>
          <a:pPr algn="l"/>
          <a:r>
            <a:rPr lang="en-US" sz="1100" b="0" i="0" baseline="0"/>
            <a:t>This account is provided to record amounts provided for CTE Major Projects in the Capital Projects Fund.  Only resources annually calculated from the General Fund's CTE Program's end-of-year results and annually redirected to the CPF via the Interfund Transfer process are recorded as annual additions. </a:t>
          </a:r>
        </a:p>
        <a:p>
          <a:pPr algn="l"/>
          <a:endParaRPr lang="en-US" sz="1100" b="0" i="0" baseline="0"/>
        </a:p>
        <a:p>
          <a:pPr algn="l"/>
          <a:r>
            <a:rPr lang="en-US" sz="1100" b="0" i="1" baseline="0"/>
            <a:t>Instructions for this sheet</a:t>
          </a:r>
        </a:p>
        <a:p>
          <a:pPr algn="l"/>
          <a:endParaRPr lang="en-US" sz="1100" b="0" i="1" baseline="0"/>
        </a:p>
        <a:p>
          <a:pPr algn="l"/>
          <a:r>
            <a:rPr lang="en-US" sz="1100" b="0" i="0" baseline="0"/>
            <a:t>This sheet is for recording transactions (resources and expenditures) in the CPF that have a source/use code of "8".</a:t>
          </a:r>
        </a:p>
        <a:p>
          <a:pPr algn="l"/>
          <a:endParaRPr lang="en-US" sz="1100" b="0" i="0" baseline="0"/>
        </a:p>
        <a:p>
          <a:pPr algn="l"/>
          <a:r>
            <a:rPr lang="en-US" sz="1100" b="0" i="0" baseline="0"/>
            <a:t>Other resources dedicated to CTE Major Projects are classified in other applciable CPF Equity accounts determined by the resource type and the limitations or constraints imposed on the use of those resources.</a:t>
          </a:r>
          <a:endParaRPr lang="en-US" sz="1100" b="0" i="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0</xdr:colOff>
      <xdr:row>0</xdr:row>
      <xdr:rowOff>0</xdr:rowOff>
    </xdr:from>
    <xdr:to>
      <xdr:col>12</xdr:col>
      <xdr:colOff>600075</xdr:colOff>
      <xdr:row>7</xdr:row>
      <xdr:rowOff>0</xdr:rowOff>
    </xdr:to>
    <xdr:sp macro="" textlink="">
      <xdr:nvSpPr>
        <xdr:cNvPr id="2" name="TextBox 1" title="GL 869 Guidance">
          <a:extLst>
            <a:ext uri="{FF2B5EF4-FFF2-40B4-BE49-F238E27FC236}">
              <a16:creationId xmlns:a16="http://schemas.microsoft.com/office/drawing/2014/main" id="{00000000-0008-0000-1B00-000002000000}"/>
            </a:ext>
          </a:extLst>
        </xdr:cNvPr>
        <xdr:cNvSpPr txBox="1"/>
      </xdr:nvSpPr>
      <xdr:spPr>
        <a:xfrm>
          <a:off x="6762750" y="0"/>
          <a:ext cx="36480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869 Restricted from</a:t>
          </a:r>
          <a:r>
            <a:rPr lang="en-US" sz="1100" b="1" i="1" baseline="0"/>
            <a:t> Undistributed Proceeds</a:t>
          </a:r>
        </a:p>
        <a:p>
          <a:r>
            <a:rPr lang="en-US" sz="1100" b="0" i="0" baseline="0"/>
            <a:t>This account is provided to record unassigned amounts distributed to other restriction accounts at year-end.</a:t>
          </a:r>
        </a:p>
        <a:p>
          <a:endParaRPr lang="en-US" sz="1100" b="0" i="0" baseline="0"/>
        </a:p>
        <a:p>
          <a:pPr algn="ctr"/>
          <a:r>
            <a:rPr lang="en-US" sz="1100" b="0" i="1" baseline="0"/>
            <a:t>Instructions for this sheet</a:t>
          </a:r>
        </a:p>
        <a:p>
          <a:pPr algn="l"/>
          <a:r>
            <a:rPr lang="en-US" sz="1100" b="0" i="0" baseline="0"/>
            <a:t>This sheet is for recording transactions (revenues, expenditures) in the CPF that have a source/use code of "9".</a:t>
          </a:r>
          <a:endParaRPr lang="en-US" sz="1100" b="0" i="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0</xdr:colOff>
      <xdr:row>0</xdr:row>
      <xdr:rowOff>0</xdr:rowOff>
    </xdr:from>
    <xdr:to>
      <xdr:col>16</xdr:col>
      <xdr:colOff>0</xdr:colOff>
      <xdr:row>12</xdr:row>
      <xdr:rowOff>0</xdr:rowOff>
    </xdr:to>
    <xdr:sp macro="" textlink="">
      <xdr:nvSpPr>
        <xdr:cNvPr id="2" name="TextBox 1" title="GL 870 Guidance">
          <a:extLst>
            <a:ext uri="{FF2B5EF4-FFF2-40B4-BE49-F238E27FC236}">
              <a16:creationId xmlns:a16="http://schemas.microsoft.com/office/drawing/2014/main" id="{00000000-0008-0000-1C00-000002000000}"/>
            </a:ext>
          </a:extLst>
        </xdr:cNvPr>
        <xdr:cNvSpPr txBox="1"/>
      </xdr:nvSpPr>
      <xdr:spPr>
        <a:xfrm>
          <a:off x="9172575" y="0"/>
          <a:ext cx="4267200"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870 Committed to Other Purposes </a:t>
          </a:r>
        </a:p>
        <a:p>
          <a:r>
            <a:rPr lang="en-US" sz="1100" b="0" i="0"/>
            <a:t>This</a:t>
          </a:r>
          <a:r>
            <a:rPr lang="en-US" sz="1100" b="0" i="0" baseline="0"/>
            <a:t> account is provided as a means for accumulating and recording commitments of district resources for future uses. Commitments represent the board of directors' intended use of resources, and a resolution has been passed to commit funds for those purposes.</a:t>
          </a:r>
        </a:p>
        <a:p>
          <a:endParaRPr lang="en-US" sz="1100" b="0" i="0" baseline="0"/>
        </a:p>
        <a:p>
          <a:pPr algn="ctr"/>
          <a:r>
            <a:rPr lang="en-US" sz="1100" b="0" i="1" baseline="0"/>
            <a:t>Instructions for this sheet</a:t>
          </a:r>
        </a:p>
        <a:p>
          <a:pPr algn="l"/>
          <a:r>
            <a:rPr lang="en-US" sz="1100" b="0" i="0" baseline="0"/>
            <a:t>If the district has passed any resolutions committing funds for a particular purpose, or if there are existing board policies setting aside funds for a particular purpose other than maintaining a policy of economic stabilization,  record those amounts here. Space is provided for multiple different commitments if needed.</a:t>
          </a:r>
          <a:endParaRPr lang="en-US" sz="1100" b="0" i="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0</xdr:colOff>
      <xdr:row>0</xdr:row>
      <xdr:rowOff>0</xdr:rowOff>
    </xdr:from>
    <xdr:to>
      <xdr:col>13</xdr:col>
      <xdr:colOff>0</xdr:colOff>
      <xdr:row>28</xdr:row>
      <xdr:rowOff>171450</xdr:rowOff>
    </xdr:to>
    <xdr:sp macro="" textlink="">
      <xdr:nvSpPr>
        <xdr:cNvPr id="5" name="TextBox 4" title="GL 872 Guidance">
          <a:extLst>
            <a:ext uri="{FF2B5EF4-FFF2-40B4-BE49-F238E27FC236}">
              <a16:creationId xmlns:a16="http://schemas.microsoft.com/office/drawing/2014/main" id="{00000000-0008-0000-1D00-000005000000}"/>
            </a:ext>
          </a:extLst>
        </xdr:cNvPr>
        <xdr:cNvSpPr txBox="1"/>
      </xdr:nvSpPr>
      <xdr:spPr>
        <a:xfrm>
          <a:off x="7105650" y="0"/>
          <a:ext cx="4267200" cy="5505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sysClr val="windowText" lastClr="000000"/>
              </a:solidFill>
              <a:effectLst/>
              <a:uLnTx/>
              <a:uFillTx/>
              <a:latin typeface="Calibri"/>
              <a:ea typeface="+mn-ea"/>
              <a:cs typeface="+mn-cs"/>
            </a:rPr>
            <a:t>GL 872 Committed to Economic Stabilization</a:t>
          </a:r>
        </a:p>
        <a:p>
          <a:r>
            <a:rPr lang="en-US" sz="1100" b="0" i="0" u="none" strike="noStrike" baseline="0">
              <a:latin typeface="+mn-lt"/>
              <a:ea typeface="+mn-ea"/>
              <a:cs typeface="+mn-cs"/>
            </a:rPr>
            <a:t>Commitments of fund balance require a formal action by the school district’s board of directors, such as a school board policy or a resolution of the board of directors. </a:t>
          </a:r>
        </a:p>
        <a:p>
          <a:endParaRPr lang="en-US" sz="1100" b="0" i="0" u="none" strike="noStrike" baseline="0">
            <a:latin typeface="+mn-lt"/>
            <a:ea typeface="+mn-ea"/>
            <a:cs typeface="+mn-cs"/>
          </a:endParaRPr>
        </a:p>
        <a:p>
          <a:r>
            <a:rPr lang="en-US" sz="1100" b="0" i="0" u="none" strike="noStrike" baseline="0">
              <a:latin typeface="+mn-lt"/>
              <a:ea typeface="+mn-ea"/>
              <a:cs typeface="+mn-cs"/>
            </a:rPr>
            <a:t>Specific circumstances and conditions must be described to set aside funds in this account. Amounts set aside may only be expended when specific conditions exist. These circumstances cannot be expected to routinely occur, and using the term “in an emergency” is not sufficient. If amounts are set aside to offset anticipated revenue shortfalls, the shortfall must be quantifiable and of a magnitude that distinguishes it from other revenue shortfalls that normally occur. </a:t>
          </a:r>
        </a:p>
        <a:p>
          <a:endParaRPr lang="en-US" sz="1100" b="0" i="0" u="none" strike="noStrike" baseline="0">
            <a:latin typeface="+mn-lt"/>
            <a:ea typeface="+mn-ea"/>
            <a:cs typeface="+mn-cs"/>
          </a:endParaRPr>
        </a:p>
        <a:p>
          <a:r>
            <a:rPr lang="en-US" sz="1100" b="0" i="0" u="none" strike="noStrike" baseline="0">
              <a:latin typeface="+mn-lt"/>
              <a:ea typeface="+mn-ea"/>
              <a:cs typeface="+mn-cs"/>
            </a:rPr>
            <a:t>Details of commitments, including the nature of the commitment and the date of the board action creating the commitment, should be included in the Notes to the Financial Statements. </a:t>
          </a:r>
        </a:p>
        <a:p>
          <a:endParaRPr lang="en-US" sz="1100" b="0" i="0" u="none" strike="noStrike" baseline="0">
            <a:latin typeface="+mn-lt"/>
            <a:ea typeface="+mn-ea"/>
            <a:cs typeface="+mn-cs"/>
          </a:endParaRPr>
        </a:p>
        <a:p>
          <a:r>
            <a:rPr lang="en-US" sz="1100" b="0" i="0" u="none" strike="noStrike" baseline="0">
              <a:latin typeface="+mn-lt"/>
              <a:ea typeface="+mn-ea"/>
              <a:cs typeface="+mn-cs"/>
            </a:rPr>
            <a:t>This account is to be used in districts where the school board has taken such action to create an economic stabilization policy which meets the criteria of a stabilization arrangement. The board action taken must outline the amount to be used in such a policy, whether it is a dollar amount or a percentage of the district’s revenues or expenditures. This information must also be included in the Notes to the Financial Statements.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1"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1" u="none" strike="noStrike" kern="0" cap="none" spc="0" normalizeH="0" baseline="0" noProof="0">
              <a:ln>
                <a:noFill/>
              </a:ln>
              <a:solidFill>
                <a:sysClr val="windowText" lastClr="000000"/>
              </a:solidFill>
              <a:effectLst/>
              <a:uLnTx/>
              <a:uFillTx/>
              <a:latin typeface="Calibri"/>
              <a:ea typeface="+mn-ea"/>
              <a:cs typeface="+mn-cs"/>
            </a:rPr>
            <a:t>Instructions for this sheet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If the district has passed a resolution committing funds  in an Economic Stabilization Policy, record those amounts here. Space is provided for multiple  specific  circumstances  and conditions  detailed in the policy, if needed.</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0</xdr:row>
      <xdr:rowOff>0</xdr:rowOff>
    </xdr:from>
    <xdr:to>
      <xdr:col>13</xdr:col>
      <xdr:colOff>0</xdr:colOff>
      <xdr:row>28</xdr:row>
      <xdr:rowOff>171450</xdr:rowOff>
    </xdr:to>
    <xdr:sp macro="" textlink="">
      <xdr:nvSpPr>
        <xdr:cNvPr id="2" name="TextBox 1" title="GL 872 Guidance">
          <a:extLst>
            <a:ext uri="{FF2B5EF4-FFF2-40B4-BE49-F238E27FC236}">
              <a16:creationId xmlns:a16="http://schemas.microsoft.com/office/drawing/2014/main" id="{5C469112-6BD8-425C-A100-7A6EF1A6F823}"/>
            </a:ext>
          </a:extLst>
        </xdr:cNvPr>
        <xdr:cNvSpPr txBox="1"/>
      </xdr:nvSpPr>
      <xdr:spPr>
        <a:xfrm>
          <a:off x="7439025" y="0"/>
          <a:ext cx="4267200" cy="5505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sysClr val="windowText" lastClr="000000"/>
              </a:solidFill>
              <a:effectLst/>
              <a:uLnTx/>
              <a:uFillTx/>
              <a:latin typeface="Calibri"/>
              <a:ea typeface="+mn-ea"/>
              <a:cs typeface="+mn-cs"/>
            </a:rPr>
            <a:t>GL 873 Committed to Depreciation Sub-Fund Facility Maintenance</a:t>
          </a:r>
        </a:p>
        <a:p>
          <a:r>
            <a:rPr lang="en-US" sz="1100" b="0" i="0" u="none" strike="noStrike" baseline="0">
              <a:latin typeface="+mn-lt"/>
              <a:ea typeface="+mn-ea"/>
              <a:cs typeface="+mn-cs"/>
            </a:rPr>
            <a:t>Commitments of fund balance require a formal action by the school district’s board of directors, such as a school board policy or a resolution of the board of directors. </a:t>
          </a:r>
        </a:p>
        <a:p>
          <a:endParaRPr lang="en-US" sz="1100" b="0" i="0" u="none" strike="noStrike" baseline="0">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The</a:t>
          </a:r>
          <a:r>
            <a:rPr lang="en-US" sz="1100" b="0" i="0" baseline="0">
              <a:effectLst/>
              <a:latin typeface="+mn-lt"/>
              <a:ea typeface="+mn-ea"/>
              <a:cs typeface="+mn-cs"/>
            </a:rPr>
            <a:t> use of GL 873 and the </a:t>
          </a:r>
          <a:r>
            <a:rPr lang="en-US" sz="1100" b="0" i="0">
              <a:effectLst/>
              <a:latin typeface="+mn-lt"/>
              <a:ea typeface="+mn-ea"/>
              <a:cs typeface="+mn-cs"/>
            </a:rPr>
            <a:t>establishment of the depreciation sub-fund is limited to second class school districts with fewer than 2000 students. </a:t>
          </a:r>
          <a:r>
            <a:rPr lang="en-US" sz="1100">
              <a:effectLst/>
              <a:latin typeface="+mn-lt"/>
              <a:ea typeface="+mn-ea"/>
              <a:cs typeface="+mn-cs"/>
            </a:rPr>
            <a:t> </a:t>
          </a:r>
          <a:endParaRPr lang="en-US">
            <a:effectLst/>
          </a:endParaRPr>
        </a:p>
        <a:p>
          <a:endParaRPr lang="en-US" sz="1100" b="0" i="0" u="none" strike="noStrike" baseline="0">
            <a:latin typeface="+mn-lt"/>
            <a:ea typeface="+mn-ea"/>
            <a:cs typeface="+mn-cs"/>
          </a:endParaRPr>
        </a:p>
        <a:p>
          <a:r>
            <a:rPr lang="en-US" sz="1100" b="0" i="0" u="none" strike="noStrike" baseline="0">
              <a:latin typeface="+mn-lt"/>
              <a:ea typeface="+mn-ea"/>
              <a:cs typeface="+mn-cs"/>
            </a:rPr>
            <a:t>Specific circumstances and conditions must be described to set aside funds in this account. Amounts set aside may only be expended when specific conditions exist. </a:t>
          </a:r>
        </a:p>
        <a:p>
          <a:endParaRPr lang="en-US" sz="1100" b="0" i="0" u="none" strike="noStrike" baseline="0">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The depreciation subfund provides for the school district to reserve funds for future facility and equipment needs. Up to two percent of a school district's general fund may be deposited each fiscal year into the depreciation subfund for the purpose of preventative maintenance or emergency facility needs.</a:t>
          </a:r>
        </a:p>
        <a:p>
          <a:endParaRPr lang="en-US" sz="1100" b="0" i="0" u="none" strike="noStrike" baseline="0">
            <a:latin typeface="+mn-lt"/>
            <a:ea typeface="+mn-ea"/>
            <a:cs typeface="+mn-cs"/>
          </a:endParaRPr>
        </a:p>
        <a:p>
          <a:r>
            <a:rPr lang="en-US" sz="1100" b="0" i="0" u="none" strike="noStrike" baseline="0">
              <a:latin typeface="+mn-lt"/>
              <a:ea typeface="+mn-ea"/>
              <a:cs typeface="+mn-cs"/>
            </a:rPr>
            <a:t>Details of commitments, including the nature of the commitment and the date of the board action creating the commitment, should be included in the Notes to the Financial Statements. </a:t>
          </a:r>
          <a:r>
            <a:rPr lang="en-US" sz="1100" b="0" i="0" u="none" strike="noStrike">
              <a:effectLst/>
              <a:latin typeface="+mn-lt"/>
              <a:ea typeface="+mn-ea"/>
              <a:cs typeface="+mn-cs"/>
            </a:rPr>
            <a:t>SB5403 limits the establishment of the depreciation sub-fund to second class school districts with fewer than 2000 students. </a:t>
          </a:r>
          <a:r>
            <a:rPr lang="en-US">
              <a:effectLst/>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1"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1" u="none" strike="noStrike" kern="0" cap="none" spc="0" normalizeH="0" baseline="0" noProof="0">
              <a:ln>
                <a:noFill/>
              </a:ln>
              <a:solidFill>
                <a:sysClr val="windowText" lastClr="000000"/>
              </a:solidFill>
              <a:effectLst/>
              <a:uLnTx/>
              <a:uFillTx/>
              <a:latin typeface="Calibri"/>
              <a:ea typeface="+mn-ea"/>
              <a:cs typeface="+mn-cs"/>
            </a:rPr>
            <a:t>Instructions for this sheet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If the district has passed a resolution committing funds for use in the Depreciation Sub-Fund for Facility Maintenance, record those amounts here. Space is provided for multiple  specific  circumstances  and conditions  detailed in the policy, if needed.</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0</xdr:colOff>
      <xdr:row>0</xdr:row>
      <xdr:rowOff>0</xdr:rowOff>
    </xdr:from>
    <xdr:to>
      <xdr:col>13</xdr:col>
      <xdr:colOff>0</xdr:colOff>
      <xdr:row>14</xdr:row>
      <xdr:rowOff>0</xdr:rowOff>
    </xdr:to>
    <xdr:sp macro="" textlink="">
      <xdr:nvSpPr>
        <xdr:cNvPr id="2" name="TextBox 1" title="GL 875 guidance">
          <a:extLst>
            <a:ext uri="{FF2B5EF4-FFF2-40B4-BE49-F238E27FC236}">
              <a16:creationId xmlns:a16="http://schemas.microsoft.com/office/drawing/2014/main" id="{00000000-0008-0000-1E00-000002000000}"/>
            </a:ext>
          </a:extLst>
        </xdr:cNvPr>
        <xdr:cNvSpPr txBox="1"/>
      </xdr:nvSpPr>
      <xdr:spPr>
        <a:xfrm>
          <a:off x="5448300" y="0"/>
          <a:ext cx="4267200"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875 Assigned</a:t>
          </a:r>
          <a:r>
            <a:rPr lang="en-US" sz="1100" b="1" i="1" baseline="0"/>
            <a:t> to Contingencies </a:t>
          </a:r>
        </a:p>
        <a:p>
          <a:r>
            <a:rPr lang="en-US" sz="1100" b="0" i="0" baseline="0"/>
            <a:t>This account is used to assign a portion of the school district's fund balance for contingencies, such as unanticipated changes in the tax and spending policies of federal and state governments, court decisions, financial impacts of labor agreements (arbitration), natural disasters, and unexpected or emergency capital expenditures. Assignments represent management's and/or board of directors' intended use of resources.</a:t>
          </a:r>
        </a:p>
        <a:p>
          <a:endParaRPr lang="en-US" sz="1100" b="0" i="0" baseline="0"/>
        </a:p>
        <a:p>
          <a:pPr algn="ctr"/>
          <a:r>
            <a:rPr lang="en-US" sz="1100" b="0" i="1" baseline="0"/>
            <a:t>Instructions for this sheet</a:t>
          </a:r>
        </a:p>
        <a:p>
          <a:pPr algn="l"/>
          <a:r>
            <a:rPr lang="en-US" sz="1100" b="0" i="0" baseline="0"/>
            <a:t>If the district has identified possible contingencies and wishes to set aside money for them without a formal resolution, those amounts should be recorded in this account. Space is provided for multiple contingencies as needed.</a:t>
          </a:r>
          <a:endParaRPr lang="en-US" sz="1100" b="0" i="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1</xdr:colOff>
      <xdr:row>0</xdr:row>
      <xdr:rowOff>1</xdr:rowOff>
    </xdr:from>
    <xdr:to>
      <xdr:col>15</xdr:col>
      <xdr:colOff>1</xdr:colOff>
      <xdr:row>10</xdr:row>
      <xdr:rowOff>1</xdr:rowOff>
    </xdr:to>
    <xdr:sp macro="" textlink="">
      <xdr:nvSpPr>
        <xdr:cNvPr id="2" name="TextBox 1" title="GL 884 Guidance">
          <a:extLst>
            <a:ext uri="{FF2B5EF4-FFF2-40B4-BE49-F238E27FC236}">
              <a16:creationId xmlns:a16="http://schemas.microsoft.com/office/drawing/2014/main" id="{00000000-0008-0000-1F00-000002000000}"/>
            </a:ext>
          </a:extLst>
        </xdr:cNvPr>
        <xdr:cNvSpPr txBox="1"/>
      </xdr:nvSpPr>
      <xdr:spPr>
        <a:xfrm>
          <a:off x="5886451" y="1"/>
          <a:ext cx="4876800"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884 Assigned</a:t>
          </a:r>
          <a:r>
            <a:rPr lang="en-US" sz="1100" b="1" i="1" baseline="0"/>
            <a:t> to Other Capital Projects </a:t>
          </a:r>
        </a:p>
        <a:p>
          <a:r>
            <a:rPr lang="en-US" sz="1100" b="0" i="0" baseline="0"/>
            <a:t>This account is used to record those funds the district intends to use for capital project purposes other than those funds that have been legally restricted for those purposes. Capital Project Fund bond or levy proceeds, or Transportation Vehicle Fund levy proceeds are never recorded in this account.</a:t>
          </a:r>
        </a:p>
        <a:p>
          <a:endParaRPr lang="en-US" sz="1100" b="0" i="0" baseline="0"/>
        </a:p>
        <a:p>
          <a:pPr algn="ctr"/>
          <a:r>
            <a:rPr lang="en-US" sz="1100" b="0" i="1" baseline="0"/>
            <a:t>Instructions for this sheet</a:t>
          </a:r>
        </a:p>
        <a:p>
          <a:pPr algn="l"/>
          <a:r>
            <a:rPr lang="en-US" sz="1100" b="0" i="0" baseline="0"/>
            <a:t>If the district desires to put money aside for capital improvements using money in the General Fund, space is provided to record those amounts here. In the event of multiple projects, there is additional space provided.</a:t>
          </a:r>
          <a:endParaRPr lang="en-US" sz="1100" b="0" i="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xdr:colOff>
      <xdr:row>0</xdr:row>
      <xdr:rowOff>1</xdr:rowOff>
    </xdr:from>
    <xdr:to>
      <xdr:col>14</xdr:col>
      <xdr:colOff>1</xdr:colOff>
      <xdr:row>11</xdr:row>
      <xdr:rowOff>1</xdr:rowOff>
    </xdr:to>
    <xdr:sp macro="" textlink="">
      <xdr:nvSpPr>
        <xdr:cNvPr id="2" name="TextBox 1" title="GL 888 Guidance">
          <a:extLst>
            <a:ext uri="{FF2B5EF4-FFF2-40B4-BE49-F238E27FC236}">
              <a16:creationId xmlns:a16="http://schemas.microsoft.com/office/drawing/2014/main" id="{00000000-0008-0000-2000-000002000000}"/>
            </a:ext>
          </a:extLst>
        </xdr:cNvPr>
        <xdr:cNvSpPr txBox="1"/>
      </xdr:nvSpPr>
      <xdr:spPr>
        <a:xfrm>
          <a:off x="6743701" y="1"/>
          <a:ext cx="426720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888 Assigned</a:t>
          </a:r>
          <a:r>
            <a:rPr lang="en-US" sz="1100" b="1" i="1" baseline="0"/>
            <a:t> to Other Purposes </a:t>
          </a:r>
        </a:p>
        <a:p>
          <a:r>
            <a:rPr lang="en-US" sz="1100" b="0" i="0" baseline="0"/>
            <a:t>This account is provided as a means to assign a portion of the district's ending fund balance for items that are not recorded in other accounts. Assignments represent management's and/or the board of directors' intended use of resources.</a:t>
          </a:r>
        </a:p>
        <a:p>
          <a:endParaRPr lang="en-US" sz="1100" b="0" i="0" baseline="0"/>
        </a:p>
        <a:p>
          <a:pPr algn="ctr"/>
          <a:r>
            <a:rPr lang="en-US" sz="1100" b="0" i="1" baseline="0"/>
            <a:t>Instructions for this sheet</a:t>
          </a:r>
        </a:p>
        <a:p>
          <a:pPr algn="l"/>
          <a:r>
            <a:rPr lang="en-US" sz="1100" b="0" i="0" baseline="0"/>
            <a:t>Space is provided for the district to record different assignments of fund balance. Assignments represent a desire to spend money for a particular item (such as new curriculum) without the necessity for formal board action.</a:t>
          </a:r>
          <a:endParaRPr lang="en-US" sz="1100" b="0" i="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11</xdr:row>
      <xdr:rowOff>0</xdr:rowOff>
    </xdr:to>
    <xdr:sp macro="" textlink="">
      <xdr:nvSpPr>
        <xdr:cNvPr id="2" name="TextBox 1" title="GL 889 Guidance">
          <a:extLst>
            <a:ext uri="{FF2B5EF4-FFF2-40B4-BE49-F238E27FC236}">
              <a16:creationId xmlns:a16="http://schemas.microsoft.com/office/drawing/2014/main" id="{00000000-0008-0000-2100-000002000000}"/>
            </a:ext>
          </a:extLst>
        </xdr:cNvPr>
        <xdr:cNvSpPr txBox="1"/>
      </xdr:nvSpPr>
      <xdr:spPr>
        <a:xfrm>
          <a:off x="0" y="0"/>
          <a:ext cx="670560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889 Assigned</a:t>
          </a:r>
          <a:r>
            <a:rPr lang="en-US" sz="1100" b="1" i="1" baseline="0"/>
            <a:t> to Fund Purposes (p 4-36)</a:t>
          </a:r>
        </a:p>
        <a:p>
          <a:pPr algn="ctr"/>
          <a:r>
            <a:rPr lang="en-US" sz="1100" b="1" i="1" baseline="0"/>
            <a:t>All Funds Other Than General Fund</a:t>
          </a:r>
        </a:p>
        <a:p>
          <a:r>
            <a:rPr lang="en-US" sz="1100" b="0" i="0"/>
            <a:t>After the closing</a:t>
          </a:r>
          <a:r>
            <a:rPr lang="en-US" sz="1100" b="0" i="0" baseline="0"/>
            <a:t> of the budgetary, revenue, other financing sources, expenditures, and the establishment of any amounts that are Nonspendable, Restricted, Committed, or otherwise Assigned, this account is equal to the ending available fund balance. The net results of operations is summarized in this account. If there is a deficit balance, it should be recorded in GL 890 Unassigned Fund Balance.</a:t>
          </a:r>
        </a:p>
        <a:p>
          <a:endParaRPr lang="en-US" sz="1100" b="0" i="0" baseline="0"/>
        </a:p>
        <a:p>
          <a:r>
            <a:rPr lang="en-US" sz="1100" b="0" i="0" baseline="0"/>
            <a:t>In the ASB Fund, subsidiary accounts represent the equity of each school's ASB within the district, and the subcategory activities within each school's ASB.</a:t>
          </a:r>
        </a:p>
        <a:p>
          <a:endParaRPr lang="en-US" sz="1100" b="0" i="0" baseline="0"/>
        </a:p>
        <a:p>
          <a:r>
            <a:rPr lang="en-US" sz="1100" b="1" i="1" u="sng" baseline="0"/>
            <a:t>SPECIAL NOTE:</a:t>
          </a:r>
          <a:r>
            <a:rPr lang="en-US" sz="1100" b="1" i="0" u="none" baseline="0"/>
            <a:t> </a:t>
          </a:r>
          <a:r>
            <a:rPr lang="en-US" sz="1100" b="0" i="0" u="none" baseline="0"/>
            <a:t>This is a residual account. No entry on this sheet is necessary.</a:t>
          </a:r>
          <a:endParaRPr lang="en-US" sz="1100" b="1" i="1" u="sng"/>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14</xdr:col>
      <xdr:colOff>0</xdr:colOff>
      <xdr:row>18</xdr:row>
      <xdr:rowOff>0</xdr:rowOff>
    </xdr:to>
    <xdr:sp macro="" textlink="">
      <xdr:nvSpPr>
        <xdr:cNvPr id="2" name="TextBox 1" title="GL 815 Guidance">
          <a:extLst>
            <a:ext uri="{FF2B5EF4-FFF2-40B4-BE49-F238E27FC236}">
              <a16:creationId xmlns:a16="http://schemas.microsoft.com/office/drawing/2014/main" id="{00000000-0008-0000-0500-000002000000}"/>
            </a:ext>
          </a:extLst>
        </xdr:cNvPr>
        <xdr:cNvSpPr txBox="1"/>
      </xdr:nvSpPr>
      <xdr:spPr>
        <a:xfrm>
          <a:off x="6362700" y="0"/>
          <a:ext cx="4876800" cy="3457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a:t>
          </a:r>
          <a:r>
            <a:rPr lang="en-US" sz="1100" b="1" i="1" baseline="0"/>
            <a:t> 815 Restricted for Unequalized Deductible Revenues </a:t>
          </a:r>
        </a:p>
        <a:p>
          <a:r>
            <a:rPr lang="en-US" sz="1100" b="0" i="0" baseline="0"/>
            <a:t>This account is provided as a means for restricting fund balance for future recovery of deductible revenues. Refer to Chapter 2 for more information on deductible revenues. Cash basis districts make a restriction of fund balance for recoverable revenue at the time the revenue is received for reversal at the time the revenue is recovered. This account would be used for the following funding streams: 1400 Local in Lieu of Taxes, 5400 Federal in Lieu of Taxes, and 5500 Federal Forest. These General Fund revenues of the school district reduce the state payment to the district in Revenue 3100 Apportionment.</a:t>
          </a:r>
        </a:p>
        <a:p>
          <a:endParaRPr lang="en-US" sz="1100" b="0" i="0" baseline="0"/>
        </a:p>
        <a:p>
          <a:pPr algn="ctr"/>
          <a:r>
            <a:rPr lang="en-US" sz="1100" b="0" i="1" baseline="0"/>
            <a:t>Instructions for this sheet</a:t>
          </a:r>
        </a:p>
        <a:p>
          <a:pPr algn="l"/>
          <a:r>
            <a:rPr lang="en-US" sz="1100" b="0" i="0" baseline="0"/>
            <a:t>In the yellow cells, enter the amounts for prior year beginning balance, then deductible revenues reduced in the fiscal year (these are the prior year amounts that should have been reduced in the current year). </a:t>
          </a:r>
        </a:p>
        <a:p>
          <a:pPr algn="l"/>
          <a:endParaRPr lang="en-US" sz="1100" b="0" i="0" baseline="0"/>
        </a:p>
        <a:p>
          <a:pPr algn="l"/>
          <a:r>
            <a:rPr lang="en-US" sz="1100" b="0" i="0" baseline="0"/>
            <a:t>Next, enter any deductible revenues that have been received but not yet equalized against the district's General Apportionment payment. These amounts will be equalized in the coming year.</a:t>
          </a:r>
          <a:endParaRPr lang="en-US" sz="1100" b="0" i="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xdr:colOff>
      <xdr:row>13</xdr:row>
      <xdr:rowOff>0</xdr:rowOff>
    </xdr:to>
    <xdr:sp macro="" textlink="">
      <xdr:nvSpPr>
        <xdr:cNvPr id="2" name="TextBox 1" title="GL 890 Guidance">
          <a:extLst>
            <a:ext uri="{FF2B5EF4-FFF2-40B4-BE49-F238E27FC236}">
              <a16:creationId xmlns:a16="http://schemas.microsoft.com/office/drawing/2014/main" id="{00000000-0008-0000-2200-000002000000}"/>
            </a:ext>
          </a:extLst>
        </xdr:cNvPr>
        <xdr:cNvSpPr txBox="1"/>
      </xdr:nvSpPr>
      <xdr:spPr>
        <a:xfrm>
          <a:off x="1" y="0"/>
          <a:ext cx="7315200"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890 Unassigned</a:t>
          </a:r>
          <a:r>
            <a:rPr lang="en-US" sz="1100" b="1" i="1" baseline="0"/>
            <a:t> Fund Balance</a:t>
          </a:r>
        </a:p>
        <a:p>
          <a:pPr algn="l"/>
          <a:r>
            <a:rPr lang="en-US" sz="1100" b="1" i="0" baseline="0"/>
            <a:t>In the General Fund only:</a:t>
          </a:r>
        </a:p>
        <a:p>
          <a:pPr algn="l"/>
          <a:r>
            <a:rPr lang="en-US" sz="1100" b="0" i="0" baseline="0"/>
            <a:t>After the closing of the budgetary, revenue, other financing sources, and expenditure accounts, this account is equal to the excess of assets over liabilities, all Nonspendable amounts set aside, and then all Restrictions, Commitments, and Assignments have been made. The net result of fund operations is summarized in this account.</a:t>
          </a:r>
        </a:p>
        <a:p>
          <a:pPr algn="l"/>
          <a:endParaRPr lang="en-US" sz="1100" b="0" i="0" baseline="0"/>
        </a:p>
        <a:p>
          <a:pPr algn="l"/>
          <a:r>
            <a:rPr lang="en-US" sz="1100" b="1" i="0" baseline="0"/>
            <a:t>In all other funds:</a:t>
          </a:r>
        </a:p>
        <a:p>
          <a:pPr algn="l"/>
          <a:r>
            <a:rPr lang="en-US" sz="1100" b="0" i="0" baseline="0"/>
            <a:t>If after the closing of the budgetary, revenue, other financing sources, and expenditure accounts, and the establishment of any amounts that are Nonspendable, Restricted, or Committed, a fund other than the General Fund has a deficit balance (that is, a negative fund balance), they would record that deficit in this account. Funds other than the General Fund never record a positive amount in this account.</a:t>
          </a:r>
        </a:p>
        <a:p>
          <a:pPr algn="l"/>
          <a:endParaRPr lang="en-US" sz="1100" b="0" i="0" baseline="0"/>
        </a:p>
        <a:p>
          <a:pPr algn="l"/>
          <a:r>
            <a:rPr lang="en-US" sz="1100" b="1" i="1" u="sng" baseline="0"/>
            <a:t>SPECIAL NOTE:</a:t>
          </a:r>
          <a:r>
            <a:rPr lang="en-US" sz="1100" b="0" i="0" u="none" baseline="0"/>
            <a:t> This is a residual account. For the purposes of this reporting tool, no entry is necessary on this sheet.</a:t>
          </a:r>
          <a:endParaRPr lang="en-US" sz="1100" b="1" i="1" u="sng" baseline="0"/>
        </a:p>
        <a:p>
          <a:endParaRPr lang="en-US" sz="1100" b="1" i="1"/>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6</xdr:col>
      <xdr:colOff>0</xdr:colOff>
      <xdr:row>0</xdr:row>
      <xdr:rowOff>0</xdr:rowOff>
    </xdr:from>
    <xdr:to>
      <xdr:col>16</xdr:col>
      <xdr:colOff>0</xdr:colOff>
      <xdr:row>27</xdr:row>
      <xdr:rowOff>133350</xdr:rowOff>
    </xdr:to>
    <xdr:sp macro="" textlink="">
      <xdr:nvSpPr>
        <xdr:cNvPr id="2" name="TextBox 1" title="GL 891 Guidance">
          <a:extLst>
            <a:ext uri="{FF2B5EF4-FFF2-40B4-BE49-F238E27FC236}">
              <a16:creationId xmlns:a16="http://schemas.microsoft.com/office/drawing/2014/main" id="{00000000-0008-0000-2300-000002000000}"/>
            </a:ext>
          </a:extLst>
        </xdr:cNvPr>
        <xdr:cNvSpPr txBox="1"/>
      </xdr:nvSpPr>
      <xdr:spPr>
        <a:xfrm>
          <a:off x="7496175" y="0"/>
          <a:ext cx="6096000" cy="52768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891 Unassigned</a:t>
          </a:r>
          <a:r>
            <a:rPr lang="en-US" sz="1100" b="1" i="1" baseline="0"/>
            <a:t> </a:t>
          </a:r>
          <a:r>
            <a:rPr lang="en-US" sz="1100" b="1" i="1"/>
            <a:t> to Minimum Fund Balance Policy </a:t>
          </a:r>
          <a:endParaRPr lang="en-US" sz="1100" b="1" i="1">
            <a:solidFill>
              <a:sysClr val="windowText" lastClr="000000"/>
            </a:solidFill>
          </a:endParaRPr>
        </a:p>
        <a:p>
          <a:endParaRPr lang="en-US" sz="1100" b="0" i="0"/>
        </a:p>
        <a:p>
          <a:r>
            <a:rPr lang="en-US" sz="1100" b="0" i="0" baseline="0"/>
            <a:t>Per GASBS 54, Minimum Fund Balance Policies have no effect on the classification of Fund Balance  for financial reporting .  Note disclosure , however, is required.  </a:t>
          </a:r>
          <a:r>
            <a:rPr lang="en-US" sz="1100" b="0" i="0"/>
            <a:t>This</a:t>
          </a:r>
          <a:r>
            <a:rPr lang="en-US" sz="1100" b="0" i="0" baseline="0"/>
            <a:t> account has been added to the chart of accounts  to allow those districts that wish to segregate and identify the  amounts set aside  by policy on the district's trial balance reports.  Amounts entered into GL 891 are included in the single Unassigned Fund Balance  classification on the F-196.  </a:t>
          </a:r>
          <a:r>
            <a:rPr lang="en-US" sz="1100" b="1" i="0" baseline="0"/>
            <a:t>Use of this account is optional</a:t>
          </a:r>
          <a:r>
            <a:rPr lang="en-US" sz="1100" b="0" i="0" baseline="0"/>
            <a:t>. </a:t>
          </a:r>
        </a:p>
        <a:p>
          <a:endParaRPr lang="en-US" sz="1100" b="0" i="0" baseline="0"/>
        </a:p>
        <a:p>
          <a:r>
            <a:rPr lang="en-US" sz="1100" b="0" i="0" baseline="0"/>
            <a:t>This account is used in districts whose school boards have passed a resolution establishing a policy of maintaining a minimum fund balance in the General Fund. The board policy on such a fiscal strategy should identify whether the amounts dedicated  are for a given dollar amount or if it is based on a percentage of the district's revenues or expenditures.</a:t>
          </a:r>
        </a:p>
        <a:p>
          <a:endParaRPr lang="en-US" sz="1100" b="0" i="0" baseline="0"/>
        </a:p>
        <a:p>
          <a:pPr algn="ctr"/>
          <a:r>
            <a:rPr lang="en-US" sz="1100" b="0" i="1" baseline="0"/>
            <a:t>Instructions for this sheet</a:t>
          </a:r>
        </a:p>
        <a:p>
          <a:pPr algn="l"/>
          <a:r>
            <a:rPr lang="en-US" sz="1100" b="0" i="0" baseline="0"/>
            <a:t>If the district has a board policy that indicates that the districts shall maintain a minimum amount of fund balance, the value of the fund balance set aside can be recorded in this account. There are different options for a minimum fund balance policy; we illustrate three general types here.</a:t>
          </a:r>
        </a:p>
        <a:p>
          <a:pPr algn="l"/>
          <a:endParaRPr lang="en-US" sz="1100" b="0" i="0" baseline="0"/>
        </a:p>
        <a:p>
          <a:pPr algn="l"/>
          <a:r>
            <a:rPr lang="en-US" sz="1100" b="0" i="0" u="sng" baseline="0"/>
            <a:t>Policy based on percentage range</a:t>
          </a:r>
          <a:r>
            <a:rPr lang="en-US" sz="1100" b="0" i="0" u="none" baseline="0"/>
            <a:t> This can be used for a policy based on either a range of expenditures or revenues (the text uses expenditures, but can be changed to revenues if that fits the district policy). Enter the base being used, then the top and bottom percentages of the range to be used.  In the last cell in this group, enter the amount being set aside for meeting the policy (it should be somewhere between the min/max values).</a:t>
          </a:r>
        </a:p>
        <a:p>
          <a:pPr algn="l"/>
          <a:endParaRPr lang="en-US" sz="1100" b="0" i="0" u="sng"/>
        </a:p>
        <a:p>
          <a:pPr algn="l"/>
          <a:r>
            <a:rPr lang="en-US" sz="1100" b="0" i="0" u="sng"/>
            <a:t>Policy</a:t>
          </a:r>
          <a:r>
            <a:rPr lang="en-US" sz="1100" b="0" i="0" u="sng" baseline="0"/>
            <a:t> based on single percentage</a:t>
          </a:r>
          <a:r>
            <a:rPr lang="en-US" sz="1100" b="0" i="0" u="none" baseline="0"/>
            <a:t> If the district's policy is a single percentage (e.g. 5%), enter the base used and the percentage amount.  In the yellow cell, enter the amount used to meet the policy (it should be equal to the amount calculated).</a:t>
          </a:r>
        </a:p>
        <a:p>
          <a:pPr algn="l"/>
          <a:endParaRPr lang="en-US" sz="1100" b="0" i="0" u="none" baseline="0"/>
        </a:p>
        <a:p>
          <a:pPr algn="l"/>
          <a:r>
            <a:rPr lang="en-US" sz="1100" b="0" i="0" u="sng" baseline="0"/>
            <a:t>Policy based on single amount</a:t>
          </a:r>
          <a:r>
            <a:rPr lang="en-US" sz="1100" b="0" i="0" u="none" baseline="0"/>
            <a:t> Enter the amount stated in the district's policy.</a:t>
          </a:r>
          <a:endParaRPr lang="en-US" sz="1100" b="0" i="0"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0</xdr:row>
      <xdr:rowOff>123825</xdr:rowOff>
    </xdr:from>
    <xdr:to>
      <xdr:col>13</xdr:col>
      <xdr:colOff>428625</xdr:colOff>
      <xdr:row>18</xdr:row>
      <xdr:rowOff>28575</xdr:rowOff>
    </xdr:to>
    <xdr:sp macro="" textlink="">
      <xdr:nvSpPr>
        <xdr:cNvPr id="2" name="TextBox 1" title="GL 819 Guidance">
          <a:extLst>
            <a:ext uri="{FF2B5EF4-FFF2-40B4-BE49-F238E27FC236}">
              <a16:creationId xmlns:a16="http://schemas.microsoft.com/office/drawing/2014/main" id="{00000000-0008-0000-0600-000002000000}"/>
            </a:ext>
          </a:extLst>
        </xdr:cNvPr>
        <xdr:cNvSpPr txBox="1"/>
      </xdr:nvSpPr>
      <xdr:spPr>
        <a:xfrm>
          <a:off x="228600" y="123825"/>
          <a:ext cx="8124825" cy="333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819 Restricted for Fund Purposes</a:t>
          </a:r>
          <a:endParaRPr lang="en-US" sz="1100" b="1" i="1" baseline="0"/>
        </a:p>
        <a:p>
          <a:pPr algn="ctr"/>
          <a:r>
            <a:rPr lang="en-US" sz="1100" b="1" i="1" baseline="0"/>
            <a:t>ASB, TVF</a:t>
          </a:r>
        </a:p>
        <a:p>
          <a:pPr algn="l"/>
          <a:r>
            <a:rPr lang="en-US" sz="1100" b="0" i="0" baseline="0"/>
            <a:t>This account is used to record the ending fund balance in governmental funds relating to resources that are restricted by enabling legislation, legal requirements, or other enforceable claims. Amounts in this account are  restricted to being used only for the purposes of the fund they are in.</a:t>
          </a:r>
        </a:p>
        <a:p>
          <a:pPr algn="l"/>
          <a:endParaRPr lang="en-US" sz="1100" b="0" i="0" baseline="0"/>
        </a:p>
        <a:p>
          <a:pPr algn="l"/>
          <a:r>
            <a:rPr lang="en-US" sz="1100" b="0" i="0" baseline="0"/>
            <a:t>The amount in this account is equal to the fund's assets less liabilities, less amounts that are Nonspendable or otherwise Restricted. If this account would be negative, record the amount in GL 890 Unassigned Fund Balance instead.</a:t>
          </a:r>
        </a:p>
        <a:p>
          <a:pPr algn="l"/>
          <a:endParaRPr lang="en-US" sz="1100" b="0" i="0" baseline="0"/>
        </a:p>
        <a:p>
          <a:pPr algn="ctr"/>
          <a:r>
            <a:rPr lang="en-US" sz="1100" b="0" i="1" baseline="0"/>
            <a:t>Instructions for this Sheet</a:t>
          </a:r>
        </a:p>
        <a:p>
          <a:pPr algn="l"/>
          <a:r>
            <a:rPr lang="en-US" sz="1100" b="0" i="0" baseline="0"/>
            <a:t>This is a residual account for the ASB Fund and Transportation Vehicle Fund. No entry is necessary for this sheet.</a:t>
          </a:r>
          <a:endParaRPr lang="en-US" sz="1100" b="0" i="0"/>
        </a:p>
        <a:p>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9524</xdr:colOff>
      <xdr:row>0</xdr:row>
      <xdr:rowOff>0</xdr:rowOff>
    </xdr:from>
    <xdr:to>
      <xdr:col>13</xdr:col>
      <xdr:colOff>609599</xdr:colOff>
      <xdr:row>24</xdr:row>
      <xdr:rowOff>66675</xdr:rowOff>
    </xdr:to>
    <xdr:sp macro="" textlink="">
      <xdr:nvSpPr>
        <xdr:cNvPr id="2" name="TextBox 1" title="GL 821 Guidance">
          <a:extLst>
            <a:ext uri="{FF2B5EF4-FFF2-40B4-BE49-F238E27FC236}">
              <a16:creationId xmlns:a16="http://schemas.microsoft.com/office/drawing/2014/main" id="{00000000-0008-0000-0800-000002000000}"/>
            </a:ext>
          </a:extLst>
        </xdr:cNvPr>
        <xdr:cNvSpPr txBox="1"/>
      </xdr:nvSpPr>
      <xdr:spPr>
        <a:xfrm>
          <a:off x="10106024" y="0"/>
          <a:ext cx="5286375" cy="47529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a:t>GL</a:t>
          </a:r>
          <a:r>
            <a:rPr lang="en-US" sz="1100" b="1" i="1" u="none" baseline="0"/>
            <a:t> 821 Restricted for Carryover of Restricted Revenue</a:t>
          </a:r>
        </a:p>
        <a:p>
          <a:r>
            <a:rPr lang="en-US" sz="1100" b="0" i="0" u="none" baseline="0"/>
            <a:t>All districts must identify a restriction of fund balance at year-end for amounts determined to be unspent carryover funds with restricted use. This would include the following state funding streams: Special Education, CTE, Learning Assistance Program, State Institutions, Professional Learning Days, and other such unspent funds as may be subject to restricted-use carryover.</a:t>
          </a:r>
        </a:p>
        <a:p>
          <a:endParaRPr lang="en-US" sz="1100" b="0" i="0" u="none" baseline="0"/>
        </a:p>
        <a:p>
          <a:pPr algn="ctr"/>
          <a:r>
            <a:rPr lang="en-US" sz="1100" b="0" i="1" u="none" baseline="0"/>
            <a:t>Instructions for this sheet</a:t>
          </a:r>
        </a:p>
        <a:p>
          <a:pPr algn="l"/>
          <a:r>
            <a:rPr lang="en-US" sz="1100" b="0" i="0" u="none" baseline="0"/>
            <a:t>The CCDDD reference in cell F1 is linked to the summary sheet and should not be changed. You should only change the CCDDD number in the Fund Balance Summary worksheet.</a:t>
          </a:r>
        </a:p>
        <a:p>
          <a:pPr algn="l"/>
          <a:endParaRPr lang="en-US" sz="1100" b="0" i="0" u="none" baseline="0"/>
        </a:p>
        <a:p>
          <a:pPr algn="l"/>
          <a:r>
            <a:rPr lang="en-US" sz="1100" b="0" i="0" u="none" baseline="0"/>
            <a:t>This sheet is based on Jackie McDonald's Recovery/Carryover worksheet. </a:t>
          </a:r>
          <a:r>
            <a:rPr lang="en-US" sz="1100" b="1" i="0" u="none" baseline="0">
              <a:solidFill>
                <a:srgbClr val="C00000"/>
              </a:solidFill>
            </a:rPr>
            <a:t>Allocations are as of August 2025</a:t>
          </a:r>
          <a:r>
            <a:rPr lang="en-US" sz="1100" b="0" i="0" u="none" baseline="0"/>
            <a:t>. This GL821 Restricted worksheet is intended to provide a reasonable estimate of carryover/recovery amounts. </a:t>
          </a:r>
          <a:r>
            <a:rPr lang="en-US" sz="1100" b="0" i="1" u="sng" baseline="0"/>
            <a:t>Final recovery/carryover calculations will be performed in January, and amounts may differ slightly from the amounts shown here. </a:t>
          </a:r>
          <a:r>
            <a:rPr lang="en-US" sz="1100" b="0" i="0" u="none" baseline="0"/>
            <a:t>If there is a discrepancy between this sheet and </a:t>
          </a:r>
          <a:r>
            <a:rPr lang="en-US" sz="1100" b="0" i="0" baseline="0">
              <a:solidFill>
                <a:schemeClr val="dk1"/>
              </a:solidFill>
              <a:effectLst/>
              <a:latin typeface="+mn-lt"/>
              <a:ea typeface="+mn-ea"/>
              <a:cs typeface="+mn-cs"/>
            </a:rPr>
            <a:t>Jackie McDonald's </a:t>
          </a:r>
          <a:r>
            <a:rPr lang="en-US" sz="1100" b="0" i="0" u="none" baseline="0"/>
            <a:t>Estimated Recovery Sheet, use the amount from </a:t>
          </a:r>
          <a:r>
            <a:rPr lang="en-US" sz="1100" b="0" i="0" baseline="0">
              <a:solidFill>
                <a:schemeClr val="dk1"/>
              </a:solidFill>
              <a:effectLst/>
              <a:latin typeface="+mn-lt"/>
              <a:ea typeface="+mn-ea"/>
              <a:cs typeface="+mn-cs"/>
            </a:rPr>
            <a:t>Jackie McDonald's Recovery/Carryover worksheet</a:t>
          </a:r>
          <a:r>
            <a:rPr lang="en-US" sz="1100" b="0" i="0" u="none" baseline="0"/>
            <a:t>.</a:t>
          </a:r>
          <a:endParaRPr lang="en-US" sz="1100" b="0" i="1" u="sng" baseline="0"/>
        </a:p>
        <a:p>
          <a:pPr algn="l"/>
          <a:endParaRPr lang="en-US" sz="1100" b="0" i="0" u="none" baseline="0"/>
        </a:p>
        <a:p>
          <a:pPr algn="l"/>
          <a:r>
            <a:rPr lang="en-US" sz="1100" b="0" i="0" u="none" baseline="0"/>
            <a:t>Most of this sheet will auto-populate. </a:t>
          </a:r>
          <a:r>
            <a:rPr lang="en-US" sz="1100" b="1" i="0" u="none" baseline="0"/>
            <a:t>Enter missing information,</a:t>
          </a:r>
          <a:r>
            <a:rPr lang="en-US" sz="1100" b="0" i="0" u="none" baseline="0"/>
            <a:t> as appropriate, into the </a:t>
          </a:r>
          <a:r>
            <a:rPr lang="en-US" sz="1100" b="1" i="0" u="none" baseline="0">
              <a:solidFill>
                <a:sysClr val="windowText" lastClr="000000"/>
              </a:solidFill>
            </a:rPr>
            <a:t>yellow cells</a:t>
          </a:r>
          <a:r>
            <a:rPr lang="en-US" sz="1100" b="0" i="0" u="none" baseline="0"/>
            <a:t>.</a:t>
          </a:r>
        </a:p>
        <a:p>
          <a:pPr algn="l"/>
          <a:endParaRPr lang="en-US" sz="1100" b="0" i="0" u="none" baseline="0"/>
        </a:p>
        <a:p>
          <a:pPr algn="l"/>
          <a:r>
            <a:rPr lang="en-US" sz="1100" b="0" i="0" u="none" baseline="0"/>
            <a:t>If the district is a cash-basis district, recovery amounts are calculated and should be included in the balance of GL 821. For accrual-basis districts, recovery amounts should be accrued as a liability (GL 630 Due to Other Governmental Units).</a:t>
          </a:r>
          <a:endParaRPr lang="en-US" sz="1100" b="0" i="0" u="none"/>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272415</xdr:colOff>
      <xdr:row>1</xdr:row>
      <xdr:rowOff>97154</xdr:rowOff>
    </xdr:from>
    <xdr:to>
      <xdr:col>30</xdr:col>
      <xdr:colOff>329565</xdr:colOff>
      <xdr:row>32</xdr:row>
      <xdr:rowOff>116514</xdr:rowOff>
    </xdr:to>
    <xdr:pic>
      <xdr:nvPicPr>
        <xdr:cNvPr id="4" name="Picture 3" title="GL 825 Guidance">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12965" y="278129"/>
          <a:ext cx="6153150" cy="5734360"/>
        </a:xfrm>
        <a:prstGeom prst="rect">
          <a:avLst/>
        </a:prstGeom>
        <a:solidFill>
          <a:schemeClr val="bg1"/>
        </a:solidFill>
        <a:ln>
          <a:solidFill>
            <a:sysClr val="windowText" lastClr="000000"/>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0</xdr:colOff>
      <xdr:row>1</xdr:row>
      <xdr:rowOff>0</xdr:rowOff>
    </xdr:from>
    <xdr:to>
      <xdr:col>40</xdr:col>
      <xdr:colOff>476250</xdr:colOff>
      <xdr:row>32</xdr:row>
      <xdr:rowOff>169545</xdr:rowOff>
    </xdr:to>
    <xdr:pic>
      <xdr:nvPicPr>
        <xdr:cNvPr id="3" name="Picture 2" title="GL 828 Guidanc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88650" y="190500"/>
          <a:ext cx="5953125" cy="6477000"/>
        </a:xfrm>
        <a:prstGeom prst="rect">
          <a:avLst/>
        </a:prstGeom>
        <a:solidFill>
          <a:schemeClr val="bg1"/>
        </a:solidFill>
        <a:ln>
          <a:solidFill>
            <a:sysClr val="windowText" lastClr="000000"/>
          </a:solid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600075</xdr:colOff>
      <xdr:row>0</xdr:row>
      <xdr:rowOff>0</xdr:rowOff>
    </xdr:from>
    <xdr:to>
      <xdr:col>14</xdr:col>
      <xdr:colOff>0</xdr:colOff>
      <xdr:row>18</xdr:row>
      <xdr:rowOff>123825</xdr:rowOff>
    </xdr:to>
    <xdr:sp macro="" textlink="">
      <xdr:nvSpPr>
        <xdr:cNvPr id="2" name="TextBox 1" title="gl 830 guidance">
          <a:extLst>
            <a:ext uri="{FF2B5EF4-FFF2-40B4-BE49-F238E27FC236}">
              <a16:creationId xmlns:a16="http://schemas.microsoft.com/office/drawing/2014/main" id="{00000000-0008-0000-0E00-000002000000}"/>
            </a:ext>
          </a:extLst>
        </xdr:cNvPr>
        <xdr:cNvSpPr txBox="1"/>
      </xdr:nvSpPr>
      <xdr:spPr>
        <a:xfrm>
          <a:off x="6743700" y="0"/>
          <a:ext cx="3667125" cy="355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a:t>GL 830 Restricted for Debt Service</a:t>
          </a:r>
          <a:r>
            <a:rPr lang="en-US" sz="1100" b="1" i="1" baseline="0"/>
            <a:t> </a:t>
          </a:r>
        </a:p>
        <a:p>
          <a:r>
            <a:rPr lang="en-US" sz="1100" b="0" i="0" baseline="0"/>
            <a:t>This account provides the means for accumulating and restricting fund balance for the future payment of contractual obligations incurred and carried in the Schedule of Long-Term Debt. The balance of this account represents a restriction of both fund cash and fund balance.</a:t>
          </a:r>
        </a:p>
        <a:p>
          <a:endParaRPr lang="en-US" sz="1100" b="0" i="0" baseline="0"/>
        </a:p>
        <a:p>
          <a:pPr algn="ctr"/>
          <a:r>
            <a:rPr lang="en-US" sz="1100" b="0" i="1" baseline="0"/>
            <a:t>Instructions for this sheet</a:t>
          </a:r>
        </a:p>
        <a:p>
          <a:pPr algn="l"/>
          <a:r>
            <a:rPr lang="en-US" sz="1100" b="0" i="0" baseline="0"/>
            <a:t>Space is provided in rows 7-26 for any amounts that are being restricted for debt service payments in funds other than the Debt Service Fund. The extra space is provided in the event of multiple restrictions that the district wants to track separately.</a:t>
          </a:r>
        </a:p>
        <a:p>
          <a:pPr algn="l"/>
          <a:endParaRPr lang="en-US" sz="1100" b="0" i="0" baseline="0"/>
        </a:p>
        <a:p>
          <a:pPr algn="l"/>
          <a:r>
            <a:rPr lang="en-US" sz="1100" b="0" i="0" baseline="0"/>
            <a:t>There is a column for the Debt Service Fund as well, but there is no entry for the DSF. Aside from money needed for arbitrage rebate or any fund balance amounts that are derived from state forest revenues, the residual should go into this account. No entry is necessary.</a:t>
          </a:r>
          <a:endParaRPr lang="en-US" sz="1100" b="0" i="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0</xdr:row>
      <xdr:rowOff>0</xdr:rowOff>
    </xdr:from>
    <xdr:to>
      <xdr:col>14</xdr:col>
      <xdr:colOff>0</xdr:colOff>
      <xdr:row>8</xdr:row>
      <xdr:rowOff>180974</xdr:rowOff>
    </xdr:to>
    <xdr:sp macro="" textlink="">
      <xdr:nvSpPr>
        <xdr:cNvPr id="2" name="TextBox 1" title="gl 835 guidance">
          <a:extLst>
            <a:ext uri="{FF2B5EF4-FFF2-40B4-BE49-F238E27FC236}">
              <a16:creationId xmlns:a16="http://schemas.microsoft.com/office/drawing/2014/main" id="{00000000-0008-0000-0F00-000002000000}"/>
            </a:ext>
          </a:extLst>
        </xdr:cNvPr>
        <xdr:cNvSpPr txBox="1"/>
      </xdr:nvSpPr>
      <xdr:spPr>
        <a:xfrm>
          <a:off x="8877300" y="0"/>
          <a:ext cx="3657600" cy="1704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a:t>GL 835 Restricted for Arbitrage</a:t>
          </a:r>
          <a:r>
            <a:rPr lang="en-US" sz="1100" b="1" i="1" u="none" baseline="0"/>
            <a:t> Rebate</a:t>
          </a:r>
        </a:p>
        <a:p>
          <a:r>
            <a:rPr lang="en-US" sz="1100" b="0" i="0" u="none" baseline="0"/>
            <a:t>The purpose of this account is to show a restriction on fund balance for the amount of arbitrage rebate payable to the IRS more than one year in the future.</a:t>
          </a:r>
        </a:p>
        <a:p>
          <a:endParaRPr lang="en-US" sz="1100" b="0" i="0" u="none" baseline="0"/>
        </a:p>
        <a:p>
          <a:pPr algn="ctr"/>
          <a:r>
            <a:rPr lang="en-US" sz="1100" b="0" i="1" u="none" baseline="0"/>
            <a:t>Instructions for this sheet</a:t>
          </a:r>
        </a:p>
        <a:p>
          <a:pPr algn="l"/>
          <a:r>
            <a:rPr lang="en-US" sz="1100" b="0" i="0" u="none" baseline="0"/>
            <a:t>If the district owes (or expects to owe) arbitrage rebate that is due more than one year in the future, enter the amount in the appropriate fund column of the amount that is owed.</a:t>
          </a:r>
          <a:endParaRPr lang="en-US" sz="1100" b="0" i="0" u="non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ul.Stone@k12.wa.u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K32"/>
  <sheetViews>
    <sheetView workbookViewId="0">
      <selection activeCell="E4" sqref="E4"/>
    </sheetView>
  </sheetViews>
  <sheetFormatPr defaultRowHeight="14.4"/>
  <cols>
    <col min="1" max="1" width="4.5546875" customWidth="1"/>
    <col min="2" max="2" width="94.6640625" customWidth="1"/>
  </cols>
  <sheetData>
    <row r="1" spans="2:11" ht="45.6" customHeight="1" thickBot="1">
      <c r="B1" s="186" t="s">
        <v>2682</v>
      </c>
    </row>
    <row r="2" spans="2:11" ht="21.6" thickBot="1">
      <c r="B2" s="189" t="s">
        <v>1523</v>
      </c>
      <c r="C2" s="107"/>
      <c r="D2" s="107"/>
      <c r="E2" s="107"/>
      <c r="G2" s="107"/>
      <c r="H2" s="107"/>
      <c r="I2" s="107"/>
      <c r="J2" s="107"/>
      <c r="K2" s="107"/>
    </row>
    <row r="3" spans="2:11" ht="31.2">
      <c r="B3" s="190" t="s">
        <v>2518</v>
      </c>
    </row>
    <row r="4" spans="2:11" ht="31.2">
      <c r="B4" s="190" t="s">
        <v>2627</v>
      </c>
    </row>
    <row r="5" spans="2:11" ht="36" customHeight="1">
      <c r="B5" s="190" t="s">
        <v>2634</v>
      </c>
    </row>
    <row r="6" spans="2:11" ht="16.2" customHeight="1">
      <c r="B6" s="191" t="s">
        <v>1527</v>
      </c>
    </row>
    <row r="7" spans="2:11" ht="36.75" customHeight="1">
      <c r="B7" s="187" t="s">
        <v>2635</v>
      </c>
    </row>
    <row r="8" spans="2:11" ht="36.75" customHeight="1">
      <c r="B8" s="190" t="s">
        <v>2628</v>
      </c>
    </row>
    <row r="9" spans="2:11" ht="36.75" customHeight="1">
      <c r="B9" s="191" t="s">
        <v>1526</v>
      </c>
    </row>
    <row r="10" spans="2:11" ht="26.25" customHeight="1">
      <c r="B10" s="188" t="s">
        <v>798</v>
      </c>
    </row>
    <row r="11" spans="2:11" ht="18">
      <c r="B11" s="187" t="s">
        <v>2636</v>
      </c>
    </row>
    <row r="12" spans="2:11" ht="15.6">
      <c r="B12" s="187" t="s">
        <v>1188</v>
      </c>
    </row>
    <row r="13" spans="2:11" ht="15.6">
      <c r="B13" s="243" t="s">
        <v>2066</v>
      </c>
    </row>
    <row r="14" spans="2:11" ht="15.6">
      <c r="B14" s="243" t="s">
        <v>2067</v>
      </c>
    </row>
    <row r="15" spans="2:11" ht="21" customHeight="1" thickBot="1">
      <c r="B15" s="190" t="s">
        <v>2626</v>
      </c>
    </row>
    <row r="16" spans="2:11" ht="21" customHeight="1">
      <c r="B16" s="244" t="s">
        <v>1621</v>
      </c>
    </row>
    <row r="17" spans="2:2" ht="21" customHeight="1">
      <c r="B17" s="245" t="s">
        <v>1562</v>
      </c>
    </row>
    <row r="18" spans="2:2" ht="15.6">
      <c r="B18" s="246" t="s">
        <v>1563</v>
      </c>
    </row>
    <row r="19" spans="2:2" ht="31.2">
      <c r="B19" s="247" t="s">
        <v>2043</v>
      </c>
    </row>
    <row r="20" spans="2:2" ht="15.6">
      <c r="B20" s="247" t="s">
        <v>1564</v>
      </c>
    </row>
    <row r="21" spans="2:2" ht="15.6">
      <c r="B21" s="248" t="s">
        <v>1565</v>
      </c>
    </row>
    <row r="22" spans="2:2" ht="51" customHeight="1" thickBot="1">
      <c r="B22" s="249" t="s">
        <v>2630</v>
      </c>
    </row>
    <row r="23" spans="2:2" ht="5.25" customHeight="1">
      <c r="B23" s="183"/>
    </row>
    <row r="24" spans="2:2" ht="19.8" customHeight="1">
      <c r="B24" s="184" t="s">
        <v>1524</v>
      </c>
    </row>
    <row r="25" spans="2:2" ht="41.4" customHeight="1">
      <c r="B25" s="185" t="s">
        <v>1598</v>
      </c>
    </row>
    <row r="26" spans="2:2" ht="39" customHeight="1">
      <c r="B26" s="186" t="s">
        <v>2682</v>
      </c>
    </row>
    <row r="27" spans="2:2" ht="19.8" customHeight="1">
      <c r="B27" s="618" t="s">
        <v>2625</v>
      </c>
    </row>
    <row r="28" spans="2:2" ht="16.5" customHeight="1">
      <c r="B28" s="619" t="s">
        <v>2624</v>
      </c>
    </row>
    <row r="29" spans="2:2" ht="16.5" customHeight="1">
      <c r="B29" s="6"/>
    </row>
    <row r="31" spans="2:2" ht="15" customHeight="1"/>
    <row r="32" spans="2:2" ht="15" customHeight="1"/>
  </sheetData>
  <hyperlinks>
    <hyperlink ref="B28" r:id="rId1" xr:uid="{4AF45D09-6EF2-450F-A73E-0D72857451F4}"/>
  </hyperlinks>
  <pageMargins left="0.7" right="0.45" top="0.65" bottom="0.3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1A3E-6B40-42DE-9CBD-848630BE634C}">
  <sheetPr>
    <tabColor rgb="FF66FF33"/>
  </sheetPr>
  <dimension ref="A1:BD342"/>
  <sheetViews>
    <sheetView zoomScale="80" zoomScaleNormal="80" workbookViewId="0">
      <pane xSplit="3" ySplit="7" topLeftCell="AG312" activePane="bottomRight" state="frozen"/>
      <selection pane="topRight" activeCell="D1" sqref="D1"/>
      <selection pane="bottomLeft" activeCell="A8" sqref="A8"/>
      <selection pane="bottomRight" activeCell="B3" sqref="B3"/>
    </sheetView>
  </sheetViews>
  <sheetFormatPr defaultColWidth="8.88671875" defaultRowHeight="14.4"/>
  <cols>
    <col min="1" max="1" width="8.88671875" style="165"/>
    <col min="2" max="2" width="9" style="165" bestFit="1" customWidth="1"/>
    <col min="3" max="3" width="51.5546875" style="165" bestFit="1" customWidth="1"/>
    <col min="4" max="4" width="13.21875" style="165" bestFit="1" customWidth="1"/>
    <col min="5" max="5" width="11.88671875" style="165" bestFit="1" customWidth="1"/>
    <col min="6" max="6" width="13.5546875" style="165" bestFit="1" customWidth="1"/>
    <col min="7" max="7" width="13.44140625" style="165" bestFit="1" customWidth="1"/>
    <col min="8" max="8" width="13.21875" style="165" bestFit="1" customWidth="1"/>
    <col min="9" max="9" width="13" style="165" bestFit="1" customWidth="1"/>
    <col min="10" max="10" width="13.5546875" style="165" bestFit="1" customWidth="1"/>
    <col min="11" max="11" width="13.44140625" style="165" bestFit="1" customWidth="1"/>
    <col min="12" max="12" width="13.88671875" style="165" bestFit="1" customWidth="1"/>
    <col min="13" max="13" width="13" style="165" bestFit="1" customWidth="1"/>
    <col min="14" max="14" width="13.5546875" style="165" bestFit="1" customWidth="1"/>
    <col min="15" max="15" width="13.44140625" style="165" bestFit="1" customWidth="1"/>
    <col min="16" max="16" width="13.88671875" style="165" bestFit="1" customWidth="1"/>
    <col min="17" max="17" width="13" style="165" bestFit="1" customWidth="1"/>
    <col min="18" max="18" width="13.5546875" style="165" bestFit="1" customWidth="1"/>
    <col min="19" max="19" width="13.44140625" bestFit="1" customWidth="1"/>
    <col min="20" max="20" width="13.88671875" bestFit="1" customWidth="1"/>
    <col min="21" max="21" width="14" customWidth="1"/>
    <col min="22" max="22" width="13.5546875" bestFit="1" customWidth="1"/>
    <col min="23" max="23" width="13.44140625" bestFit="1" customWidth="1"/>
    <col min="24" max="24" width="13.21875" bestFit="1" customWidth="1"/>
    <col min="25" max="25" width="13" bestFit="1" customWidth="1"/>
    <col min="26" max="28" width="14.44140625" customWidth="1"/>
    <col min="29" max="29" width="13" bestFit="1" customWidth="1"/>
    <col min="30" max="30" width="14.44140625" customWidth="1"/>
    <col min="31" max="31" width="6.44140625" customWidth="1"/>
    <col min="32" max="32" width="6.33203125" customWidth="1"/>
    <col min="33" max="33" width="14.44140625" style="165" customWidth="1"/>
    <col min="34" max="34" width="57.21875" style="165" bestFit="1" customWidth="1"/>
    <col min="35" max="35" width="15.33203125" style="165" bestFit="1" customWidth="1"/>
    <col min="36" max="39" width="15.33203125" style="165" customWidth="1"/>
    <col min="40" max="41" width="13.21875" style="165" bestFit="1" customWidth="1"/>
    <col min="42" max="42" width="11.6640625" style="165" bestFit="1" customWidth="1"/>
    <col min="43" max="44" width="14.44140625" style="165" bestFit="1" customWidth="1"/>
    <col min="45" max="45" width="15.77734375" style="165" bestFit="1" customWidth="1"/>
    <col min="46" max="46" width="2.44140625" style="165" customWidth="1"/>
    <col min="47" max="47" width="2.109375" style="165" customWidth="1"/>
    <col min="48" max="48" width="8.88671875" style="165"/>
    <col min="49" max="49" width="13.44140625" style="165" bestFit="1" customWidth="1"/>
    <col min="50" max="54" width="8.88671875" style="165"/>
    <col min="55" max="55" width="29.5546875" style="165" customWidth="1"/>
    <col min="56" max="56" width="15.77734375" style="165" bestFit="1" customWidth="1"/>
    <col min="57" max="16384" width="8.88671875" style="165"/>
  </cols>
  <sheetData>
    <row r="1" spans="1:56">
      <c r="D1" s="165" t="s">
        <v>2033</v>
      </c>
      <c r="H1" s="165" t="s">
        <v>2029</v>
      </c>
      <c r="L1" s="165" t="s">
        <v>2030</v>
      </c>
      <c r="P1" s="165" t="s">
        <v>2060</v>
      </c>
      <c r="R1"/>
      <c r="T1" s="165" t="s">
        <v>2390</v>
      </c>
      <c r="U1" s="165"/>
      <c r="X1" s="646" t="s">
        <v>2459</v>
      </c>
      <c r="Y1" s="647"/>
      <c r="AB1" s="165" t="s">
        <v>2575</v>
      </c>
      <c r="AC1" s="165"/>
      <c r="AE1" s="530"/>
      <c r="AG1" s="532"/>
      <c r="AH1" s="533"/>
      <c r="AI1" s="533"/>
      <c r="AJ1" s="533"/>
      <c r="AK1" s="533"/>
      <c r="AL1" s="533"/>
      <c r="AM1" s="533"/>
      <c r="AN1" s="533"/>
      <c r="AO1" s="533"/>
      <c r="AP1" s="533"/>
      <c r="AQ1" s="533"/>
      <c r="AR1" s="533"/>
      <c r="AS1" s="534"/>
      <c r="AW1" s="385"/>
    </row>
    <row r="2" spans="1:56">
      <c r="B2" s="164">
        <v>1</v>
      </c>
      <c r="C2" s="164">
        <v>2</v>
      </c>
      <c r="D2" s="176">
        <v>42</v>
      </c>
      <c r="E2" s="176">
        <v>43</v>
      </c>
      <c r="H2" s="176">
        <v>42</v>
      </c>
      <c r="I2" s="176">
        <v>43</v>
      </c>
      <c r="L2" s="176">
        <v>42</v>
      </c>
      <c r="M2" s="176">
        <v>43</v>
      </c>
      <c r="P2" s="176">
        <v>42</v>
      </c>
      <c r="Q2" s="176">
        <v>43</v>
      </c>
      <c r="R2"/>
      <c r="T2" s="176">
        <v>42</v>
      </c>
      <c r="U2" s="176">
        <v>43</v>
      </c>
      <c r="X2" s="648">
        <v>42</v>
      </c>
      <c r="Y2" s="649">
        <v>43</v>
      </c>
      <c r="AB2" s="645">
        <v>42</v>
      </c>
      <c r="AC2" s="645">
        <v>43</v>
      </c>
      <c r="AE2" s="530"/>
      <c r="AG2" s="535"/>
      <c r="AS2" s="536"/>
      <c r="AW2" s="176">
        <v>43</v>
      </c>
    </row>
    <row r="3" spans="1:56">
      <c r="B3" s="166"/>
      <c r="C3" s="166"/>
      <c r="D3" s="177" t="s">
        <v>1616</v>
      </c>
      <c r="E3" s="177" t="s">
        <v>1616</v>
      </c>
      <c r="G3" s="167" t="s">
        <v>1661</v>
      </c>
      <c r="H3" s="177" t="s">
        <v>1616</v>
      </c>
      <c r="I3" s="177" t="s">
        <v>1616</v>
      </c>
      <c r="L3" s="177" t="s">
        <v>1616</v>
      </c>
      <c r="M3" s="177" t="s">
        <v>1616</v>
      </c>
      <c r="P3" s="177" t="s">
        <v>1616</v>
      </c>
      <c r="Q3" s="177" t="s">
        <v>1616</v>
      </c>
      <c r="R3"/>
      <c r="T3" s="177" t="s">
        <v>1616</v>
      </c>
      <c r="U3" s="177" t="s">
        <v>1616</v>
      </c>
      <c r="X3" s="650" t="s">
        <v>1616</v>
      </c>
      <c r="Y3" s="651" t="s">
        <v>1616</v>
      </c>
      <c r="AB3" s="167" t="s">
        <v>1616</v>
      </c>
      <c r="AC3" s="167" t="s">
        <v>1616</v>
      </c>
      <c r="AE3" s="530"/>
      <c r="AG3" s="535"/>
      <c r="AS3" s="536"/>
      <c r="AW3" s="177" t="s">
        <v>1616</v>
      </c>
    </row>
    <row r="4" spans="1:56">
      <c r="B4" s="166"/>
      <c r="C4" s="166"/>
      <c r="D4" s="177"/>
      <c r="E4" s="177"/>
      <c r="G4" s="167"/>
      <c r="H4" s="177"/>
      <c r="I4" s="177"/>
      <c r="L4" s="177"/>
      <c r="M4" s="177"/>
      <c r="P4" s="177"/>
      <c r="Q4" s="177"/>
      <c r="R4"/>
      <c r="T4" s="177"/>
      <c r="U4" s="177"/>
      <c r="X4" s="650"/>
      <c r="Y4" s="651"/>
      <c r="AB4" s="167"/>
      <c r="AC4" s="167"/>
      <c r="AE4" s="530"/>
      <c r="AG4" s="535"/>
      <c r="AI4" s="165" t="s">
        <v>2495</v>
      </c>
      <c r="AS4" s="536"/>
      <c r="AW4" s="177"/>
    </row>
    <row r="5" spans="1:56" ht="28.8">
      <c r="B5" s="73"/>
      <c r="C5" s="73"/>
      <c r="D5" s="239" t="s">
        <v>1615</v>
      </c>
      <c r="E5" s="239" t="s">
        <v>1620</v>
      </c>
      <c r="F5" s="239" t="s">
        <v>1620</v>
      </c>
      <c r="G5" s="239" t="s">
        <v>1620</v>
      </c>
      <c r="H5" s="239" t="s">
        <v>1620</v>
      </c>
      <c r="I5" s="239" t="s">
        <v>1659</v>
      </c>
      <c r="J5" s="239" t="s">
        <v>1659</v>
      </c>
      <c r="K5" s="239" t="s">
        <v>1708</v>
      </c>
      <c r="L5" s="239" t="s">
        <v>1699</v>
      </c>
      <c r="M5" s="239" t="s">
        <v>1700</v>
      </c>
      <c r="N5" s="239" t="s">
        <v>2032</v>
      </c>
      <c r="O5" s="239" t="s">
        <v>2059</v>
      </c>
      <c r="P5" s="239" t="s">
        <v>2062</v>
      </c>
      <c r="Q5" s="239" t="s">
        <v>2061</v>
      </c>
      <c r="R5" s="239" t="s">
        <v>2062</v>
      </c>
      <c r="S5" s="239" t="s">
        <v>2062</v>
      </c>
      <c r="T5" s="239" t="s">
        <v>2391</v>
      </c>
      <c r="U5" s="239" t="s">
        <v>2392</v>
      </c>
      <c r="V5" s="239" t="s">
        <v>2391</v>
      </c>
      <c r="W5" s="239" t="s">
        <v>2391</v>
      </c>
      <c r="X5" s="652" t="s">
        <v>2460</v>
      </c>
      <c r="Y5" s="653" t="s">
        <v>2461</v>
      </c>
      <c r="Z5" s="239" t="s">
        <v>2460</v>
      </c>
      <c r="AA5" s="239" t="s">
        <v>2675</v>
      </c>
      <c r="AB5" s="239" t="s">
        <v>2573</v>
      </c>
      <c r="AC5" s="239" t="s">
        <v>2574</v>
      </c>
      <c r="AE5" s="530"/>
      <c r="AG5"/>
      <c r="AH5" t="s">
        <v>2677</v>
      </c>
      <c r="AI5"/>
      <c r="AJ5"/>
      <c r="AK5"/>
      <c r="AL5"/>
      <c r="AM5"/>
      <c r="AN5"/>
      <c r="AO5"/>
      <c r="AP5"/>
      <c r="AQ5"/>
      <c r="AR5"/>
      <c r="AS5"/>
      <c r="AT5"/>
      <c r="AU5"/>
      <c r="AV5"/>
      <c r="AW5" s="239" t="s">
        <v>2461</v>
      </c>
      <c r="BA5"/>
      <c r="BB5"/>
      <c r="BC5"/>
      <c r="BD5" s="239" t="s">
        <v>2391</v>
      </c>
    </row>
    <row r="6" spans="1:56" ht="43.2">
      <c r="B6" s="73"/>
      <c r="C6" s="73"/>
      <c r="D6" s="240" t="s">
        <v>64</v>
      </c>
      <c r="E6" s="167" t="s">
        <v>1613</v>
      </c>
      <c r="F6" s="204" t="s">
        <v>1658</v>
      </c>
      <c r="G6" s="181" t="s">
        <v>57</v>
      </c>
      <c r="H6" s="240" t="s">
        <v>64</v>
      </c>
      <c r="I6" s="167" t="s">
        <v>1613</v>
      </c>
      <c r="J6" s="204" t="s">
        <v>1658</v>
      </c>
      <c r="K6" s="181" t="s">
        <v>57</v>
      </c>
      <c r="L6" s="167" t="s">
        <v>64</v>
      </c>
      <c r="M6" s="167" t="s">
        <v>1613</v>
      </c>
      <c r="N6" s="204" t="s">
        <v>1658</v>
      </c>
      <c r="O6" s="181" t="s">
        <v>57</v>
      </c>
      <c r="P6" s="167" t="s">
        <v>64</v>
      </c>
      <c r="Q6" s="167" t="s">
        <v>1613</v>
      </c>
      <c r="R6" s="204" t="s">
        <v>1658</v>
      </c>
      <c r="S6" s="181" t="s">
        <v>57</v>
      </c>
      <c r="T6" s="167" t="s">
        <v>64</v>
      </c>
      <c r="U6" s="167" t="s">
        <v>1613</v>
      </c>
      <c r="V6" s="204" t="s">
        <v>1658</v>
      </c>
      <c r="W6" s="181" t="s">
        <v>57</v>
      </c>
      <c r="X6" s="654" t="s">
        <v>64</v>
      </c>
      <c r="Y6" s="655" t="s">
        <v>1613</v>
      </c>
      <c r="Z6" s="204" t="s">
        <v>1658</v>
      </c>
      <c r="AA6" s="181" t="s">
        <v>57</v>
      </c>
      <c r="AB6" s="167" t="s">
        <v>64</v>
      </c>
      <c r="AC6" s="167" t="s">
        <v>1613</v>
      </c>
      <c r="AE6" s="530"/>
      <c r="AG6" t="s">
        <v>79</v>
      </c>
      <c r="AH6" t="s">
        <v>2449</v>
      </c>
      <c r="AI6" s="426" t="s">
        <v>2038</v>
      </c>
      <c r="AJ6" s="426" t="s">
        <v>2678</v>
      </c>
      <c r="AK6" s="426" t="s">
        <v>2679</v>
      </c>
      <c r="AL6" s="426" t="s">
        <v>2680</v>
      </c>
      <c r="AM6" s="426" t="s">
        <v>2037</v>
      </c>
      <c r="AN6" s="426" t="s">
        <v>2034</v>
      </c>
      <c r="AO6" s="426" t="s">
        <v>2450</v>
      </c>
      <c r="AP6" s="426" t="s">
        <v>2035</v>
      </c>
      <c r="AQ6" s="426" t="s">
        <v>2036</v>
      </c>
      <c r="AR6" s="426" t="s">
        <v>2681</v>
      </c>
      <c r="AS6" s="426" t="s">
        <v>1717</v>
      </c>
      <c r="AT6"/>
      <c r="AU6"/>
      <c r="AV6"/>
      <c r="AW6" s="167" t="s">
        <v>1613</v>
      </c>
      <c r="BA6"/>
      <c r="BB6"/>
      <c r="BC6"/>
      <c r="BD6" s="181" t="s">
        <v>57</v>
      </c>
    </row>
    <row r="7" spans="1:56">
      <c r="B7" s="73" t="s">
        <v>758</v>
      </c>
      <c r="C7" s="73" t="s">
        <v>759</v>
      </c>
      <c r="D7" s="168">
        <v>4431745.6099999975</v>
      </c>
      <c r="E7" s="169">
        <f t="shared" ref="E7:AC7" si="0">SUM(E8:E337)</f>
        <v>75279599.129999995</v>
      </c>
      <c r="F7" s="169">
        <f t="shared" si="0"/>
        <v>79711344.73999998</v>
      </c>
      <c r="G7" s="169">
        <f t="shared" si="0"/>
        <v>71820404.569999948</v>
      </c>
      <c r="H7" s="169">
        <f t="shared" si="0"/>
        <v>11041926.849999992</v>
      </c>
      <c r="I7" s="169">
        <f t="shared" si="0"/>
        <v>106014026.81</v>
      </c>
      <c r="J7" s="169">
        <f t="shared" si="0"/>
        <v>117055953.66000012</v>
      </c>
      <c r="K7" s="169">
        <f t="shared" si="0"/>
        <v>109592989.97</v>
      </c>
      <c r="L7" s="169">
        <f t="shared" si="0"/>
        <v>14991267.160000002</v>
      </c>
      <c r="M7" s="169">
        <f t="shared" si="0"/>
        <v>106452800.05999988</v>
      </c>
      <c r="N7" s="169">
        <f t="shared" si="0"/>
        <v>121444067.21999998</v>
      </c>
      <c r="O7" s="169">
        <f t="shared" si="0"/>
        <v>109743039.62000006</v>
      </c>
      <c r="P7" s="199">
        <f t="shared" si="0"/>
        <v>21144053.22000001</v>
      </c>
      <c r="Q7" s="199">
        <f t="shared" si="0"/>
        <v>116400033.95</v>
      </c>
      <c r="R7" s="169">
        <f t="shared" si="0"/>
        <v>137544087.17000005</v>
      </c>
      <c r="S7" s="169">
        <f t="shared" si="0"/>
        <v>126228176.38000001</v>
      </c>
      <c r="T7" s="199">
        <f t="shared" si="0"/>
        <v>21535207.190000005</v>
      </c>
      <c r="U7" s="199">
        <f t="shared" si="0"/>
        <v>120122154.09000002</v>
      </c>
      <c r="V7" s="169">
        <f t="shared" si="0"/>
        <v>141592269.56999996</v>
      </c>
      <c r="W7" s="528">
        <f t="shared" si="0"/>
        <v>124836106.96999998</v>
      </c>
      <c r="X7" s="656">
        <f t="shared" si="0"/>
        <v>25735023.280000001</v>
      </c>
      <c r="Y7" s="657">
        <f t="shared" si="0"/>
        <v>127573648.14000006</v>
      </c>
      <c r="Z7" s="169">
        <f t="shared" si="0"/>
        <v>153226662.17000005</v>
      </c>
      <c r="AA7" s="528">
        <f t="shared" si="0"/>
        <v>0</v>
      </c>
      <c r="AB7" s="199">
        <f t="shared" si="0"/>
        <v>153226662.17000005</v>
      </c>
      <c r="AC7" s="199">
        <f t="shared" si="0"/>
        <v>0</v>
      </c>
      <c r="AE7" s="530"/>
      <c r="AG7"/>
      <c r="AH7" t="s">
        <v>2451</v>
      </c>
      <c r="AI7" s="199">
        <v>88854096.679999992</v>
      </c>
      <c r="AJ7" s="199">
        <v>6004575.3199999966</v>
      </c>
      <c r="AK7" s="199">
        <v>1285838.2700000005</v>
      </c>
      <c r="AL7" s="199">
        <v>753255.42999999993</v>
      </c>
      <c r="AM7" s="199">
        <v>17309650.489999998</v>
      </c>
      <c r="AN7" s="199">
        <v>5397556.580000001</v>
      </c>
      <c r="AO7" s="199">
        <v>2311167.4699999983</v>
      </c>
      <c r="AP7" s="199">
        <v>4269348.54</v>
      </c>
      <c r="AQ7" s="199">
        <v>509218.85000000021</v>
      </c>
      <c r="AR7" s="199">
        <v>878940.50999999978</v>
      </c>
      <c r="AS7" s="199">
        <v>127573648.13999999</v>
      </c>
      <c r="AT7" s="225"/>
      <c r="AU7" s="225"/>
      <c r="AV7" s="225"/>
      <c r="AW7" s="384">
        <f>SUM(AW8:AW338)</f>
        <v>127573648.14000006</v>
      </c>
      <c r="BA7"/>
      <c r="BB7"/>
      <c r="BC7"/>
      <c r="BD7" s="529">
        <f>SUM(BD8:BD337)</f>
        <v>124836106.96999998</v>
      </c>
    </row>
    <row r="8" spans="1:56">
      <c r="A8" s="197">
        <v>1</v>
      </c>
      <c r="B8" s="73" t="s">
        <v>297</v>
      </c>
      <c r="C8" s="73" t="s">
        <v>1200</v>
      </c>
      <c r="D8" s="168">
        <v>9625.910000000018</v>
      </c>
      <c r="E8" s="170">
        <v>221517.12</v>
      </c>
      <c r="F8" s="171">
        <f t="shared" ref="F8:F39" si="1">+D8+E8</f>
        <v>231143.03000000003</v>
      </c>
      <c r="G8" s="182">
        <v>205945.92</v>
      </c>
      <c r="H8" s="179">
        <v>25197.110000000015</v>
      </c>
      <c r="I8" s="170">
        <v>302266.43</v>
      </c>
      <c r="J8" s="171">
        <f t="shared" ref="J8:J39" si="2">+H8+I8</f>
        <v>327463.54000000004</v>
      </c>
      <c r="K8" s="205">
        <v>268870.09000000003</v>
      </c>
      <c r="L8" s="171">
        <v>58593.450000000012</v>
      </c>
      <c r="M8" s="199">
        <v>305959.77</v>
      </c>
      <c r="N8" s="171">
        <f t="shared" ref="N8:N39" si="3">+L8+M8</f>
        <v>364553.22000000003</v>
      </c>
      <c r="O8" s="205">
        <v>314410.52999999997</v>
      </c>
      <c r="P8" s="241">
        <v>50142.690000000061</v>
      </c>
      <c r="Q8" s="199">
        <v>335212.83999999997</v>
      </c>
      <c r="R8" s="171">
        <f t="shared" ref="R8:R39" si="4">+P8+Q8</f>
        <v>385355.53</v>
      </c>
      <c r="S8" s="205">
        <v>410240.02000000014</v>
      </c>
      <c r="T8" s="241">
        <v>0</v>
      </c>
      <c r="U8" s="241">
        <v>340731.16</v>
      </c>
      <c r="V8" s="171">
        <f t="shared" ref="V8:V39" si="5">+T8+U8</f>
        <v>340731.16</v>
      </c>
      <c r="W8" s="56">
        <v>402872.64999999991</v>
      </c>
      <c r="X8" s="658">
        <f>IF(+V8-W8&lt;0,0,(+V8-W8))</f>
        <v>0</v>
      </c>
      <c r="Y8" s="659">
        <v>353855.61</v>
      </c>
      <c r="Z8" s="171">
        <f t="shared" ref="Z8:Z39" si="6">+X8+Y8</f>
        <v>353855.61</v>
      </c>
      <c r="AA8" s="56"/>
      <c r="AB8" s="241">
        <f>IF(+Z8-AA8&lt;0,0,(+Z8-AA8))</f>
        <v>353855.61</v>
      </c>
      <c r="AC8" s="241"/>
      <c r="AE8" s="531">
        <f t="shared" ref="AE8:AE71" si="7">+AG8-B8</f>
        <v>0</v>
      </c>
      <c r="AG8" t="s">
        <v>297</v>
      </c>
      <c r="AH8" t="s">
        <v>1787</v>
      </c>
      <c r="AI8" s="199">
        <v>215349.57</v>
      </c>
      <c r="AJ8" s="199">
        <v>22274.31</v>
      </c>
      <c r="AK8" s="199">
        <v>9714.19</v>
      </c>
      <c r="AL8" s="199">
        <v>6290.79</v>
      </c>
      <c r="AM8" s="199">
        <v>52064.76</v>
      </c>
      <c r="AN8" s="199">
        <v>21021.38</v>
      </c>
      <c r="AO8" s="199">
        <v>13889.67</v>
      </c>
      <c r="AP8" s="199">
        <v>11209.15</v>
      </c>
      <c r="AQ8" s="199">
        <v>1366.3</v>
      </c>
      <c r="AR8" s="199">
        <v>675.49</v>
      </c>
      <c r="AS8" s="199">
        <v>353855.61</v>
      </c>
      <c r="AT8"/>
      <c r="AU8"/>
      <c r="AV8" t="str">
        <f t="shared" ref="AV8:AV71" si="8">TEXT(AG8, "00000")</f>
        <v>14005</v>
      </c>
      <c r="AW8" s="241">
        <f t="shared" ref="AW8:AW71" si="9">AS8</f>
        <v>353855.61</v>
      </c>
      <c r="AY8" s="167">
        <f>+BB8-B8</f>
        <v>0</v>
      </c>
      <c r="BA8" s="197">
        <v>1</v>
      </c>
      <c r="BB8" s="73" t="s">
        <v>297</v>
      </c>
      <c r="BC8" s="73" t="s">
        <v>1200</v>
      </c>
      <c r="BD8" s="56">
        <v>402872.64999999991</v>
      </c>
    </row>
    <row r="9" spans="1:56">
      <c r="A9" s="197">
        <v>2</v>
      </c>
      <c r="B9" s="73" t="s">
        <v>424</v>
      </c>
      <c r="C9" s="73" t="s">
        <v>1201</v>
      </c>
      <c r="D9" s="168">
        <v>0</v>
      </c>
      <c r="E9" s="170">
        <v>39549.07</v>
      </c>
      <c r="F9" s="171">
        <f t="shared" si="1"/>
        <v>39549.07</v>
      </c>
      <c r="G9" s="182">
        <v>35521.78</v>
      </c>
      <c r="H9" s="179">
        <v>4027.2900000000009</v>
      </c>
      <c r="I9" s="170">
        <v>54665.869999999995</v>
      </c>
      <c r="J9" s="171">
        <f t="shared" si="2"/>
        <v>58693.159999999996</v>
      </c>
      <c r="K9" s="205">
        <v>65238.89</v>
      </c>
      <c r="L9" s="171">
        <v>0</v>
      </c>
      <c r="M9" s="199">
        <v>58486.439999999995</v>
      </c>
      <c r="N9" s="171">
        <f t="shared" si="3"/>
        <v>58486.439999999995</v>
      </c>
      <c r="O9" s="205">
        <v>63104.67</v>
      </c>
      <c r="P9" s="241">
        <v>0</v>
      </c>
      <c r="Q9" s="199">
        <v>64225.45</v>
      </c>
      <c r="R9" s="171">
        <f t="shared" si="4"/>
        <v>64225.45</v>
      </c>
      <c r="S9" s="205">
        <v>58203.87</v>
      </c>
      <c r="T9" s="241">
        <v>6021.5799999999945</v>
      </c>
      <c r="U9" s="241">
        <v>63495.859999999993</v>
      </c>
      <c r="V9" s="171">
        <f t="shared" si="5"/>
        <v>69517.439999999988</v>
      </c>
      <c r="W9" s="56">
        <v>60413.670000000006</v>
      </c>
      <c r="X9" s="658">
        <f t="shared" ref="X9:X72" si="10">IF(+V9-W9&lt;0,0,(+V9-W9))</f>
        <v>9103.7699999999822</v>
      </c>
      <c r="Y9" s="659">
        <v>66264.62</v>
      </c>
      <c r="Z9" s="171">
        <f t="shared" si="6"/>
        <v>75368.389999999985</v>
      </c>
      <c r="AA9" s="56"/>
      <c r="AB9" s="241">
        <f t="shared" ref="AB9:AB72" si="11">IF(+Z9-AA9&lt;0,0,(+Z9-AA9))</f>
        <v>75368.389999999985</v>
      </c>
      <c r="AC9" s="241"/>
      <c r="AE9" s="531">
        <f t="shared" si="7"/>
        <v>0</v>
      </c>
      <c r="AG9" t="s">
        <v>424</v>
      </c>
      <c r="AH9" t="s">
        <v>1854</v>
      </c>
      <c r="AI9" s="199">
        <v>50567.95</v>
      </c>
      <c r="AJ9" s="199">
        <v>5868.58</v>
      </c>
      <c r="AK9" s="199">
        <v>887.29</v>
      </c>
      <c r="AL9" s="199">
        <v>0</v>
      </c>
      <c r="AM9" s="199">
        <v>6903.36</v>
      </c>
      <c r="AN9" s="199">
        <v>1752.29</v>
      </c>
      <c r="AO9" s="199">
        <v>0</v>
      </c>
      <c r="AP9" s="199">
        <v>0</v>
      </c>
      <c r="AQ9" s="199">
        <v>285.14999999999998</v>
      </c>
      <c r="AR9" s="199">
        <v>0</v>
      </c>
      <c r="AS9" s="199">
        <v>66264.62</v>
      </c>
      <c r="AT9"/>
      <c r="AU9"/>
      <c r="AV9" t="str">
        <f t="shared" si="8"/>
        <v>21226</v>
      </c>
      <c r="AW9" s="241">
        <f t="shared" si="9"/>
        <v>66264.62</v>
      </c>
      <c r="AY9" s="167">
        <f t="shared" ref="AY9:AY72" si="12">+BB9-B9</f>
        <v>0</v>
      </c>
      <c r="BA9" s="197">
        <v>2</v>
      </c>
      <c r="BB9" s="73" t="s">
        <v>424</v>
      </c>
      <c r="BC9" s="73" t="s">
        <v>1201</v>
      </c>
      <c r="BD9" s="56">
        <v>60413.670000000006</v>
      </c>
    </row>
    <row r="10" spans="1:56">
      <c r="A10" s="197">
        <v>3</v>
      </c>
      <c r="B10" s="73" t="s">
        <v>446</v>
      </c>
      <c r="C10" s="73" t="s">
        <v>1202</v>
      </c>
      <c r="D10" s="168">
        <v>0</v>
      </c>
      <c r="E10" s="170">
        <v>13204.449999999999</v>
      </c>
      <c r="F10" s="171">
        <f t="shared" si="1"/>
        <v>13204.449999999999</v>
      </c>
      <c r="G10" s="182">
        <v>2509.5500000000002</v>
      </c>
      <c r="H10" s="179">
        <v>10694.899999999998</v>
      </c>
      <c r="I10" s="170">
        <v>20031.070000000003</v>
      </c>
      <c r="J10" s="171">
        <f t="shared" si="2"/>
        <v>30725.97</v>
      </c>
      <c r="K10" s="205">
        <v>3893.6</v>
      </c>
      <c r="L10" s="171">
        <v>26832.370000000003</v>
      </c>
      <c r="M10" s="199">
        <v>21333.45</v>
      </c>
      <c r="N10" s="171">
        <f t="shared" si="3"/>
        <v>48165.820000000007</v>
      </c>
      <c r="O10" s="205">
        <v>894.51</v>
      </c>
      <c r="P10" s="241">
        <v>47271.310000000005</v>
      </c>
      <c r="Q10" s="199">
        <v>22579.13</v>
      </c>
      <c r="R10" s="171">
        <f t="shared" si="4"/>
        <v>69850.44</v>
      </c>
      <c r="S10" s="205">
        <v>13370.42</v>
      </c>
      <c r="T10" s="241">
        <v>56480.020000000004</v>
      </c>
      <c r="U10" s="241">
        <v>22305.48</v>
      </c>
      <c r="V10" s="171">
        <f t="shared" si="5"/>
        <v>78785.5</v>
      </c>
      <c r="W10" s="56">
        <v>16769.11</v>
      </c>
      <c r="X10" s="658">
        <f t="shared" si="10"/>
        <v>62016.39</v>
      </c>
      <c r="Y10" s="659">
        <v>23377.040000000001</v>
      </c>
      <c r="Z10" s="171">
        <f t="shared" si="6"/>
        <v>85393.43</v>
      </c>
      <c r="AA10" s="56"/>
      <c r="AB10" s="241">
        <f t="shared" si="11"/>
        <v>85393.43</v>
      </c>
      <c r="AC10" s="241"/>
      <c r="AE10" s="531">
        <f t="shared" si="7"/>
        <v>0</v>
      </c>
      <c r="AG10" t="s">
        <v>446</v>
      </c>
      <c r="AH10" t="s">
        <v>1865</v>
      </c>
      <c r="AI10" s="199">
        <v>21189.81</v>
      </c>
      <c r="AJ10" s="199">
        <v>518.25</v>
      </c>
      <c r="AK10" s="199">
        <v>26.3</v>
      </c>
      <c r="AL10" s="199">
        <v>0</v>
      </c>
      <c r="AM10" s="199">
        <v>1166.18</v>
      </c>
      <c r="AN10" s="199">
        <v>428.54</v>
      </c>
      <c r="AO10" s="199">
        <v>0</v>
      </c>
      <c r="AP10" s="199">
        <v>0</v>
      </c>
      <c r="AQ10" s="199">
        <v>47.96</v>
      </c>
      <c r="AR10" s="199">
        <v>0</v>
      </c>
      <c r="AS10" s="199">
        <v>23377.040000000001</v>
      </c>
      <c r="AT10"/>
      <c r="AU10"/>
      <c r="AV10" t="str">
        <f t="shared" si="8"/>
        <v>22017</v>
      </c>
      <c r="AW10" s="241">
        <f t="shared" si="9"/>
        <v>23377.040000000001</v>
      </c>
      <c r="AY10" s="167">
        <f t="shared" si="12"/>
        <v>0</v>
      </c>
      <c r="BA10" s="197">
        <v>3</v>
      </c>
      <c r="BB10" s="73" t="s">
        <v>446</v>
      </c>
      <c r="BC10" s="73" t="s">
        <v>1202</v>
      </c>
      <c r="BD10" s="56">
        <v>16769.11</v>
      </c>
    </row>
    <row r="11" spans="1:56">
      <c r="A11" s="197">
        <v>4</v>
      </c>
      <c r="B11" s="73" t="s">
        <v>548</v>
      </c>
      <c r="C11" s="73" t="s">
        <v>1203</v>
      </c>
      <c r="D11" s="168">
        <v>0</v>
      </c>
      <c r="E11" s="170">
        <v>175788.77999999997</v>
      </c>
      <c r="F11" s="171">
        <f t="shared" si="1"/>
        <v>175788.77999999997</v>
      </c>
      <c r="G11" s="182">
        <v>343995.45</v>
      </c>
      <c r="H11" s="179">
        <v>0</v>
      </c>
      <c r="I11" s="170">
        <v>239784.36</v>
      </c>
      <c r="J11" s="171">
        <f t="shared" si="2"/>
        <v>239784.36</v>
      </c>
      <c r="K11" s="205">
        <v>317863.43</v>
      </c>
      <c r="L11" s="171">
        <v>0</v>
      </c>
      <c r="M11" s="199">
        <v>237721.8</v>
      </c>
      <c r="N11" s="171">
        <f t="shared" si="3"/>
        <v>237721.8</v>
      </c>
      <c r="O11" s="205">
        <v>326223.56000000006</v>
      </c>
      <c r="P11" s="241">
        <v>0</v>
      </c>
      <c r="Q11" s="199">
        <v>264780.55000000005</v>
      </c>
      <c r="R11" s="171">
        <f t="shared" si="4"/>
        <v>264780.55000000005</v>
      </c>
      <c r="S11" s="205">
        <v>349336.15</v>
      </c>
      <c r="T11" s="241">
        <v>0</v>
      </c>
      <c r="U11" s="241">
        <v>293624.25</v>
      </c>
      <c r="V11" s="171">
        <f t="shared" si="5"/>
        <v>293624.25</v>
      </c>
      <c r="W11" s="56">
        <v>347565.12000000005</v>
      </c>
      <c r="X11" s="658">
        <f t="shared" si="10"/>
        <v>0</v>
      </c>
      <c r="Y11" s="659">
        <v>307430.03999999998</v>
      </c>
      <c r="Z11" s="171">
        <f t="shared" si="6"/>
        <v>307430.03999999998</v>
      </c>
      <c r="AA11" s="56"/>
      <c r="AB11" s="241">
        <f t="shared" si="11"/>
        <v>307430.03999999998</v>
      </c>
      <c r="AC11" s="241"/>
      <c r="AE11" s="531">
        <f t="shared" si="7"/>
        <v>0</v>
      </c>
      <c r="AG11" t="s">
        <v>548</v>
      </c>
      <c r="AH11" t="s">
        <v>1915</v>
      </c>
      <c r="AI11" s="199">
        <v>236918.37</v>
      </c>
      <c r="AJ11" s="199">
        <v>10127.75</v>
      </c>
      <c r="AK11" s="199">
        <v>2734.49</v>
      </c>
      <c r="AL11" s="199">
        <v>0</v>
      </c>
      <c r="AM11" s="199">
        <v>45700.45</v>
      </c>
      <c r="AN11" s="199">
        <v>8731.19</v>
      </c>
      <c r="AO11" s="199">
        <v>284.29000000000002</v>
      </c>
      <c r="AP11" s="199">
        <v>1634.66</v>
      </c>
      <c r="AQ11" s="199">
        <v>1298.8399999999999</v>
      </c>
      <c r="AR11" s="199">
        <v>0</v>
      </c>
      <c r="AS11" s="199">
        <v>307430.03999999998</v>
      </c>
      <c r="AT11"/>
      <c r="AU11"/>
      <c r="AV11" t="str">
        <f t="shared" si="8"/>
        <v>29103</v>
      </c>
      <c r="AW11" s="241">
        <f t="shared" si="9"/>
        <v>307430.03999999998</v>
      </c>
      <c r="AY11" s="167">
        <f t="shared" si="12"/>
        <v>0</v>
      </c>
      <c r="BA11" s="197">
        <v>4</v>
      </c>
      <c r="BB11" s="73" t="s">
        <v>548</v>
      </c>
      <c r="BC11" s="73" t="s">
        <v>1203</v>
      </c>
      <c r="BD11" s="56">
        <v>347565.12000000005</v>
      </c>
    </row>
    <row r="12" spans="1:56">
      <c r="A12" s="197">
        <v>5</v>
      </c>
      <c r="B12" s="73" t="s">
        <v>572</v>
      </c>
      <c r="C12" s="73" t="s">
        <v>1204</v>
      </c>
      <c r="D12" s="168">
        <v>10462.94000000009</v>
      </c>
      <c r="E12" s="170">
        <v>399146.57</v>
      </c>
      <c r="F12" s="171">
        <f t="shared" si="1"/>
        <v>409609.51000000013</v>
      </c>
      <c r="G12" s="182">
        <v>382702.78</v>
      </c>
      <c r="H12" s="179">
        <v>26906.730000000098</v>
      </c>
      <c r="I12" s="170">
        <v>547695.9</v>
      </c>
      <c r="J12" s="171">
        <f t="shared" si="2"/>
        <v>574602.63000000012</v>
      </c>
      <c r="K12" s="205">
        <v>606157.09000000008</v>
      </c>
      <c r="L12" s="171">
        <v>0</v>
      </c>
      <c r="M12" s="199">
        <v>542520.91</v>
      </c>
      <c r="N12" s="171">
        <f t="shared" si="3"/>
        <v>542520.91</v>
      </c>
      <c r="O12" s="205">
        <v>569298.42000000004</v>
      </c>
      <c r="P12" s="241">
        <v>0</v>
      </c>
      <c r="Q12" s="199">
        <v>589501.20000000007</v>
      </c>
      <c r="R12" s="171">
        <f t="shared" si="4"/>
        <v>589501.20000000007</v>
      </c>
      <c r="S12" s="205">
        <v>648338.15</v>
      </c>
      <c r="T12" s="241">
        <v>0</v>
      </c>
      <c r="U12" s="241">
        <v>628021.56999999995</v>
      </c>
      <c r="V12" s="171">
        <f t="shared" si="5"/>
        <v>628021.56999999995</v>
      </c>
      <c r="W12" s="56">
        <v>637070.46999999986</v>
      </c>
      <c r="X12" s="658">
        <f t="shared" si="10"/>
        <v>0</v>
      </c>
      <c r="Y12" s="659">
        <v>676299.96000000008</v>
      </c>
      <c r="Z12" s="171">
        <f t="shared" si="6"/>
        <v>676299.96000000008</v>
      </c>
      <c r="AA12" s="56"/>
      <c r="AB12" s="241">
        <f t="shared" si="11"/>
        <v>676299.96000000008</v>
      </c>
      <c r="AC12" s="241"/>
      <c r="AE12" s="531">
        <f t="shared" si="7"/>
        <v>0</v>
      </c>
      <c r="AG12" t="s">
        <v>572</v>
      </c>
      <c r="AH12" t="s">
        <v>1927</v>
      </c>
      <c r="AI12" s="199">
        <v>486681.24</v>
      </c>
      <c r="AJ12" s="199">
        <v>37549.1</v>
      </c>
      <c r="AK12" s="199">
        <v>3642.43</v>
      </c>
      <c r="AL12" s="199">
        <v>0</v>
      </c>
      <c r="AM12" s="199">
        <v>110560.05</v>
      </c>
      <c r="AN12" s="199">
        <v>24215.99</v>
      </c>
      <c r="AO12" s="199">
        <v>321.60000000000002</v>
      </c>
      <c r="AP12" s="199">
        <v>10492</v>
      </c>
      <c r="AQ12" s="199">
        <v>2837.55</v>
      </c>
      <c r="AR12" s="199">
        <v>0</v>
      </c>
      <c r="AS12" s="199">
        <v>676299.96000000008</v>
      </c>
      <c r="AT12"/>
      <c r="AU12"/>
      <c r="AV12" t="str">
        <f t="shared" si="8"/>
        <v>31016</v>
      </c>
      <c r="AW12" s="241">
        <f t="shared" si="9"/>
        <v>676299.96000000008</v>
      </c>
      <c r="AY12" s="167">
        <f t="shared" si="12"/>
        <v>0</v>
      </c>
      <c r="BA12" s="197">
        <v>5</v>
      </c>
      <c r="BB12" s="73" t="s">
        <v>572</v>
      </c>
      <c r="BC12" s="73" t="s">
        <v>1204</v>
      </c>
      <c r="BD12" s="56">
        <v>637070.46999999986</v>
      </c>
    </row>
    <row r="13" spans="1:56">
      <c r="A13" s="197">
        <v>6</v>
      </c>
      <c r="B13" s="73" t="s">
        <v>175</v>
      </c>
      <c r="C13" s="73" t="s">
        <v>1205</v>
      </c>
      <c r="D13" s="168">
        <v>588.37000000000262</v>
      </c>
      <c r="E13" s="170">
        <v>37704.5</v>
      </c>
      <c r="F13" s="171">
        <f t="shared" si="1"/>
        <v>38292.870000000003</v>
      </c>
      <c r="G13" s="182">
        <v>38172.629999999997</v>
      </c>
      <c r="H13" s="179">
        <v>120.24000000000524</v>
      </c>
      <c r="I13" s="170">
        <v>59746.350000000006</v>
      </c>
      <c r="J13" s="171">
        <f t="shared" si="2"/>
        <v>59866.590000000011</v>
      </c>
      <c r="K13" s="205">
        <v>61433.119999999995</v>
      </c>
      <c r="L13" s="171">
        <v>0</v>
      </c>
      <c r="M13" s="199">
        <v>60272.929999999993</v>
      </c>
      <c r="N13" s="171">
        <f t="shared" si="3"/>
        <v>60272.929999999993</v>
      </c>
      <c r="O13" s="205">
        <v>59117.919999999998</v>
      </c>
      <c r="P13" s="241">
        <v>1155.0099999999948</v>
      </c>
      <c r="Q13" s="199">
        <v>64172.84</v>
      </c>
      <c r="R13" s="171">
        <f t="shared" si="4"/>
        <v>65327.849999999991</v>
      </c>
      <c r="S13" s="205">
        <v>62181.279999999999</v>
      </c>
      <c r="T13" s="241">
        <v>3146.5699999999924</v>
      </c>
      <c r="U13" s="241">
        <v>59627.649999999994</v>
      </c>
      <c r="V13" s="171">
        <f t="shared" si="5"/>
        <v>62774.219999999987</v>
      </c>
      <c r="W13" s="56">
        <v>65057.49000000002</v>
      </c>
      <c r="X13" s="658">
        <f t="shared" si="10"/>
        <v>0</v>
      </c>
      <c r="Y13" s="659">
        <v>71067.470000000016</v>
      </c>
      <c r="Z13" s="171">
        <f t="shared" si="6"/>
        <v>71067.470000000016</v>
      </c>
      <c r="AA13" s="56"/>
      <c r="AB13" s="241">
        <f t="shared" si="11"/>
        <v>71067.470000000016</v>
      </c>
      <c r="AC13" s="241"/>
      <c r="AE13" s="531">
        <f t="shared" si="7"/>
        <v>0</v>
      </c>
      <c r="AG13" t="s">
        <v>175</v>
      </c>
      <c r="AH13" t="s">
        <v>1724</v>
      </c>
      <c r="AI13" s="199">
        <v>51285.16</v>
      </c>
      <c r="AJ13" s="199">
        <v>3973.3</v>
      </c>
      <c r="AK13" s="199">
        <v>271.12</v>
      </c>
      <c r="AL13" s="199">
        <v>0</v>
      </c>
      <c r="AM13" s="199">
        <v>9617.7900000000009</v>
      </c>
      <c r="AN13" s="199">
        <v>2141.35</v>
      </c>
      <c r="AO13" s="199">
        <v>0</v>
      </c>
      <c r="AP13" s="199">
        <v>0</v>
      </c>
      <c r="AQ13" s="199">
        <v>274.17</v>
      </c>
      <c r="AR13" s="199">
        <v>3504.58</v>
      </c>
      <c r="AS13" s="199">
        <v>71067.470000000016</v>
      </c>
      <c r="AT13"/>
      <c r="AU13"/>
      <c r="AV13" t="str">
        <f t="shared" si="8"/>
        <v>02420</v>
      </c>
      <c r="AW13" s="241">
        <f t="shared" si="9"/>
        <v>71067.470000000016</v>
      </c>
      <c r="AY13" s="167">
        <f t="shared" si="12"/>
        <v>0</v>
      </c>
      <c r="BA13" s="197">
        <v>6</v>
      </c>
      <c r="BB13" s="73" t="s">
        <v>175</v>
      </c>
      <c r="BC13" s="73" t="s">
        <v>1205</v>
      </c>
      <c r="BD13" s="56">
        <v>65057.49000000002</v>
      </c>
    </row>
    <row r="14" spans="1:56">
      <c r="A14" s="197">
        <v>7</v>
      </c>
      <c r="B14" s="73" t="s">
        <v>97</v>
      </c>
      <c r="C14" s="73" t="s">
        <v>1206</v>
      </c>
      <c r="D14" s="168">
        <v>13096.360000000102</v>
      </c>
      <c r="E14" s="170">
        <v>1282819.8699999999</v>
      </c>
      <c r="F14" s="171">
        <f t="shared" si="1"/>
        <v>1295916.23</v>
      </c>
      <c r="G14" s="182">
        <v>723273.16</v>
      </c>
      <c r="H14" s="179">
        <v>572643.06999999995</v>
      </c>
      <c r="I14" s="170">
        <v>1850391.1</v>
      </c>
      <c r="J14" s="171">
        <f t="shared" si="2"/>
        <v>2423034.17</v>
      </c>
      <c r="K14" s="205">
        <v>565011.19000000006</v>
      </c>
      <c r="L14" s="171">
        <v>1858022.98</v>
      </c>
      <c r="M14" s="199">
        <v>1872584.93</v>
      </c>
      <c r="N14" s="171">
        <f t="shared" si="3"/>
        <v>3730607.91</v>
      </c>
      <c r="O14" s="205">
        <v>410067.67</v>
      </c>
      <c r="P14" s="241">
        <v>3320540.24</v>
      </c>
      <c r="Q14" s="199">
        <v>2080316.4700000002</v>
      </c>
      <c r="R14" s="171">
        <f t="shared" si="4"/>
        <v>5400856.7100000009</v>
      </c>
      <c r="S14" s="205">
        <v>1534940.28</v>
      </c>
      <c r="T14" s="241">
        <v>3865916.4300000006</v>
      </c>
      <c r="U14" s="241">
        <v>2113021.5499999998</v>
      </c>
      <c r="V14" s="171">
        <f t="shared" si="5"/>
        <v>5978937.9800000004</v>
      </c>
      <c r="W14" s="56">
        <v>1753711.6199999996</v>
      </c>
      <c r="X14" s="658">
        <f t="shared" si="10"/>
        <v>4225226.3600000013</v>
      </c>
      <c r="Y14" s="659">
        <v>2221252.9300000002</v>
      </c>
      <c r="Z14" s="171">
        <f t="shared" si="6"/>
        <v>6446479.290000001</v>
      </c>
      <c r="AA14" s="56"/>
      <c r="AB14" s="241">
        <f t="shared" si="11"/>
        <v>6446479.290000001</v>
      </c>
      <c r="AC14" s="241"/>
      <c r="AE14" s="531">
        <f t="shared" si="7"/>
        <v>0</v>
      </c>
      <c r="AG14" t="s">
        <v>97</v>
      </c>
      <c r="AH14" t="s">
        <v>1819</v>
      </c>
      <c r="AI14" s="199">
        <v>1526463.21</v>
      </c>
      <c r="AJ14" s="199">
        <v>76473.179999999993</v>
      </c>
      <c r="AK14" s="199">
        <v>20548.62</v>
      </c>
      <c r="AL14" s="199">
        <v>0</v>
      </c>
      <c r="AM14" s="199">
        <v>248568.34</v>
      </c>
      <c r="AN14" s="199">
        <v>108821.22</v>
      </c>
      <c r="AO14" s="199">
        <v>64165.97</v>
      </c>
      <c r="AP14" s="199">
        <v>148130.87</v>
      </c>
      <c r="AQ14" s="199">
        <v>8543.34</v>
      </c>
      <c r="AR14" s="199">
        <v>19538.18</v>
      </c>
      <c r="AS14" s="199">
        <v>2221252.9300000002</v>
      </c>
      <c r="AT14"/>
      <c r="AU14"/>
      <c r="AV14" t="str">
        <f t="shared" si="8"/>
        <v>17408</v>
      </c>
      <c r="AW14" s="241">
        <f t="shared" si="9"/>
        <v>2221252.9300000002</v>
      </c>
      <c r="AY14" s="167">
        <f t="shared" si="12"/>
        <v>0</v>
      </c>
      <c r="BA14" s="197">
        <v>7</v>
      </c>
      <c r="BB14" s="73" t="s">
        <v>97</v>
      </c>
      <c r="BC14" s="73" t="s">
        <v>1206</v>
      </c>
      <c r="BD14" s="56">
        <v>1753711.6199999996</v>
      </c>
    </row>
    <row r="15" spans="1:56">
      <c r="A15" s="197">
        <v>8</v>
      </c>
      <c r="B15" s="73" t="s">
        <v>376</v>
      </c>
      <c r="C15" s="73" t="s">
        <v>1207</v>
      </c>
      <c r="D15" s="168">
        <v>0</v>
      </c>
      <c r="E15" s="170">
        <v>251833.88999999998</v>
      </c>
      <c r="F15" s="171">
        <f t="shared" si="1"/>
        <v>251833.88999999998</v>
      </c>
      <c r="G15" s="182">
        <v>290595.01</v>
      </c>
      <c r="H15" s="179">
        <v>0</v>
      </c>
      <c r="I15" s="170">
        <v>342775.97999999992</v>
      </c>
      <c r="J15" s="171">
        <f t="shared" si="2"/>
        <v>342775.97999999992</v>
      </c>
      <c r="K15" s="205">
        <v>480337.08999999997</v>
      </c>
      <c r="L15" s="171">
        <v>0</v>
      </c>
      <c r="M15" s="199">
        <v>353654.44999999995</v>
      </c>
      <c r="N15" s="171">
        <f t="shared" si="3"/>
        <v>353654.44999999995</v>
      </c>
      <c r="O15" s="205">
        <v>435041.71000000008</v>
      </c>
      <c r="P15" s="241">
        <v>0</v>
      </c>
      <c r="Q15" s="199">
        <v>382050.65</v>
      </c>
      <c r="R15" s="171">
        <f t="shared" si="4"/>
        <v>382050.65</v>
      </c>
      <c r="S15" s="205">
        <v>478035.76</v>
      </c>
      <c r="T15" s="241">
        <v>0</v>
      </c>
      <c r="U15" s="241">
        <v>397144.26999999996</v>
      </c>
      <c r="V15" s="171">
        <f t="shared" si="5"/>
        <v>397144.26999999996</v>
      </c>
      <c r="W15" s="56">
        <v>397144.26999999996</v>
      </c>
      <c r="X15" s="658">
        <f t="shared" si="10"/>
        <v>0</v>
      </c>
      <c r="Y15" s="659">
        <v>416453.84999999992</v>
      </c>
      <c r="Z15" s="171">
        <f t="shared" si="6"/>
        <v>416453.84999999992</v>
      </c>
      <c r="AA15" s="56"/>
      <c r="AB15" s="241">
        <f t="shared" si="11"/>
        <v>416453.84999999992</v>
      </c>
      <c r="AC15" s="241"/>
      <c r="AE15" s="531">
        <f t="shared" si="7"/>
        <v>0</v>
      </c>
      <c r="AG15" t="s">
        <v>376</v>
      </c>
      <c r="AH15" t="s">
        <v>1829</v>
      </c>
      <c r="AI15" s="199">
        <v>317206.62</v>
      </c>
      <c r="AJ15" s="199">
        <v>31880.06</v>
      </c>
      <c r="AK15" s="199">
        <v>6405.92</v>
      </c>
      <c r="AL15" s="199">
        <v>0</v>
      </c>
      <c r="AM15" s="199">
        <v>53804.11</v>
      </c>
      <c r="AN15" s="199">
        <v>3881.3</v>
      </c>
      <c r="AO15" s="199">
        <v>0</v>
      </c>
      <c r="AP15" s="199">
        <v>1418.35</v>
      </c>
      <c r="AQ15" s="199">
        <v>1857.49</v>
      </c>
      <c r="AR15" s="199">
        <v>0</v>
      </c>
      <c r="AS15" s="199">
        <v>416453.84999999992</v>
      </c>
      <c r="AT15"/>
      <c r="AU15"/>
      <c r="AV15" t="str">
        <f t="shared" si="8"/>
        <v>18303</v>
      </c>
      <c r="AW15" s="241">
        <f t="shared" si="9"/>
        <v>416453.84999999992</v>
      </c>
      <c r="AY15" s="167">
        <f t="shared" si="12"/>
        <v>0</v>
      </c>
      <c r="BA15" s="197">
        <v>8</v>
      </c>
      <c r="BB15" s="73" t="s">
        <v>376</v>
      </c>
      <c r="BC15" s="73" t="s">
        <v>1207</v>
      </c>
      <c r="BD15" s="56">
        <v>397144.26999999996</v>
      </c>
    </row>
    <row r="16" spans="1:56">
      <c r="A16" s="197">
        <v>9</v>
      </c>
      <c r="B16" s="73" t="s">
        <v>225</v>
      </c>
      <c r="C16" s="73" t="s">
        <v>1208</v>
      </c>
      <c r="D16" s="168">
        <v>180656.74</v>
      </c>
      <c r="E16" s="170">
        <v>735047.54</v>
      </c>
      <c r="F16" s="171">
        <f t="shared" si="1"/>
        <v>915704.28</v>
      </c>
      <c r="G16" s="182">
        <v>546286.39</v>
      </c>
      <c r="H16" s="179">
        <v>369417.89</v>
      </c>
      <c r="I16" s="170">
        <v>944857.62999999989</v>
      </c>
      <c r="J16" s="171">
        <f t="shared" si="2"/>
        <v>1314275.52</v>
      </c>
      <c r="K16" s="205">
        <v>1141487.2000000002</v>
      </c>
      <c r="L16" s="171">
        <v>172788.31999999983</v>
      </c>
      <c r="M16" s="199">
        <v>993802.53</v>
      </c>
      <c r="N16" s="171">
        <f t="shared" si="3"/>
        <v>1166590.8499999999</v>
      </c>
      <c r="O16" s="205">
        <v>620940.84999999986</v>
      </c>
      <c r="P16" s="241">
        <v>545650</v>
      </c>
      <c r="Q16" s="199">
        <v>1131333.2</v>
      </c>
      <c r="R16" s="171">
        <f t="shared" si="4"/>
        <v>1676983.2</v>
      </c>
      <c r="S16" s="205">
        <v>1454648.6399999997</v>
      </c>
      <c r="T16" s="241">
        <v>222334.56000000029</v>
      </c>
      <c r="U16" s="241">
        <v>1211501.98</v>
      </c>
      <c r="V16" s="171">
        <f t="shared" si="5"/>
        <v>1433836.5400000003</v>
      </c>
      <c r="W16" s="56">
        <v>987100.27</v>
      </c>
      <c r="X16" s="658">
        <f t="shared" si="10"/>
        <v>446736.27000000025</v>
      </c>
      <c r="Y16" s="659">
        <v>1312818.2700000003</v>
      </c>
      <c r="Z16" s="171">
        <f t="shared" si="6"/>
        <v>1759554.5400000005</v>
      </c>
      <c r="AA16" s="56"/>
      <c r="AB16" s="241">
        <f t="shared" si="11"/>
        <v>1759554.5400000005</v>
      </c>
      <c r="AC16" s="241"/>
      <c r="AE16" s="531">
        <f t="shared" si="7"/>
        <v>0</v>
      </c>
      <c r="AG16" t="s">
        <v>225</v>
      </c>
      <c r="AH16" t="s">
        <v>1751</v>
      </c>
      <c r="AI16" s="199">
        <v>891321.56</v>
      </c>
      <c r="AJ16" s="199">
        <v>93188.2</v>
      </c>
      <c r="AK16" s="199">
        <v>6090.9</v>
      </c>
      <c r="AL16" s="199">
        <v>0</v>
      </c>
      <c r="AM16" s="199">
        <v>205562.18</v>
      </c>
      <c r="AN16" s="199">
        <v>51384.26</v>
      </c>
      <c r="AO16" s="199">
        <v>5142.3</v>
      </c>
      <c r="AP16" s="199">
        <v>39076.089999999997</v>
      </c>
      <c r="AQ16" s="199">
        <v>6045.41</v>
      </c>
      <c r="AR16" s="199">
        <v>15007.37</v>
      </c>
      <c r="AS16" s="199">
        <v>1312818.2700000003</v>
      </c>
      <c r="AT16"/>
      <c r="AU16"/>
      <c r="AV16" t="str">
        <f t="shared" si="8"/>
        <v>06119</v>
      </c>
      <c r="AW16" s="241">
        <f t="shared" si="9"/>
        <v>1312818.2700000003</v>
      </c>
      <c r="AY16" s="167">
        <f t="shared" si="12"/>
        <v>0</v>
      </c>
      <c r="BA16" s="197">
        <v>9</v>
      </c>
      <c r="BB16" s="73" t="s">
        <v>225</v>
      </c>
      <c r="BC16" s="73" t="s">
        <v>1208</v>
      </c>
      <c r="BD16" s="56">
        <v>987100.27</v>
      </c>
    </row>
    <row r="17" spans="1:56">
      <c r="A17" s="197">
        <v>10</v>
      </c>
      <c r="B17" s="73" t="s">
        <v>354</v>
      </c>
      <c r="C17" s="73" t="s">
        <v>1209</v>
      </c>
      <c r="D17" s="168">
        <v>69719.280000000144</v>
      </c>
      <c r="E17" s="170">
        <v>1402931.35</v>
      </c>
      <c r="F17" s="171">
        <f t="shared" si="1"/>
        <v>1472650.6300000004</v>
      </c>
      <c r="G17" s="182">
        <v>1725033.79</v>
      </c>
      <c r="H17" s="179">
        <v>0</v>
      </c>
      <c r="I17" s="170">
        <v>1995367.2599999998</v>
      </c>
      <c r="J17" s="171">
        <f t="shared" si="2"/>
        <v>1995367.2599999998</v>
      </c>
      <c r="K17" s="205">
        <v>2308382.44</v>
      </c>
      <c r="L17" s="171">
        <v>0</v>
      </c>
      <c r="M17" s="199">
        <v>1891310.53</v>
      </c>
      <c r="N17" s="171">
        <f t="shared" si="3"/>
        <v>1891310.53</v>
      </c>
      <c r="O17" s="205">
        <v>2234498.31</v>
      </c>
      <c r="P17" s="241">
        <v>0</v>
      </c>
      <c r="Q17" s="199">
        <v>2071883.37</v>
      </c>
      <c r="R17" s="171">
        <f t="shared" si="4"/>
        <v>2071883.37</v>
      </c>
      <c r="S17" s="205">
        <v>2121738.0099999998</v>
      </c>
      <c r="T17" s="241">
        <v>0</v>
      </c>
      <c r="U17" s="241">
        <v>2165353.46</v>
      </c>
      <c r="V17" s="171">
        <f t="shared" si="5"/>
        <v>2165353.46</v>
      </c>
      <c r="W17" s="56">
        <v>892326.59000000067</v>
      </c>
      <c r="X17" s="658">
        <f t="shared" si="10"/>
        <v>1273026.8699999992</v>
      </c>
      <c r="Y17" s="659">
        <v>2340874.2399999998</v>
      </c>
      <c r="Z17" s="171">
        <f t="shared" si="6"/>
        <v>3613901.1099999989</v>
      </c>
      <c r="AA17" s="56"/>
      <c r="AB17" s="241">
        <f t="shared" si="11"/>
        <v>3613901.1099999989</v>
      </c>
      <c r="AC17" s="241"/>
      <c r="AE17" s="531">
        <f t="shared" si="7"/>
        <v>0</v>
      </c>
      <c r="AG17" t="s">
        <v>354</v>
      </c>
      <c r="AH17" t="s">
        <v>1816</v>
      </c>
      <c r="AI17" s="199">
        <v>1795620.06</v>
      </c>
      <c r="AJ17" s="199">
        <v>83376.91</v>
      </c>
      <c r="AK17" s="199">
        <v>22511.58</v>
      </c>
      <c r="AL17" s="199">
        <v>0</v>
      </c>
      <c r="AM17" s="199">
        <v>254434.52</v>
      </c>
      <c r="AN17" s="199">
        <v>46494.42</v>
      </c>
      <c r="AO17" s="199">
        <v>7161.05</v>
      </c>
      <c r="AP17" s="199">
        <v>121098.04</v>
      </c>
      <c r="AQ17" s="199">
        <v>10177.66</v>
      </c>
      <c r="AR17" s="199">
        <v>0</v>
      </c>
      <c r="AS17" s="199">
        <v>2340874.2399999998</v>
      </c>
      <c r="AT17"/>
      <c r="AU17"/>
      <c r="AV17" t="str">
        <f t="shared" si="8"/>
        <v>17405</v>
      </c>
      <c r="AW17" s="241">
        <f t="shared" si="9"/>
        <v>2340874.2399999998</v>
      </c>
      <c r="AY17" s="167">
        <f t="shared" si="12"/>
        <v>0</v>
      </c>
      <c r="BA17" s="197">
        <v>10</v>
      </c>
      <c r="BB17" s="73" t="s">
        <v>354</v>
      </c>
      <c r="BC17" s="73" t="s">
        <v>1209</v>
      </c>
      <c r="BD17" s="56">
        <v>892326.59000000067</v>
      </c>
    </row>
    <row r="18" spans="1:56">
      <c r="A18" s="197">
        <v>11</v>
      </c>
      <c r="B18" s="73" t="s">
        <v>671</v>
      </c>
      <c r="C18" s="73" t="s">
        <v>1210</v>
      </c>
      <c r="D18" s="168">
        <v>0</v>
      </c>
      <c r="E18" s="170">
        <v>781204.3600000001</v>
      </c>
      <c r="F18" s="171">
        <f t="shared" si="1"/>
        <v>781204.3600000001</v>
      </c>
      <c r="G18" s="182">
        <v>908454.25</v>
      </c>
      <c r="H18" s="179">
        <v>0</v>
      </c>
      <c r="I18" s="170">
        <v>1083382.06</v>
      </c>
      <c r="J18" s="171">
        <f t="shared" si="2"/>
        <v>1083382.06</v>
      </c>
      <c r="K18" s="205">
        <v>1050916.4999999998</v>
      </c>
      <c r="L18" s="171">
        <v>32465.560000000289</v>
      </c>
      <c r="M18" s="199">
        <v>1097833.1199999999</v>
      </c>
      <c r="N18" s="171">
        <f t="shared" si="3"/>
        <v>1130298.6800000002</v>
      </c>
      <c r="O18" s="205">
        <v>1137920.76</v>
      </c>
      <c r="P18" s="241">
        <v>0</v>
      </c>
      <c r="Q18" s="199">
        <v>1189284.3</v>
      </c>
      <c r="R18" s="171">
        <f t="shared" si="4"/>
        <v>1189284.3</v>
      </c>
      <c r="S18" s="205">
        <v>1189284.3499999999</v>
      </c>
      <c r="T18" s="241">
        <v>0</v>
      </c>
      <c r="U18" s="241">
        <v>1171407.3199999998</v>
      </c>
      <c r="V18" s="171">
        <f t="shared" si="5"/>
        <v>1171407.3199999998</v>
      </c>
      <c r="W18" s="56">
        <v>1201903.06</v>
      </c>
      <c r="X18" s="658">
        <f t="shared" si="10"/>
        <v>0</v>
      </c>
      <c r="Y18" s="659">
        <v>1252459.7899999998</v>
      </c>
      <c r="Z18" s="171">
        <f t="shared" si="6"/>
        <v>1252459.7899999998</v>
      </c>
      <c r="AA18" s="56"/>
      <c r="AB18" s="241">
        <f t="shared" si="11"/>
        <v>1252459.7899999998</v>
      </c>
      <c r="AC18" s="241"/>
      <c r="AE18" s="531">
        <f t="shared" si="7"/>
        <v>0</v>
      </c>
      <c r="AG18" t="s">
        <v>671</v>
      </c>
      <c r="AH18" t="s">
        <v>1980</v>
      </c>
      <c r="AI18" s="199">
        <v>833821.59</v>
      </c>
      <c r="AJ18" s="199">
        <v>78070.460000000006</v>
      </c>
      <c r="AK18" s="199">
        <v>31811.72</v>
      </c>
      <c r="AL18" s="199">
        <v>0</v>
      </c>
      <c r="AM18" s="199">
        <v>193488.26</v>
      </c>
      <c r="AN18" s="199">
        <v>44024.639999999999</v>
      </c>
      <c r="AO18" s="199">
        <v>8874.74</v>
      </c>
      <c r="AP18" s="199">
        <v>28069.26</v>
      </c>
      <c r="AQ18" s="199">
        <v>5060.8500000000004</v>
      </c>
      <c r="AR18" s="199">
        <v>29238.27</v>
      </c>
      <c r="AS18" s="199">
        <v>1252459.7899999998</v>
      </c>
      <c r="AT18"/>
      <c r="AU18"/>
      <c r="AV18" t="str">
        <f t="shared" si="8"/>
        <v>37501</v>
      </c>
      <c r="AW18" s="241">
        <f t="shared" si="9"/>
        <v>1252459.7899999998</v>
      </c>
      <c r="AY18" s="167">
        <f t="shared" si="12"/>
        <v>0</v>
      </c>
      <c r="BA18" s="197">
        <v>11</v>
      </c>
      <c r="BB18" s="73" t="s">
        <v>671</v>
      </c>
      <c r="BC18" s="73" t="s">
        <v>1210</v>
      </c>
      <c r="BD18" s="56">
        <v>1201903.06</v>
      </c>
    </row>
    <row r="19" spans="1:56">
      <c r="A19" s="197">
        <v>12</v>
      </c>
      <c r="B19" s="73" t="s">
        <v>165</v>
      </c>
      <c r="C19" s="73" t="s">
        <v>1211</v>
      </c>
      <c r="D19" s="168">
        <v>15.17999999999995</v>
      </c>
      <c r="E19" s="170">
        <v>2290.9499999999998</v>
      </c>
      <c r="F19" s="171">
        <f t="shared" si="1"/>
        <v>2306.1299999999997</v>
      </c>
      <c r="G19" s="182"/>
      <c r="H19" s="179">
        <v>2306.1299999999997</v>
      </c>
      <c r="I19" s="170">
        <v>3272.66</v>
      </c>
      <c r="J19" s="171">
        <f t="shared" si="2"/>
        <v>5578.7899999999991</v>
      </c>
      <c r="K19" s="205">
        <v>50</v>
      </c>
      <c r="L19" s="171">
        <v>5528.7899999999991</v>
      </c>
      <c r="M19" s="199">
        <v>2921.46</v>
      </c>
      <c r="N19" s="171">
        <f t="shared" si="3"/>
        <v>8450.25</v>
      </c>
      <c r="O19" s="205">
        <v>5250.52</v>
      </c>
      <c r="P19" s="241">
        <v>3199.7299999999996</v>
      </c>
      <c r="Q19" s="199">
        <v>2908.01</v>
      </c>
      <c r="R19" s="171">
        <f t="shared" si="4"/>
        <v>6107.74</v>
      </c>
      <c r="S19" s="205">
        <v>4820.04</v>
      </c>
      <c r="T19" s="241">
        <v>1287.6999999999998</v>
      </c>
      <c r="U19" s="241">
        <v>3039.6</v>
      </c>
      <c r="V19" s="171">
        <f t="shared" si="5"/>
        <v>4327.2999999999993</v>
      </c>
      <c r="W19" s="56">
        <v>2798.26</v>
      </c>
      <c r="X19" s="658">
        <f t="shared" si="10"/>
        <v>1529.0399999999991</v>
      </c>
      <c r="Y19" s="659">
        <v>3363.35</v>
      </c>
      <c r="Z19" s="171">
        <f t="shared" si="6"/>
        <v>4892.3899999999994</v>
      </c>
      <c r="AA19" s="56"/>
      <c r="AB19" s="241">
        <f t="shared" si="11"/>
        <v>4892.3899999999994</v>
      </c>
      <c r="AC19" s="241"/>
      <c r="AE19" s="531">
        <f t="shared" si="7"/>
        <v>0</v>
      </c>
      <c r="AG19" t="s">
        <v>165</v>
      </c>
      <c r="AH19" t="s">
        <v>1719</v>
      </c>
      <c r="AI19" s="199">
        <v>3299.33</v>
      </c>
      <c r="AJ19" s="199">
        <v>0</v>
      </c>
      <c r="AK19" s="199">
        <v>0</v>
      </c>
      <c r="AL19" s="199">
        <v>0</v>
      </c>
      <c r="AM19" s="199">
        <v>64.02</v>
      </c>
      <c r="AN19" s="199">
        <v>0</v>
      </c>
      <c r="AO19" s="199">
        <v>0</v>
      </c>
      <c r="AP19" s="199">
        <v>0</v>
      </c>
      <c r="AQ19" s="199">
        <v>0</v>
      </c>
      <c r="AR19" s="199">
        <v>0</v>
      </c>
      <c r="AS19" s="199">
        <v>3363.35</v>
      </c>
      <c r="AT19"/>
      <c r="AU19"/>
      <c r="AV19" t="str">
        <f t="shared" si="8"/>
        <v>01122</v>
      </c>
      <c r="AW19" s="241">
        <f t="shared" si="9"/>
        <v>3363.35</v>
      </c>
      <c r="AY19" s="167">
        <f t="shared" si="12"/>
        <v>0</v>
      </c>
      <c r="BA19" s="197">
        <v>12</v>
      </c>
      <c r="BB19" s="73" t="s">
        <v>165</v>
      </c>
      <c r="BC19" s="73" t="s">
        <v>1211</v>
      </c>
      <c r="BD19" s="56">
        <v>2798.26</v>
      </c>
    </row>
    <row r="20" spans="1:56">
      <c r="A20" s="197">
        <v>13</v>
      </c>
      <c r="B20" s="73" t="s">
        <v>527</v>
      </c>
      <c r="C20" s="73" t="s">
        <v>1212</v>
      </c>
      <c r="D20" s="168">
        <v>138866.75</v>
      </c>
      <c r="E20" s="170">
        <v>1285710.29</v>
      </c>
      <c r="F20" s="171">
        <f t="shared" si="1"/>
        <v>1424577.04</v>
      </c>
      <c r="G20" s="182">
        <v>1760340.11</v>
      </c>
      <c r="H20" s="179">
        <v>0</v>
      </c>
      <c r="I20" s="170">
        <v>1828148.7</v>
      </c>
      <c r="J20" s="171">
        <f t="shared" si="2"/>
        <v>1828148.7</v>
      </c>
      <c r="K20" s="205">
        <v>1832083.8499999999</v>
      </c>
      <c r="L20" s="171">
        <v>0</v>
      </c>
      <c r="M20" s="199">
        <v>1818329.8399999999</v>
      </c>
      <c r="N20" s="171">
        <f t="shared" si="3"/>
        <v>1818329.8399999999</v>
      </c>
      <c r="O20" s="205">
        <v>1363804.97</v>
      </c>
      <c r="P20" s="241">
        <v>454524.86999999988</v>
      </c>
      <c r="Q20" s="199">
        <v>2016573.6400000001</v>
      </c>
      <c r="R20" s="171">
        <f t="shared" si="4"/>
        <v>2471098.5099999998</v>
      </c>
      <c r="S20" s="205">
        <v>1951910.6099999999</v>
      </c>
      <c r="T20" s="241">
        <v>519187.89999999991</v>
      </c>
      <c r="U20" s="241">
        <v>2212075.2000000002</v>
      </c>
      <c r="V20" s="171">
        <f t="shared" si="5"/>
        <v>2731263.1</v>
      </c>
      <c r="W20" s="56">
        <v>1849885.7299999986</v>
      </c>
      <c r="X20" s="658">
        <f t="shared" si="10"/>
        <v>881377.37000000151</v>
      </c>
      <c r="Y20" s="659">
        <v>2360221.29</v>
      </c>
      <c r="Z20" s="171">
        <f t="shared" si="6"/>
        <v>3241598.6600000015</v>
      </c>
      <c r="AA20" s="56"/>
      <c r="AB20" s="241">
        <f t="shared" si="11"/>
        <v>3241598.6600000015</v>
      </c>
      <c r="AC20" s="241"/>
      <c r="AE20" s="531">
        <f t="shared" si="7"/>
        <v>0</v>
      </c>
      <c r="AG20" t="s">
        <v>527</v>
      </c>
      <c r="AH20" t="s">
        <v>1904</v>
      </c>
      <c r="AI20" s="199">
        <v>1634673.82</v>
      </c>
      <c r="AJ20" s="199">
        <v>91911.88</v>
      </c>
      <c r="AK20" s="199">
        <v>22748.63</v>
      </c>
      <c r="AL20" s="199">
        <v>53207.87</v>
      </c>
      <c r="AM20" s="199">
        <v>330405.45</v>
      </c>
      <c r="AN20" s="199">
        <v>110031.56</v>
      </c>
      <c r="AO20" s="199">
        <v>47642.080000000002</v>
      </c>
      <c r="AP20" s="199">
        <v>46218.15</v>
      </c>
      <c r="AQ20" s="199">
        <v>9699.5499999999993</v>
      </c>
      <c r="AR20" s="199">
        <v>13682.3</v>
      </c>
      <c r="AS20" s="199">
        <v>2360221.29</v>
      </c>
      <c r="AT20"/>
      <c r="AU20"/>
      <c r="AV20" t="str">
        <f t="shared" si="8"/>
        <v>27403</v>
      </c>
      <c r="AW20" s="241">
        <f t="shared" si="9"/>
        <v>2360221.29</v>
      </c>
      <c r="AY20" s="167">
        <f t="shared" si="12"/>
        <v>0</v>
      </c>
      <c r="BA20" s="197">
        <v>13</v>
      </c>
      <c r="BB20" s="73" t="s">
        <v>527</v>
      </c>
      <c r="BC20" s="73" t="s">
        <v>1212</v>
      </c>
      <c r="BD20" s="56">
        <v>1849885.7299999986</v>
      </c>
    </row>
    <row r="21" spans="1:56">
      <c r="A21" s="197">
        <v>14</v>
      </c>
      <c r="B21" s="73" t="s">
        <v>398</v>
      </c>
      <c r="C21" s="73" t="s">
        <v>1213</v>
      </c>
      <c r="D21" s="168">
        <v>289.88999999999942</v>
      </c>
      <c r="E21" s="170">
        <v>13241.37</v>
      </c>
      <c r="F21" s="171">
        <f t="shared" si="1"/>
        <v>13531.26</v>
      </c>
      <c r="G21" s="182">
        <v>3104.85</v>
      </c>
      <c r="H21" s="179">
        <v>10426.41</v>
      </c>
      <c r="I21" s="170">
        <v>18261.71</v>
      </c>
      <c r="J21" s="171">
        <f t="shared" si="2"/>
        <v>28688.12</v>
      </c>
      <c r="K21" s="205">
        <v>15325.579999999998</v>
      </c>
      <c r="L21" s="171">
        <v>13362.54</v>
      </c>
      <c r="M21" s="199">
        <v>18821.87</v>
      </c>
      <c r="N21" s="171">
        <f t="shared" si="3"/>
        <v>32184.41</v>
      </c>
      <c r="O21" s="205">
        <v>9755.57</v>
      </c>
      <c r="P21" s="241">
        <v>22428.84</v>
      </c>
      <c r="Q21" s="199">
        <v>19607.22</v>
      </c>
      <c r="R21" s="171">
        <f t="shared" si="4"/>
        <v>42036.06</v>
      </c>
      <c r="S21" s="205">
        <v>38277.599999999999</v>
      </c>
      <c r="T21" s="241">
        <v>3758.4599999999991</v>
      </c>
      <c r="U21" s="241">
        <v>19581.169999999998</v>
      </c>
      <c r="V21" s="171">
        <f t="shared" si="5"/>
        <v>23339.629999999997</v>
      </c>
      <c r="W21" s="56">
        <v>18587.370000000003</v>
      </c>
      <c r="X21" s="658">
        <f t="shared" si="10"/>
        <v>4752.2599999999948</v>
      </c>
      <c r="Y21" s="659">
        <v>20246.309999999998</v>
      </c>
      <c r="Z21" s="171">
        <f t="shared" si="6"/>
        <v>24998.569999999992</v>
      </c>
      <c r="AA21" s="56"/>
      <c r="AB21" s="241">
        <f t="shared" si="11"/>
        <v>24998.569999999992</v>
      </c>
      <c r="AC21" s="241"/>
      <c r="AE21" s="531">
        <f t="shared" si="7"/>
        <v>0</v>
      </c>
      <c r="AG21" t="s">
        <v>398</v>
      </c>
      <c r="AH21" t="s">
        <v>1841</v>
      </c>
      <c r="AI21" s="199">
        <v>20204.96</v>
      </c>
      <c r="AJ21" s="199">
        <v>0</v>
      </c>
      <c r="AK21" s="199">
        <v>0</v>
      </c>
      <c r="AL21" s="199">
        <v>0</v>
      </c>
      <c r="AM21" s="199">
        <v>0</v>
      </c>
      <c r="AN21" s="199">
        <v>0</v>
      </c>
      <c r="AO21" s="199">
        <v>0</v>
      </c>
      <c r="AP21" s="199">
        <v>0</v>
      </c>
      <c r="AQ21" s="199">
        <v>41.35</v>
      </c>
      <c r="AR21" s="199">
        <v>0</v>
      </c>
      <c r="AS21" s="199">
        <v>20246.309999999998</v>
      </c>
      <c r="AT21"/>
      <c r="AU21"/>
      <c r="AV21" t="str">
        <f t="shared" si="8"/>
        <v>20203</v>
      </c>
      <c r="AW21" s="241">
        <f t="shared" si="9"/>
        <v>20246.309999999998</v>
      </c>
      <c r="AY21" s="167">
        <f t="shared" si="12"/>
        <v>0</v>
      </c>
      <c r="BA21" s="197">
        <v>14</v>
      </c>
      <c r="BB21" s="73" t="s">
        <v>398</v>
      </c>
      <c r="BC21" s="73" t="s">
        <v>1213</v>
      </c>
      <c r="BD21" s="56">
        <v>18587.370000000003</v>
      </c>
    </row>
    <row r="22" spans="1:56">
      <c r="A22" s="197">
        <v>15</v>
      </c>
      <c r="B22" s="73" t="s">
        <v>675</v>
      </c>
      <c r="C22" s="73" t="s">
        <v>1214</v>
      </c>
      <c r="D22" s="168">
        <v>0</v>
      </c>
      <c r="E22" s="170">
        <v>159782.18</v>
      </c>
      <c r="F22" s="171">
        <f t="shared" si="1"/>
        <v>159782.18</v>
      </c>
      <c r="G22" s="182">
        <v>150796.54999999999</v>
      </c>
      <c r="H22" s="179">
        <v>8985.6300000000047</v>
      </c>
      <c r="I22" s="170">
        <v>224512.77</v>
      </c>
      <c r="J22" s="171">
        <f t="shared" si="2"/>
        <v>233498.4</v>
      </c>
      <c r="K22" s="205">
        <v>196261.3</v>
      </c>
      <c r="L22" s="171">
        <v>37237.100000000006</v>
      </c>
      <c r="M22" s="199">
        <v>221575.74</v>
      </c>
      <c r="N22" s="171">
        <f t="shared" si="3"/>
        <v>258812.84</v>
      </c>
      <c r="O22" s="205">
        <v>196991.22</v>
      </c>
      <c r="P22" s="241">
        <v>61821.619999999995</v>
      </c>
      <c r="Q22" s="199">
        <v>230010.46000000002</v>
      </c>
      <c r="R22" s="171">
        <f t="shared" si="4"/>
        <v>291832.08</v>
      </c>
      <c r="S22" s="205">
        <v>318508.59999999998</v>
      </c>
      <c r="T22" s="241">
        <v>0</v>
      </c>
      <c r="U22" s="241">
        <v>227214.36000000002</v>
      </c>
      <c r="V22" s="171">
        <f t="shared" si="5"/>
        <v>227214.36000000002</v>
      </c>
      <c r="W22" s="56">
        <v>227273.56</v>
      </c>
      <c r="X22" s="658">
        <f t="shared" si="10"/>
        <v>0</v>
      </c>
      <c r="Y22" s="659">
        <v>234719.66</v>
      </c>
      <c r="Z22" s="171">
        <f t="shared" si="6"/>
        <v>234719.66</v>
      </c>
      <c r="AA22" s="56"/>
      <c r="AB22" s="241">
        <f t="shared" si="11"/>
        <v>234719.66</v>
      </c>
      <c r="AC22" s="241"/>
      <c r="AE22" s="531">
        <f t="shared" si="7"/>
        <v>0</v>
      </c>
      <c r="AG22" t="s">
        <v>675</v>
      </c>
      <c r="AH22" t="s">
        <v>1982</v>
      </c>
      <c r="AI22" s="199">
        <v>163641.23000000001</v>
      </c>
      <c r="AJ22" s="199">
        <v>8823.86</v>
      </c>
      <c r="AK22" s="199">
        <v>604.05999999999995</v>
      </c>
      <c r="AL22" s="199">
        <v>0</v>
      </c>
      <c r="AM22" s="199">
        <v>36542.85</v>
      </c>
      <c r="AN22" s="199">
        <v>10618.74</v>
      </c>
      <c r="AO22" s="199">
        <v>4718.29</v>
      </c>
      <c r="AP22" s="199">
        <v>2935.52</v>
      </c>
      <c r="AQ22" s="199">
        <v>957.15</v>
      </c>
      <c r="AR22" s="199">
        <v>5877.96</v>
      </c>
      <c r="AS22" s="199">
        <v>234719.66</v>
      </c>
      <c r="AT22"/>
      <c r="AU22"/>
      <c r="AV22" t="str">
        <f t="shared" si="8"/>
        <v>37503</v>
      </c>
      <c r="AW22" s="241">
        <f t="shared" si="9"/>
        <v>234719.66</v>
      </c>
      <c r="AY22" s="167">
        <f t="shared" si="12"/>
        <v>0</v>
      </c>
      <c r="BA22" s="197">
        <v>15</v>
      </c>
      <c r="BB22" s="73" t="s">
        <v>675</v>
      </c>
      <c r="BC22" s="73" t="s">
        <v>1214</v>
      </c>
      <c r="BD22" s="56">
        <v>227273.56</v>
      </c>
    </row>
    <row r="23" spans="1:56">
      <c r="A23" s="197">
        <v>16</v>
      </c>
      <c r="B23" s="73" t="s">
        <v>428</v>
      </c>
      <c r="C23" s="73" t="s">
        <v>1215</v>
      </c>
      <c r="D23" s="168">
        <v>0</v>
      </c>
      <c r="E23" s="170">
        <v>6854.0899999999992</v>
      </c>
      <c r="F23" s="171">
        <f t="shared" si="1"/>
        <v>6854.0899999999992</v>
      </c>
      <c r="G23" s="182"/>
      <c r="H23" s="179">
        <v>6854.0899999999992</v>
      </c>
      <c r="I23" s="170">
        <v>9285.2900000000009</v>
      </c>
      <c r="J23" s="171">
        <f t="shared" si="2"/>
        <v>16139.380000000001</v>
      </c>
      <c r="K23" s="205">
        <v>1675</v>
      </c>
      <c r="L23" s="171">
        <v>14464.380000000001</v>
      </c>
      <c r="M23" s="199">
        <v>8844.4</v>
      </c>
      <c r="N23" s="171">
        <f t="shared" si="3"/>
        <v>23308.78</v>
      </c>
      <c r="O23" s="205"/>
      <c r="P23" s="241">
        <v>23308.78</v>
      </c>
      <c r="Q23" s="199">
        <v>8798.35</v>
      </c>
      <c r="R23" s="171">
        <f t="shared" si="4"/>
        <v>32107.129999999997</v>
      </c>
      <c r="S23" s="205">
        <v>2450</v>
      </c>
      <c r="T23" s="241">
        <v>29657.129999999997</v>
      </c>
      <c r="U23" s="241">
        <v>14037.189999999999</v>
      </c>
      <c r="V23" s="171">
        <f t="shared" si="5"/>
        <v>43694.319999999992</v>
      </c>
      <c r="W23" s="56">
        <v>10413.040000000001</v>
      </c>
      <c r="X23" s="658">
        <f t="shared" si="10"/>
        <v>33281.279999999992</v>
      </c>
      <c r="Y23" s="659">
        <v>16834.230000000003</v>
      </c>
      <c r="Z23" s="171">
        <f t="shared" si="6"/>
        <v>50115.509999999995</v>
      </c>
      <c r="AA23" s="56"/>
      <c r="AB23" s="241">
        <f t="shared" si="11"/>
        <v>50115.509999999995</v>
      </c>
      <c r="AC23" s="241"/>
      <c r="AE23" s="531">
        <f t="shared" si="7"/>
        <v>0</v>
      </c>
      <c r="AG23" t="s">
        <v>428</v>
      </c>
      <c r="AH23" t="s">
        <v>1856</v>
      </c>
      <c r="AI23" s="199">
        <v>10519.87</v>
      </c>
      <c r="AJ23" s="199">
        <v>0</v>
      </c>
      <c r="AK23" s="199">
        <v>108.76</v>
      </c>
      <c r="AL23" s="199">
        <v>0</v>
      </c>
      <c r="AM23" s="199">
        <v>3669.06</v>
      </c>
      <c r="AN23" s="199">
        <v>1691.03</v>
      </c>
      <c r="AO23" s="199">
        <v>375.27</v>
      </c>
      <c r="AP23" s="199">
        <v>0</v>
      </c>
      <c r="AQ23" s="199">
        <v>128.66</v>
      </c>
      <c r="AR23" s="199">
        <v>341.58</v>
      </c>
      <c r="AS23" s="199">
        <v>16834.230000000003</v>
      </c>
      <c r="AT23"/>
      <c r="AU23"/>
      <c r="AV23" t="str">
        <f t="shared" si="8"/>
        <v>21234</v>
      </c>
      <c r="AW23" s="241">
        <f t="shared" si="9"/>
        <v>16834.230000000003</v>
      </c>
      <c r="AY23" s="167">
        <f t="shared" si="12"/>
        <v>0</v>
      </c>
      <c r="BA23" s="197">
        <v>16</v>
      </c>
      <c r="BB23" s="73" t="s">
        <v>428</v>
      </c>
      <c r="BC23" s="73" t="s">
        <v>1215</v>
      </c>
      <c r="BD23" s="56">
        <v>10413.040000000001</v>
      </c>
    </row>
    <row r="24" spans="1:56">
      <c r="A24" s="197">
        <v>17</v>
      </c>
      <c r="B24" s="73" t="s">
        <v>374</v>
      </c>
      <c r="C24" s="73" t="s">
        <v>1216</v>
      </c>
      <c r="D24" s="168">
        <v>22186.539999999979</v>
      </c>
      <c r="E24" s="170">
        <v>383717.68</v>
      </c>
      <c r="F24" s="171">
        <f t="shared" si="1"/>
        <v>405904.22</v>
      </c>
      <c r="G24" s="182">
        <v>366033.48</v>
      </c>
      <c r="H24" s="179">
        <v>39870.739999999991</v>
      </c>
      <c r="I24" s="170">
        <v>525451.71</v>
      </c>
      <c r="J24" s="171">
        <f t="shared" si="2"/>
        <v>565322.44999999995</v>
      </c>
      <c r="K24" s="205">
        <v>528080.2699999999</v>
      </c>
      <c r="L24" s="171">
        <v>37242.180000000051</v>
      </c>
      <c r="M24" s="199">
        <v>516389.1</v>
      </c>
      <c r="N24" s="171">
        <f t="shared" si="3"/>
        <v>553631.28</v>
      </c>
      <c r="O24" s="205">
        <v>537860.39</v>
      </c>
      <c r="P24" s="241">
        <v>15770.890000000014</v>
      </c>
      <c r="Q24" s="199">
        <v>557267.32000000007</v>
      </c>
      <c r="R24" s="171">
        <f t="shared" si="4"/>
        <v>573038.21000000008</v>
      </c>
      <c r="S24" s="205">
        <v>547633.94999999984</v>
      </c>
      <c r="T24" s="241">
        <v>25404.260000000242</v>
      </c>
      <c r="U24" s="241">
        <v>560335.72</v>
      </c>
      <c r="V24" s="171">
        <f t="shared" si="5"/>
        <v>585739.98000000021</v>
      </c>
      <c r="W24" s="56">
        <v>533961.79000000039</v>
      </c>
      <c r="X24" s="658">
        <f t="shared" si="10"/>
        <v>51778.189999999828</v>
      </c>
      <c r="Y24" s="659">
        <v>609969.29</v>
      </c>
      <c r="Z24" s="171">
        <f t="shared" si="6"/>
        <v>661747.47999999986</v>
      </c>
      <c r="AA24" s="56"/>
      <c r="AB24" s="241">
        <f t="shared" si="11"/>
        <v>661747.47999999986</v>
      </c>
      <c r="AC24" s="241"/>
      <c r="AE24" s="531">
        <f t="shared" si="7"/>
        <v>0</v>
      </c>
      <c r="AG24" t="s">
        <v>374</v>
      </c>
      <c r="AH24" t="s">
        <v>1828</v>
      </c>
      <c r="AI24" s="199">
        <v>372085.49</v>
      </c>
      <c r="AJ24" s="199">
        <v>31328.25</v>
      </c>
      <c r="AK24" s="199">
        <v>9499.8700000000008</v>
      </c>
      <c r="AL24" s="199">
        <v>34760.559999999998</v>
      </c>
      <c r="AM24" s="199">
        <v>89739.32</v>
      </c>
      <c r="AN24" s="199">
        <v>32347.64</v>
      </c>
      <c r="AO24" s="199">
        <v>20232.41</v>
      </c>
      <c r="AP24" s="199">
        <v>17645.97</v>
      </c>
      <c r="AQ24" s="199">
        <v>2329.7800000000002</v>
      </c>
      <c r="AR24" s="199">
        <v>0</v>
      </c>
      <c r="AS24" s="199">
        <v>609969.29</v>
      </c>
      <c r="AT24"/>
      <c r="AU24"/>
      <c r="AV24" t="str">
        <f t="shared" si="8"/>
        <v>18100</v>
      </c>
      <c r="AW24" s="241">
        <f t="shared" si="9"/>
        <v>609969.29</v>
      </c>
      <c r="AY24" s="167">
        <f t="shared" si="12"/>
        <v>0</v>
      </c>
      <c r="BA24" s="197">
        <v>17</v>
      </c>
      <c r="BB24" s="73" t="s">
        <v>374</v>
      </c>
      <c r="BC24" s="73" t="s">
        <v>1216</v>
      </c>
      <c r="BD24" s="56">
        <v>533961.79000000039</v>
      </c>
    </row>
    <row r="25" spans="1:56">
      <c r="A25" s="197">
        <v>18</v>
      </c>
      <c r="B25" s="73" t="s">
        <v>478</v>
      </c>
      <c r="C25" s="73" t="s">
        <v>1217</v>
      </c>
      <c r="D25" s="168">
        <v>0</v>
      </c>
      <c r="E25" s="170">
        <v>66863.81</v>
      </c>
      <c r="F25" s="171">
        <f t="shared" si="1"/>
        <v>66863.81</v>
      </c>
      <c r="G25" s="182">
        <v>56066.42</v>
      </c>
      <c r="H25" s="179">
        <v>10797.39</v>
      </c>
      <c r="I25" s="170">
        <v>96448.21</v>
      </c>
      <c r="J25" s="171">
        <f t="shared" si="2"/>
        <v>107245.6</v>
      </c>
      <c r="K25" s="205">
        <v>81421.079999999973</v>
      </c>
      <c r="L25" s="171">
        <v>25824.520000000033</v>
      </c>
      <c r="M25" s="199">
        <v>100266.53</v>
      </c>
      <c r="N25" s="171">
        <f t="shared" si="3"/>
        <v>126091.05000000003</v>
      </c>
      <c r="O25" s="205">
        <v>94550.88</v>
      </c>
      <c r="P25" s="241">
        <v>31540.170000000027</v>
      </c>
      <c r="Q25" s="199">
        <v>110591.35</v>
      </c>
      <c r="R25" s="171">
        <f t="shared" si="4"/>
        <v>142131.52000000002</v>
      </c>
      <c r="S25" s="205">
        <v>106844.23</v>
      </c>
      <c r="T25" s="241">
        <v>35287.290000000023</v>
      </c>
      <c r="U25" s="241">
        <v>109352.26000000001</v>
      </c>
      <c r="V25" s="171">
        <f t="shared" si="5"/>
        <v>144639.55000000005</v>
      </c>
      <c r="W25" s="56">
        <v>95402.78</v>
      </c>
      <c r="X25" s="658">
        <f t="shared" si="10"/>
        <v>49236.770000000048</v>
      </c>
      <c r="Y25" s="659">
        <v>117921.61000000003</v>
      </c>
      <c r="Z25" s="171">
        <f t="shared" si="6"/>
        <v>167158.38000000006</v>
      </c>
      <c r="AA25" s="56"/>
      <c r="AB25" s="241">
        <f t="shared" si="11"/>
        <v>167158.38000000006</v>
      </c>
      <c r="AC25" s="241"/>
      <c r="AE25" s="531">
        <f t="shared" si="7"/>
        <v>0</v>
      </c>
      <c r="AG25" t="s">
        <v>478</v>
      </c>
      <c r="AH25" t="s">
        <v>1880</v>
      </c>
      <c r="AI25" s="199">
        <v>69900.19</v>
      </c>
      <c r="AJ25" s="199">
        <v>7269.56</v>
      </c>
      <c r="AK25" s="199">
        <v>1355.57</v>
      </c>
      <c r="AL25" s="199">
        <v>0</v>
      </c>
      <c r="AM25" s="199">
        <v>11935.55</v>
      </c>
      <c r="AN25" s="199">
        <v>9389.4599999999991</v>
      </c>
      <c r="AO25" s="199">
        <v>4458.8500000000004</v>
      </c>
      <c r="AP25" s="199">
        <v>9559.49</v>
      </c>
      <c r="AQ25" s="199">
        <v>418.16</v>
      </c>
      <c r="AR25" s="199">
        <v>3634.78</v>
      </c>
      <c r="AS25" s="199">
        <v>117921.61000000003</v>
      </c>
      <c r="AT25"/>
      <c r="AU25"/>
      <c r="AV25" t="str">
        <f t="shared" si="8"/>
        <v>24111</v>
      </c>
      <c r="AW25" s="241">
        <f t="shared" si="9"/>
        <v>117921.61000000003</v>
      </c>
      <c r="AY25" s="167">
        <f t="shared" si="12"/>
        <v>0</v>
      </c>
      <c r="BA25" s="197">
        <v>18</v>
      </c>
      <c r="BB25" s="73" t="s">
        <v>478</v>
      </c>
      <c r="BC25" s="73" t="s">
        <v>1217</v>
      </c>
      <c r="BD25" s="56">
        <v>95402.78</v>
      </c>
    </row>
    <row r="26" spans="1:56">
      <c r="A26" s="197">
        <v>19</v>
      </c>
      <c r="B26" s="73" t="s">
        <v>247</v>
      </c>
      <c r="C26" s="73" t="s">
        <v>1218</v>
      </c>
      <c r="D26" s="168">
        <v>0</v>
      </c>
      <c r="E26" s="170">
        <v>55379.88</v>
      </c>
      <c r="F26" s="171">
        <f t="shared" si="1"/>
        <v>55379.88</v>
      </c>
      <c r="G26" s="182">
        <v>54699.94</v>
      </c>
      <c r="H26" s="179">
        <v>679.93999999999505</v>
      </c>
      <c r="I26" s="170">
        <v>80208.39</v>
      </c>
      <c r="J26" s="171">
        <f t="shared" si="2"/>
        <v>80888.329999999987</v>
      </c>
      <c r="K26" s="205">
        <v>64431.619999999995</v>
      </c>
      <c r="L26" s="171">
        <v>16456.709999999992</v>
      </c>
      <c r="M26" s="199">
        <v>79486.89</v>
      </c>
      <c r="N26" s="171">
        <f t="shared" si="3"/>
        <v>95943.599999999991</v>
      </c>
      <c r="O26" s="205">
        <v>66487.98</v>
      </c>
      <c r="P26" s="241">
        <v>29455.619999999995</v>
      </c>
      <c r="Q26" s="199">
        <v>86881.57</v>
      </c>
      <c r="R26" s="171">
        <f t="shared" si="4"/>
        <v>116337.19</v>
      </c>
      <c r="S26" s="205">
        <v>63565.539999999994</v>
      </c>
      <c r="T26" s="241">
        <v>52771.650000000009</v>
      </c>
      <c r="U26" s="241">
        <v>83412.97</v>
      </c>
      <c r="V26" s="171">
        <f t="shared" si="5"/>
        <v>136184.62</v>
      </c>
      <c r="W26" s="56">
        <v>70017.41</v>
      </c>
      <c r="X26" s="658">
        <f t="shared" si="10"/>
        <v>66167.209999999992</v>
      </c>
      <c r="Y26" s="659">
        <v>93934.610000000015</v>
      </c>
      <c r="Z26" s="171">
        <f t="shared" si="6"/>
        <v>160101.82</v>
      </c>
      <c r="AA26" s="56"/>
      <c r="AB26" s="241">
        <f t="shared" si="11"/>
        <v>160101.82</v>
      </c>
      <c r="AC26" s="241"/>
      <c r="AE26" s="531">
        <f t="shared" si="7"/>
        <v>0</v>
      </c>
      <c r="AG26" t="s">
        <v>247</v>
      </c>
      <c r="AH26" t="s">
        <v>1762</v>
      </c>
      <c r="AI26" s="199">
        <v>58150.34</v>
      </c>
      <c r="AJ26" s="199">
        <v>2697.36</v>
      </c>
      <c r="AK26" s="199">
        <v>507</v>
      </c>
      <c r="AL26" s="199">
        <v>0</v>
      </c>
      <c r="AM26" s="199">
        <v>9343.68</v>
      </c>
      <c r="AN26" s="199">
        <v>6541.99</v>
      </c>
      <c r="AO26" s="199">
        <v>3311.58</v>
      </c>
      <c r="AP26" s="199">
        <v>10084.86</v>
      </c>
      <c r="AQ26" s="199">
        <v>318.58999999999997</v>
      </c>
      <c r="AR26" s="199">
        <v>2979.21</v>
      </c>
      <c r="AS26" s="199">
        <v>93934.610000000015</v>
      </c>
      <c r="AT26"/>
      <c r="AU26"/>
      <c r="AV26" t="str">
        <f t="shared" si="8"/>
        <v>09075</v>
      </c>
      <c r="AW26" s="241">
        <f t="shared" si="9"/>
        <v>93934.610000000015</v>
      </c>
      <c r="AY26" s="167">
        <f t="shared" si="12"/>
        <v>0</v>
      </c>
      <c r="BA26" s="197">
        <v>19</v>
      </c>
      <c r="BB26" s="73" t="s">
        <v>247</v>
      </c>
      <c r="BC26" s="73" t="s">
        <v>1218</v>
      </c>
      <c r="BD26" s="56">
        <v>70017.41</v>
      </c>
    </row>
    <row r="27" spans="1:56">
      <c r="A27" s="197">
        <v>20</v>
      </c>
      <c r="B27" s="73" t="s">
        <v>330</v>
      </c>
      <c r="C27" s="73" t="s">
        <v>1219</v>
      </c>
      <c r="D27" s="168">
        <v>580.96</v>
      </c>
      <c r="E27" s="170">
        <v>5049.0400000000009</v>
      </c>
      <c r="F27" s="171">
        <f t="shared" si="1"/>
        <v>5630.0000000000009</v>
      </c>
      <c r="G27" s="182">
        <v>4520.88</v>
      </c>
      <c r="H27" s="179">
        <v>1109.1200000000008</v>
      </c>
      <c r="I27" s="170">
        <v>8152.18</v>
      </c>
      <c r="J27" s="171">
        <f t="shared" si="2"/>
        <v>9261.3000000000011</v>
      </c>
      <c r="K27" s="205">
        <v>6031.8600000000006</v>
      </c>
      <c r="L27" s="171">
        <v>3229.4400000000005</v>
      </c>
      <c r="M27" s="199">
        <v>8346.32</v>
      </c>
      <c r="N27" s="171">
        <f t="shared" si="3"/>
        <v>11575.76</v>
      </c>
      <c r="O27" s="205">
        <v>6846.3600000000006</v>
      </c>
      <c r="P27" s="241">
        <v>4729.3999999999996</v>
      </c>
      <c r="Q27" s="199">
        <v>9043.0400000000009</v>
      </c>
      <c r="R27" s="171">
        <f t="shared" si="4"/>
        <v>13772.44</v>
      </c>
      <c r="S27" s="205">
        <v>8240.2000000000007</v>
      </c>
      <c r="T27" s="241">
        <v>5532.24</v>
      </c>
      <c r="U27" s="241">
        <v>8303.7000000000007</v>
      </c>
      <c r="V27" s="171">
        <f t="shared" si="5"/>
        <v>13835.94</v>
      </c>
      <c r="W27" s="56">
        <v>8933.4500000000007</v>
      </c>
      <c r="X27" s="658">
        <f t="shared" si="10"/>
        <v>4902.49</v>
      </c>
      <c r="Y27" s="659">
        <v>8584.34</v>
      </c>
      <c r="Z27" s="171">
        <f t="shared" si="6"/>
        <v>13486.83</v>
      </c>
      <c r="AA27" s="56"/>
      <c r="AB27" s="241">
        <f t="shared" si="11"/>
        <v>13486.83</v>
      </c>
      <c r="AC27" s="241"/>
      <c r="AE27" s="531">
        <f t="shared" si="7"/>
        <v>0</v>
      </c>
      <c r="AG27" t="s">
        <v>330</v>
      </c>
      <c r="AH27" t="s">
        <v>1804</v>
      </c>
      <c r="AI27" s="199">
        <v>5987.51</v>
      </c>
      <c r="AJ27" s="199">
        <v>0</v>
      </c>
      <c r="AK27" s="199">
        <v>0</v>
      </c>
      <c r="AL27" s="199">
        <v>0</v>
      </c>
      <c r="AM27" s="199">
        <v>892.02</v>
      </c>
      <c r="AN27" s="199">
        <v>546.82000000000005</v>
      </c>
      <c r="AO27" s="199">
        <v>329.32</v>
      </c>
      <c r="AP27" s="199">
        <v>0</v>
      </c>
      <c r="AQ27" s="199">
        <v>29.11</v>
      </c>
      <c r="AR27" s="199">
        <v>799.56</v>
      </c>
      <c r="AS27" s="199">
        <v>8584.34</v>
      </c>
      <c r="AT27"/>
      <c r="AU27"/>
      <c r="AV27" t="str">
        <f t="shared" si="8"/>
        <v>16046</v>
      </c>
      <c r="AW27" s="241">
        <f t="shared" si="9"/>
        <v>8584.34</v>
      </c>
      <c r="AY27" s="167">
        <f t="shared" si="12"/>
        <v>0</v>
      </c>
      <c r="BA27" s="197">
        <v>20</v>
      </c>
      <c r="BB27" s="73" t="s">
        <v>330</v>
      </c>
      <c r="BC27" s="73" t="s">
        <v>1219</v>
      </c>
      <c r="BD27" s="56">
        <v>8933.4500000000007</v>
      </c>
    </row>
    <row r="28" spans="1:56">
      <c r="A28" s="197">
        <v>21</v>
      </c>
      <c r="B28" s="73" t="s">
        <v>545</v>
      </c>
      <c r="C28" s="73" t="s">
        <v>1220</v>
      </c>
      <c r="D28" s="168">
        <v>0</v>
      </c>
      <c r="E28" s="170">
        <v>266280.18999999994</v>
      </c>
      <c r="F28" s="171">
        <f t="shared" si="1"/>
        <v>266280.18999999994</v>
      </c>
      <c r="G28" s="182">
        <v>313589.40999999997</v>
      </c>
      <c r="H28" s="179">
        <v>0</v>
      </c>
      <c r="I28" s="170">
        <v>375972.04</v>
      </c>
      <c r="J28" s="171">
        <f t="shared" si="2"/>
        <v>375972.04</v>
      </c>
      <c r="K28" s="205">
        <v>424308.39999999997</v>
      </c>
      <c r="L28" s="171">
        <v>0</v>
      </c>
      <c r="M28" s="199">
        <v>367753.95</v>
      </c>
      <c r="N28" s="171">
        <f t="shared" si="3"/>
        <v>367753.95</v>
      </c>
      <c r="O28" s="205">
        <v>404316.04000000004</v>
      </c>
      <c r="P28" s="241">
        <v>0</v>
      </c>
      <c r="Q28" s="199">
        <v>399363.54</v>
      </c>
      <c r="R28" s="171">
        <f t="shared" si="4"/>
        <v>399363.54</v>
      </c>
      <c r="S28" s="205">
        <v>431089.77999999997</v>
      </c>
      <c r="T28" s="241">
        <v>0</v>
      </c>
      <c r="U28" s="241">
        <v>408670.04000000004</v>
      </c>
      <c r="V28" s="171">
        <f t="shared" si="5"/>
        <v>408670.04000000004</v>
      </c>
      <c r="W28" s="56">
        <v>467523.90000000026</v>
      </c>
      <c r="X28" s="658">
        <f t="shared" si="10"/>
        <v>0</v>
      </c>
      <c r="Y28" s="659">
        <v>426809.20999999996</v>
      </c>
      <c r="Z28" s="171">
        <f t="shared" si="6"/>
        <v>426809.20999999996</v>
      </c>
      <c r="AA28" s="56"/>
      <c r="AB28" s="241">
        <f t="shared" si="11"/>
        <v>426809.20999999996</v>
      </c>
      <c r="AC28" s="241"/>
      <c r="AE28" s="531">
        <f t="shared" si="7"/>
        <v>0</v>
      </c>
      <c r="AG28" t="s">
        <v>545</v>
      </c>
      <c r="AH28" t="s">
        <v>1913</v>
      </c>
      <c r="AI28" s="199">
        <v>272198</v>
      </c>
      <c r="AJ28" s="199">
        <v>26631.89</v>
      </c>
      <c r="AK28" s="199">
        <v>6220.51</v>
      </c>
      <c r="AL28" s="199">
        <v>0</v>
      </c>
      <c r="AM28" s="199">
        <v>62271.09</v>
      </c>
      <c r="AN28" s="199">
        <v>20536.61</v>
      </c>
      <c r="AO28" s="199">
        <v>12362.11</v>
      </c>
      <c r="AP28" s="199">
        <v>21349.77</v>
      </c>
      <c r="AQ28" s="199">
        <v>1562.85</v>
      </c>
      <c r="AR28" s="199">
        <v>3676.38</v>
      </c>
      <c r="AS28" s="199">
        <v>426809.20999999996</v>
      </c>
      <c r="AT28"/>
      <c r="AU28"/>
      <c r="AV28" t="str">
        <f t="shared" si="8"/>
        <v>29100</v>
      </c>
      <c r="AW28" s="241">
        <f t="shared" si="9"/>
        <v>426809.20999999996</v>
      </c>
      <c r="AY28" s="167">
        <f t="shared" si="12"/>
        <v>0</v>
      </c>
      <c r="BA28" s="197">
        <v>21</v>
      </c>
      <c r="BB28" s="73" t="s">
        <v>545</v>
      </c>
      <c r="BC28" s="73" t="s">
        <v>1220</v>
      </c>
      <c r="BD28" s="56">
        <v>467523.90000000026</v>
      </c>
    </row>
    <row r="29" spans="1:56">
      <c r="A29" s="197">
        <v>22</v>
      </c>
      <c r="B29" s="73" t="s">
        <v>223</v>
      </c>
      <c r="C29" s="73" t="s">
        <v>1221</v>
      </c>
      <c r="D29" s="168">
        <v>0</v>
      </c>
      <c r="E29" s="170">
        <v>459024.76999999996</v>
      </c>
      <c r="F29" s="171">
        <f t="shared" si="1"/>
        <v>459024.76999999996</v>
      </c>
      <c r="G29" s="182">
        <v>476843.58</v>
      </c>
      <c r="H29" s="179">
        <v>0</v>
      </c>
      <c r="I29" s="170">
        <v>652696.09</v>
      </c>
      <c r="J29" s="171">
        <f t="shared" si="2"/>
        <v>652696.09</v>
      </c>
      <c r="K29" s="205">
        <v>813582.94000000006</v>
      </c>
      <c r="L29" s="171">
        <v>0</v>
      </c>
      <c r="M29" s="199">
        <v>644508.97</v>
      </c>
      <c r="N29" s="171">
        <f t="shared" si="3"/>
        <v>644508.97</v>
      </c>
      <c r="O29" s="205">
        <v>931327.01</v>
      </c>
      <c r="P29" s="241">
        <v>0</v>
      </c>
      <c r="Q29" s="199">
        <v>705181.39</v>
      </c>
      <c r="R29" s="171">
        <f t="shared" si="4"/>
        <v>705181.39</v>
      </c>
      <c r="S29" s="205">
        <v>906834.14</v>
      </c>
      <c r="T29" s="241">
        <v>0</v>
      </c>
      <c r="U29" s="241">
        <v>722920.29</v>
      </c>
      <c r="V29" s="171">
        <f t="shared" si="5"/>
        <v>722920.29</v>
      </c>
      <c r="W29" s="56">
        <v>902494.7899999998</v>
      </c>
      <c r="X29" s="658">
        <f t="shared" si="10"/>
        <v>0</v>
      </c>
      <c r="Y29" s="659">
        <v>761741.33</v>
      </c>
      <c r="Z29" s="171">
        <f t="shared" si="6"/>
        <v>761741.33</v>
      </c>
      <c r="AA29" s="56"/>
      <c r="AB29" s="241">
        <f t="shared" si="11"/>
        <v>761741.33</v>
      </c>
      <c r="AC29" s="241"/>
      <c r="AE29" s="531">
        <f t="shared" si="7"/>
        <v>0</v>
      </c>
      <c r="AG29" t="s">
        <v>223</v>
      </c>
      <c r="AH29" t="s">
        <v>1750</v>
      </c>
      <c r="AI29" s="199">
        <v>592655.28</v>
      </c>
      <c r="AJ29" s="199">
        <v>38516.71</v>
      </c>
      <c r="AK29" s="199">
        <v>2331.89</v>
      </c>
      <c r="AL29" s="199">
        <v>0</v>
      </c>
      <c r="AM29" s="199">
        <v>100950.57</v>
      </c>
      <c r="AN29" s="199">
        <v>13548.24</v>
      </c>
      <c r="AO29" s="199">
        <v>0</v>
      </c>
      <c r="AP29" s="199">
        <v>8345.2900000000009</v>
      </c>
      <c r="AQ29" s="199">
        <v>3423.71</v>
      </c>
      <c r="AR29" s="199">
        <v>1969.64</v>
      </c>
      <c r="AS29" s="199">
        <v>761741.33</v>
      </c>
      <c r="AT29"/>
      <c r="AU29"/>
      <c r="AV29" t="str">
        <f t="shared" si="8"/>
        <v>06117</v>
      </c>
      <c r="AW29" s="241">
        <f t="shared" si="9"/>
        <v>761741.33</v>
      </c>
      <c r="AY29" s="167">
        <f t="shared" si="12"/>
        <v>0</v>
      </c>
      <c r="BA29" s="197">
        <v>22</v>
      </c>
      <c r="BB29" s="73" t="s">
        <v>223</v>
      </c>
      <c r="BC29" s="73" t="s">
        <v>1221</v>
      </c>
      <c r="BD29" s="56">
        <v>902494.7899999998</v>
      </c>
    </row>
    <row r="30" spans="1:56">
      <c r="A30" s="197">
        <v>23</v>
      </c>
      <c r="B30" s="73" t="s">
        <v>209</v>
      </c>
      <c r="C30" s="73" t="s">
        <v>1222</v>
      </c>
      <c r="D30" s="168">
        <v>21186.09</v>
      </c>
      <c r="E30" s="170">
        <v>45131.519999999997</v>
      </c>
      <c r="F30" s="171">
        <f t="shared" si="1"/>
        <v>66317.61</v>
      </c>
      <c r="G30" s="182">
        <v>70381.070000000007</v>
      </c>
      <c r="H30" s="179">
        <v>0</v>
      </c>
      <c r="I30" s="170">
        <v>67132.19</v>
      </c>
      <c r="J30" s="171">
        <f t="shared" si="2"/>
        <v>67132.19</v>
      </c>
      <c r="K30" s="205">
        <v>64871.25</v>
      </c>
      <c r="L30" s="171">
        <v>2260.9400000000023</v>
      </c>
      <c r="M30" s="199">
        <v>64920.81</v>
      </c>
      <c r="N30" s="171">
        <f t="shared" si="3"/>
        <v>67181.75</v>
      </c>
      <c r="O30" s="205">
        <v>69469.489999999991</v>
      </c>
      <c r="P30" s="241">
        <v>0</v>
      </c>
      <c r="Q30" s="199">
        <v>69068.31</v>
      </c>
      <c r="R30" s="171">
        <f t="shared" si="4"/>
        <v>69068.31</v>
      </c>
      <c r="S30" s="205">
        <v>64025.229999999996</v>
      </c>
      <c r="T30" s="241">
        <v>5043.0800000000017</v>
      </c>
      <c r="U30" s="241">
        <v>71193.540000000008</v>
      </c>
      <c r="V30" s="171">
        <f t="shared" si="5"/>
        <v>76236.62000000001</v>
      </c>
      <c r="W30" s="56">
        <v>62398.95</v>
      </c>
      <c r="X30" s="658">
        <f t="shared" si="10"/>
        <v>13837.670000000013</v>
      </c>
      <c r="Y30" s="659">
        <v>72782.029999999984</v>
      </c>
      <c r="Z30" s="171">
        <f t="shared" si="6"/>
        <v>86619.7</v>
      </c>
      <c r="AA30" s="56"/>
      <c r="AB30" s="241">
        <f t="shared" si="11"/>
        <v>86619.7</v>
      </c>
      <c r="AC30" s="241"/>
      <c r="AE30" s="531">
        <f t="shared" si="7"/>
        <v>0</v>
      </c>
      <c r="AG30" t="s">
        <v>209</v>
      </c>
      <c r="AH30" t="s">
        <v>1741</v>
      </c>
      <c r="AI30" s="199">
        <v>57431.97</v>
      </c>
      <c r="AJ30" s="199">
        <v>1003.28</v>
      </c>
      <c r="AK30" s="199">
        <v>0</v>
      </c>
      <c r="AL30" s="199">
        <v>0</v>
      </c>
      <c r="AM30" s="199">
        <v>8337.84</v>
      </c>
      <c r="AN30" s="199">
        <v>3607.2</v>
      </c>
      <c r="AO30" s="199">
        <v>2188.84</v>
      </c>
      <c r="AP30" s="199">
        <v>0</v>
      </c>
      <c r="AQ30" s="199">
        <v>212.9</v>
      </c>
      <c r="AR30" s="199">
        <v>0</v>
      </c>
      <c r="AS30" s="199">
        <v>72782.029999999984</v>
      </c>
      <c r="AT30"/>
      <c r="AU30"/>
      <c r="AV30" t="str">
        <f t="shared" si="8"/>
        <v>05401</v>
      </c>
      <c r="AW30" s="241">
        <f t="shared" si="9"/>
        <v>72782.029999999984</v>
      </c>
      <c r="AY30" s="167">
        <f t="shared" si="12"/>
        <v>0</v>
      </c>
      <c r="BA30" s="197">
        <v>23</v>
      </c>
      <c r="BB30" s="73" t="s">
        <v>209</v>
      </c>
      <c r="BC30" s="73" t="s">
        <v>1222</v>
      </c>
      <c r="BD30" s="56">
        <v>62398.95</v>
      </c>
    </row>
    <row r="31" spans="1:56">
      <c r="A31" s="197">
        <v>24</v>
      </c>
      <c r="B31" s="73" t="s">
        <v>511</v>
      </c>
      <c r="C31" s="73" t="s">
        <v>1223</v>
      </c>
      <c r="D31" s="168">
        <v>691.28999999999905</v>
      </c>
      <c r="E31" s="170">
        <v>12579.119999999999</v>
      </c>
      <c r="F31" s="171">
        <f t="shared" si="1"/>
        <v>13270.409999999998</v>
      </c>
      <c r="G31" s="182">
        <v>10305.56</v>
      </c>
      <c r="H31" s="179">
        <v>2964.8499999999985</v>
      </c>
      <c r="I31" s="170">
        <v>19477.900000000001</v>
      </c>
      <c r="J31" s="171">
        <f t="shared" si="2"/>
        <v>22442.75</v>
      </c>
      <c r="K31" s="205">
        <v>16475.5</v>
      </c>
      <c r="L31" s="171">
        <v>5967.25</v>
      </c>
      <c r="M31" s="199">
        <v>19107.190000000002</v>
      </c>
      <c r="N31" s="171">
        <f t="shared" si="3"/>
        <v>25074.440000000002</v>
      </c>
      <c r="O31" s="205">
        <v>8645.23</v>
      </c>
      <c r="P31" s="241">
        <v>16429.210000000003</v>
      </c>
      <c r="Q31" s="199">
        <v>19939.68</v>
      </c>
      <c r="R31" s="171">
        <f t="shared" si="4"/>
        <v>36368.89</v>
      </c>
      <c r="S31" s="205">
        <v>30454.639999999999</v>
      </c>
      <c r="T31" s="241">
        <v>5914.25</v>
      </c>
      <c r="U31" s="241">
        <v>20166.719999999998</v>
      </c>
      <c r="V31" s="171">
        <f t="shared" si="5"/>
        <v>26080.969999999998</v>
      </c>
      <c r="W31" s="56">
        <v>17038.099999999999</v>
      </c>
      <c r="X31" s="658">
        <f t="shared" si="10"/>
        <v>9042.869999999999</v>
      </c>
      <c r="Y31" s="659">
        <v>20844.350000000002</v>
      </c>
      <c r="Z31" s="171">
        <f t="shared" si="6"/>
        <v>29887.22</v>
      </c>
      <c r="AA31" s="56"/>
      <c r="AB31" s="241">
        <f t="shared" si="11"/>
        <v>29887.22</v>
      </c>
      <c r="AC31" s="241"/>
      <c r="AE31" s="531">
        <f t="shared" si="7"/>
        <v>0</v>
      </c>
      <c r="AG31" t="s">
        <v>511</v>
      </c>
      <c r="AH31" t="s">
        <v>1897</v>
      </c>
      <c r="AI31" s="199">
        <v>17082.71</v>
      </c>
      <c r="AJ31" s="199">
        <v>0</v>
      </c>
      <c r="AK31" s="199">
        <v>0</v>
      </c>
      <c r="AL31" s="199">
        <v>0</v>
      </c>
      <c r="AM31" s="199">
        <v>3217.51</v>
      </c>
      <c r="AN31" s="199">
        <v>460.55</v>
      </c>
      <c r="AO31" s="199">
        <v>0</v>
      </c>
      <c r="AP31" s="199">
        <v>0</v>
      </c>
      <c r="AQ31" s="199">
        <v>83.58</v>
      </c>
      <c r="AR31" s="199">
        <v>0</v>
      </c>
      <c r="AS31" s="199">
        <v>20844.350000000002</v>
      </c>
      <c r="AT31"/>
      <c r="AU31"/>
      <c r="AV31" t="str">
        <f t="shared" si="8"/>
        <v>27019</v>
      </c>
      <c r="AW31" s="241">
        <f t="shared" si="9"/>
        <v>20844.350000000002</v>
      </c>
      <c r="AY31" s="167">
        <f t="shared" si="12"/>
        <v>0</v>
      </c>
      <c r="BA31" s="197">
        <v>24</v>
      </c>
      <c r="BB31" s="73" t="s">
        <v>511</v>
      </c>
      <c r="BC31" s="73" t="s">
        <v>1223</v>
      </c>
      <c r="BD31" s="56">
        <v>17038.099999999999</v>
      </c>
    </row>
    <row r="32" spans="1:56">
      <c r="A32" s="197">
        <v>25</v>
      </c>
      <c r="B32" s="73" t="s">
        <v>199</v>
      </c>
      <c r="C32" s="73" t="s">
        <v>1224</v>
      </c>
      <c r="D32" s="168">
        <v>37553.340000000004</v>
      </c>
      <c r="E32" s="170">
        <v>75844.11</v>
      </c>
      <c r="F32" s="171">
        <f t="shared" si="1"/>
        <v>113397.45000000001</v>
      </c>
      <c r="G32" s="182">
        <v>82437.240000000005</v>
      </c>
      <c r="H32" s="179">
        <v>30960.210000000006</v>
      </c>
      <c r="I32" s="170">
        <v>101436.2</v>
      </c>
      <c r="J32" s="171">
        <f t="shared" si="2"/>
        <v>132396.41</v>
      </c>
      <c r="K32" s="205">
        <v>142531.88000000003</v>
      </c>
      <c r="L32" s="171">
        <v>0</v>
      </c>
      <c r="M32" s="199">
        <v>107613.41</v>
      </c>
      <c r="N32" s="171">
        <f t="shared" si="3"/>
        <v>107613.41</v>
      </c>
      <c r="O32" s="205">
        <v>146752.41999999998</v>
      </c>
      <c r="P32" s="241">
        <v>0</v>
      </c>
      <c r="Q32" s="199">
        <v>117640.42000000001</v>
      </c>
      <c r="R32" s="171">
        <f t="shared" si="4"/>
        <v>117640.42000000001</v>
      </c>
      <c r="S32" s="205">
        <v>169507.04</v>
      </c>
      <c r="T32" s="241">
        <v>0</v>
      </c>
      <c r="U32" s="241">
        <v>118727.23999999999</v>
      </c>
      <c r="V32" s="171">
        <f t="shared" si="5"/>
        <v>118727.23999999999</v>
      </c>
      <c r="W32" s="56">
        <v>171040.46999999997</v>
      </c>
      <c r="X32" s="658">
        <f t="shared" si="10"/>
        <v>0</v>
      </c>
      <c r="Y32" s="659">
        <v>113589.53</v>
      </c>
      <c r="Z32" s="171">
        <f t="shared" si="6"/>
        <v>113589.53</v>
      </c>
      <c r="AA32" s="56"/>
      <c r="AB32" s="241">
        <f t="shared" si="11"/>
        <v>113589.53</v>
      </c>
      <c r="AC32" s="241"/>
      <c r="AE32" s="531">
        <f t="shared" si="7"/>
        <v>0</v>
      </c>
      <c r="AG32" t="s">
        <v>199</v>
      </c>
      <c r="AH32" t="s">
        <v>1736</v>
      </c>
      <c r="AI32" s="199">
        <v>85199.039999999994</v>
      </c>
      <c r="AJ32" s="199">
        <v>11380.7</v>
      </c>
      <c r="AK32" s="199">
        <v>4739.1499999999996</v>
      </c>
      <c r="AL32" s="199">
        <v>0</v>
      </c>
      <c r="AM32" s="199">
        <v>0</v>
      </c>
      <c r="AN32" s="199">
        <v>5442.22</v>
      </c>
      <c r="AO32" s="199">
        <v>1084.46</v>
      </c>
      <c r="AP32" s="199">
        <v>3305.46</v>
      </c>
      <c r="AQ32" s="199">
        <v>525.38</v>
      </c>
      <c r="AR32" s="199">
        <v>1913.12</v>
      </c>
      <c r="AS32" s="199">
        <v>113589.53</v>
      </c>
      <c r="AT32"/>
      <c r="AU32"/>
      <c r="AV32" t="str">
        <f t="shared" si="8"/>
        <v>04228</v>
      </c>
      <c r="AW32" s="241">
        <f t="shared" si="9"/>
        <v>113589.53</v>
      </c>
      <c r="AY32" s="167">
        <f t="shared" si="12"/>
        <v>0</v>
      </c>
      <c r="BA32" s="197">
        <v>25</v>
      </c>
      <c r="BB32" s="73" t="s">
        <v>199</v>
      </c>
      <c r="BC32" s="73" t="s">
        <v>1224</v>
      </c>
      <c r="BD32" s="56">
        <v>171040.46999999997</v>
      </c>
    </row>
    <row r="33" spans="1:56">
      <c r="A33" s="197">
        <v>26</v>
      </c>
      <c r="B33" s="73" t="s">
        <v>197</v>
      </c>
      <c r="C33" s="73" t="s">
        <v>1225</v>
      </c>
      <c r="D33" s="168">
        <v>0</v>
      </c>
      <c r="E33" s="170">
        <v>101689.51000000001</v>
      </c>
      <c r="F33" s="171">
        <f t="shared" si="1"/>
        <v>101689.51000000001</v>
      </c>
      <c r="G33" s="182">
        <v>100717.38</v>
      </c>
      <c r="H33" s="179">
        <v>972.13000000000466</v>
      </c>
      <c r="I33" s="170">
        <v>151027.12</v>
      </c>
      <c r="J33" s="171">
        <f t="shared" si="2"/>
        <v>151999.25</v>
      </c>
      <c r="K33" s="205">
        <v>161485.47</v>
      </c>
      <c r="L33" s="171">
        <v>0</v>
      </c>
      <c r="M33" s="199">
        <v>148797.45000000001</v>
      </c>
      <c r="N33" s="171">
        <f t="shared" si="3"/>
        <v>148797.45000000001</v>
      </c>
      <c r="O33" s="205">
        <v>168177.52000000002</v>
      </c>
      <c r="P33" s="241">
        <v>0</v>
      </c>
      <c r="Q33" s="199">
        <v>164617.56</v>
      </c>
      <c r="R33" s="171">
        <f t="shared" si="4"/>
        <v>164617.56</v>
      </c>
      <c r="S33" s="205">
        <v>186221.86</v>
      </c>
      <c r="T33" s="241">
        <v>0</v>
      </c>
      <c r="U33" s="241">
        <v>168603.78</v>
      </c>
      <c r="V33" s="171">
        <f t="shared" si="5"/>
        <v>168603.78</v>
      </c>
      <c r="W33" s="56">
        <v>188131.16</v>
      </c>
      <c r="X33" s="658">
        <f t="shared" si="10"/>
        <v>0</v>
      </c>
      <c r="Y33" s="659">
        <v>180199.67999999999</v>
      </c>
      <c r="Z33" s="171">
        <f t="shared" si="6"/>
        <v>180199.67999999999</v>
      </c>
      <c r="AA33" s="56"/>
      <c r="AB33" s="241">
        <f t="shared" si="11"/>
        <v>180199.67999999999</v>
      </c>
      <c r="AC33" s="241"/>
      <c r="AE33" s="531">
        <f t="shared" si="7"/>
        <v>0</v>
      </c>
      <c r="AG33" t="s">
        <v>197</v>
      </c>
      <c r="AH33" t="s">
        <v>1735</v>
      </c>
      <c r="AI33" s="199">
        <v>129153.43</v>
      </c>
      <c r="AJ33" s="199">
        <v>12192.77</v>
      </c>
      <c r="AK33" s="199">
        <v>4385.51</v>
      </c>
      <c r="AL33" s="199">
        <v>0</v>
      </c>
      <c r="AM33" s="199">
        <v>18807.25</v>
      </c>
      <c r="AN33" s="199">
        <v>7448.83</v>
      </c>
      <c r="AO33" s="199">
        <v>2739.95</v>
      </c>
      <c r="AP33" s="199">
        <v>4735.97</v>
      </c>
      <c r="AQ33" s="199">
        <v>735.97</v>
      </c>
      <c r="AR33" s="199">
        <v>0</v>
      </c>
      <c r="AS33" s="199">
        <v>180199.67999999999</v>
      </c>
      <c r="AT33"/>
      <c r="AU33"/>
      <c r="AV33" t="str">
        <f t="shared" si="8"/>
        <v>04222</v>
      </c>
      <c r="AW33" s="241">
        <f t="shared" si="9"/>
        <v>180199.67999999999</v>
      </c>
      <c r="AY33" s="167">
        <f t="shared" si="12"/>
        <v>0</v>
      </c>
      <c r="BA33" s="197">
        <v>26</v>
      </c>
      <c r="BB33" s="73" t="s">
        <v>197</v>
      </c>
      <c r="BC33" s="73" t="s">
        <v>1225</v>
      </c>
      <c r="BD33" s="56">
        <v>188131.16</v>
      </c>
    </row>
    <row r="34" spans="1:56">
      <c r="A34" s="197">
        <v>27</v>
      </c>
      <c r="B34" s="73" t="s">
        <v>237</v>
      </c>
      <c r="C34" s="73" t="s">
        <v>1226</v>
      </c>
      <c r="D34" s="168">
        <v>10674.570000000003</v>
      </c>
      <c r="E34" s="170">
        <v>90980.56</v>
      </c>
      <c r="F34" s="171">
        <f t="shared" si="1"/>
        <v>101655.13</v>
      </c>
      <c r="G34" s="182">
        <v>68954.28</v>
      </c>
      <c r="H34" s="179">
        <v>32700.850000000006</v>
      </c>
      <c r="I34" s="170">
        <v>127613.24000000002</v>
      </c>
      <c r="J34" s="171">
        <f t="shared" si="2"/>
        <v>160314.09000000003</v>
      </c>
      <c r="K34" s="205">
        <v>128308.57000000002</v>
      </c>
      <c r="L34" s="171">
        <v>32005.520000000004</v>
      </c>
      <c r="M34" s="199">
        <v>127784.99</v>
      </c>
      <c r="N34" s="171">
        <f t="shared" si="3"/>
        <v>159790.51</v>
      </c>
      <c r="O34" s="205">
        <v>171969.28</v>
      </c>
      <c r="P34" s="241">
        <v>0</v>
      </c>
      <c r="Q34" s="199">
        <v>146105.32999999999</v>
      </c>
      <c r="R34" s="171">
        <f t="shared" si="4"/>
        <v>146105.32999999999</v>
      </c>
      <c r="S34" s="205">
        <v>142129.69</v>
      </c>
      <c r="T34" s="241">
        <v>3975.6399999999849</v>
      </c>
      <c r="U34" s="241">
        <v>148116.64000000001</v>
      </c>
      <c r="V34" s="171">
        <f t="shared" si="5"/>
        <v>152092.28</v>
      </c>
      <c r="W34" s="56">
        <v>153917.43</v>
      </c>
      <c r="X34" s="658">
        <f t="shared" si="10"/>
        <v>0</v>
      </c>
      <c r="Y34" s="659">
        <v>160403.01999999999</v>
      </c>
      <c r="Z34" s="171">
        <f t="shared" si="6"/>
        <v>160403.01999999999</v>
      </c>
      <c r="AA34" s="56"/>
      <c r="AB34" s="241">
        <f t="shared" si="11"/>
        <v>160403.01999999999</v>
      </c>
      <c r="AC34" s="241"/>
      <c r="AE34" s="531">
        <f t="shared" si="7"/>
        <v>0</v>
      </c>
      <c r="AG34" t="s">
        <v>237</v>
      </c>
      <c r="AH34" t="s">
        <v>1757</v>
      </c>
      <c r="AI34" s="199">
        <v>112393.26</v>
      </c>
      <c r="AJ34" s="199">
        <v>8585.2999999999993</v>
      </c>
      <c r="AK34" s="199">
        <v>860.83</v>
      </c>
      <c r="AL34" s="199">
        <v>0</v>
      </c>
      <c r="AM34" s="199">
        <v>25596.07</v>
      </c>
      <c r="AN34" s="199">
        <v>7392.1</v>
      </c>
      <c r="AO34" s="199">
        <v>4373.0600000000004</v>
      </c>
      <c r="AP34" s="199">
        <v>575.92999999999995</v>
      </c>
      <c r="AQ34" s="199">
        <v>626.47</v>
      </c>
      <c r="AR34" s="199">
        <v>0</v>
      </c>
      <c r="AS34" s="199">
        <v>160403.01999999999</v>
      </c>
      <c r="AT34"/>
      <c r="AU34"/>
      <c r="AV34" t="str">
        <f t="shared" si="8"/>
        <v>08401</v>
      </c>
      <c r="AW34" s="241">
        <f t="shared" si="9"/>
        <v>160403.01999999999</v>
      </c>
      <c r="AY34" s="167">
        <f t="shared" si="12"/>
        <v>0</v>
      </c>
      <c r="BA34" s="197">
        <v>27</v>
      </c>
      <c r="BB34" s="73" t="s">
        <v>237</v>
      </c>
      <c r="BC34" s="73" t="s">
        <v>1226</v>
      </c>
      <c r="BD34" s="56">
        <v>153917.43</v>
      </c>
    </row>
    <row r="35" spans="1:56">
      <c r="A35" s="197">
        <v>28</v>
      </c>
      <c r="B35" s="172" t="s">
        <v>1623</v>
      </c>
      <c r="C35" s="73" t="s">
        <v>1624</v>
      </c>
      <c r="D35" s="168"/>
      <c r="E35" s="170"/>
      <c r="F35" s="171">
        <f t="shared" si="1"/>
        <v>0</v>
      </c>
      <c r="G35" s="182"/>
      <c r="H35" s="180">
        <v>0</v>
      </c>
      <c r="I35" s="170">
        <v>20871.8</v>
      </c>
      <c r="J35" s="171">
        <f t="shared" si="2"/>
        <v>20871.8</v>
      </c>
      <c r="K35" s="205">
        <v>16368.93</v>
      </c>
      <c r="L35" s="171">
        <v>4502.869999999999</v>
      </c>
      <c r="M35" s="199">
        <v>34659</v>
      </c>
      <c r="N35" s="171">
        <f t="shared" si="3"/>
        <v>39161.869999999995</v>
      </c>
      <c r="O35" s="205">
        <v>30702.32</v>
      </c>
      <c r="P35" s="241">
        <v>8459.5499999999956</v>
      </c>
      <c r="Q35" s="199">
        <v>55331.329999999994</v>
      </c>
      <c r="R35" s="171">
        <f t="shared" si="4"/>
        <v>63790.87999999999</v>
      </c>
      <c r="S35" s="205">
        <v>36244.579999999994</v>
      </c>
      <c r="T35" s="241">
        <v>27546.299999999996</v>
      </c>
      <c r="U35" s="241">
        <v>60312.58</v>
      </c>
      <c r="V35" s="171">
        <f t="shared" si="5"/>
        <v>87858.880000000005</v>
      </c>
      <c r="W35" s="56">
        <v>39637.99</v>
      </c>
      <c r="X35" s="658">
        <f t="shared" si="10"/>
        <v>48220.890000000007</v>
      </c>
      <c r="Y35" s="659">
        <v>81897.689999999988</v>
      </c>
      <c r="Z35" s="171">
        <f t="shared" si="6"/>
        <v>130118.57999999999</v>
      </c>
      <c r="AA35" s="56"/>
      <c r="AB35" s="241">
        <f t="shared" si="11"/>
        <v>130118.57999999999</v>
      </c>
      <c r="AC35" s="241"/>
      <c r="AE35" s="531">
        <f t="shared" si="7"/>
        <v>0</v>
      </c>
      <c r="AG35" t="s">
        <v>1623</v>
      </c>
      <c r="AH35" t="s">
        <v>2023</v>
      </c>
      <c r="AI35" s="199">
        <v>66522.59</v>
      </c>
      <c r="AJ35" s="199">
        <v>0</v>
      </c>
      <c r="AK35" s="199">
        <v>0</v>
      </c>
      <c r="AL35" s="199">
        <v>0</v>
      </c>
      <c r="AM35" s="199">
        <v>9699.76</v>
      </c>
      <c r="AN35" s="199">
        <v>2853.94</v>
      </c>
      <c r="AO35" s="199">
        <v>2550.2800000000002</v>
      </c>
      <c r="AP35" s="199">
        <v>271.12</v>
      </c>
      <c r="AQ35" s="199">
        <v>0</v>
      </c>
      <c r="AR35" s="199">
        <v>0</v>
      </c>
      <c r="AS35" s="199">
        <v>81897.689999999988</v>
      </c>
      <c r="AT35"/>
      <c r="AU35"/>
      <c r="AV35" t="str">
        <f t="shared" si="8"/>
        <v>18901</v>
      </c>
      <c r="AW35" s="241">
        <f t="shared" si="9"/>
        <v>81897.689999999988</v>
      </c>
      <c r="AY35" s="167">
        <f t="shared" si="12"/>
        <v>0</v>
      </c>
      <c r="BA35" s="197">
        <v>28</v>
      </c>
      <c r="BB35" s="172" t="s">
        <v>1623</v>
      </c>
      <c r="BC35" s="73" t="s">
        <v>1624</v>
      </c>
      <c r="BD35" s="56">
        <v>39637.99</v>
      </c>
    </row>
    <row r="36" spans="1:56">
      <c r="A36" s="197">
        <v>29</v>
      </c>
      <c r="B36" s="73" t="s">
        <v>400</v>
      </c>
      <c r="C36" s="73" t="s">
        <v>1227</v>
      </c>
      <c r="D36" s="168">
        <v>0</v>
      </c>
      <c r="E36" s="170">
        <v>5277.8600000000006</v>
      </c>
      <c r="F36" s="171">
        <f t="shared" si="1"/>
        <v>5277.8600000000006</v>
      </c>
      <c r="G36" s="182">
        <v>4978.6400000000003</v>
      </c>
      <c r="H36" s="179">
        <v>299.22000000000025</v>
      </c>
      <c r="I36" s="170">
        <v>8200.2199999999993</v>
      </c>
      <c r="J36" s="171">
        <f t="shared" si="2"/>
        <v>8499.4399999999987</v>
      </c>
      <c r="K36" s="205">
        <v>4430.5200000000004</v>
      </c>
      <c r="L36" s="171">
        <v>4068.9199999999983</v>
      </c>
      <c r="M36" s="199">
        <v>8289.3599999999988</v>
      </c>
      <c r="N36" s="171">
        <f t="shared" si="3"/>
        <v>12358.279999999997</v>
      </c>
      <c r="O36" s="205">
        <v>7173.55</v>
      </c>
      <c r="P36" s="241">
        <v>5184.7299999999968</v>
      </c>
      <c r="Q36" s="199">
        <v>9609.7100000000009</v>
      </c>
      <c r="R36" s="171">
        <f t="shared" si="4"/>
        <v>14794.439999999999</v>
      </c>
      <c r="S36" s="205">
        <v>7932.37</v>
      </c>
      <c r="T36" s="241">
        <v>6862.0699999999988</v>
      </c>
      <c r="U36" s="241">
        <v>9326.7599999999984</v>
      </c>
      <c r="V36" s="171">
        <f t="shared" si="5"/>
        <v>16188.829999999998</v>
      </c>
      <c r="W36" s="56">
        <v>8254.25</v>
      </c>
      <c r="X36" s="658">
        <f t="shared" si="10"/>
        <v>7934.5799999999981</v>
      </c>
      <c r="Y36" s="659">
        <v>9755.6499999999978</v>
      </c>
      <c r="Z36" s="171">
        <f t="shared" si="6"/>
        <v>17690.229999999996</v>
      </c>
      <c r="AA36" s="56"/>
      <c r="AB36" s="241">
        <f t="shared" si="11"/>
        <v>17690.229999999996</v>
      </c>
      <c r="AC36" s="241"/>
      <c r="AE36" s="531">
        <f t="shared" si="7"/>
        <v>0</v>
      </c>
      <c r="AG36" t="s">
        <v>400</v>
      </c>
      <c r="AH36" t="s">
        <v>1842</v>
      </c>
      <c r="AI36" s="199">
        <v>9464.7999999999993</v>
      </c>
      <c r="AJ36" s="199">
        <v>0</v>
      </c>
      <c r="AK36" s="199">
        <v>0</v>
      </c>
      <c r="AL36" s="199">
        <v>0</v>
      </c>
      <c r="AM36" s="199">
        <v>0</v>
      </c>
      <c r="AN36" s="199">
        <v>250.63</v>
      </c>
      <c r="AO36" s="199">
        <v>0</v>
      </c>
      <c r="AP36" s="199">
        <v>0</v>
      </c>
      <c r="AQ36" s="199">
        <v>40.22</v>
      </c>
      <c r="AR36" s="199">
        <v>0</v>
      </c>
      <c r="AS36" s="199">
        <v>9755.6499999999978</v>
      </c>
      <c r="AT36"/>
      <c r="AU36"/>
      <c r="AV36" t="str">
        <f t="shared" si="8"/>
        <v>20215</v>
      </c>
      <c r="AW36" s="241">
        <f t="shared" si="9"/>
        <v>9755.6499999999978</v>
      </c>
      <c r="AY36" s="167">
        <f t="shared" si="12"/>
        <v>0</v>
      </c>
      <c r="BA36" s="197">
        <v>29</v>
      </c>
      <c r="BB36" s="73" t="s">
        <v>400</v>
      </c>
      <c r="BC36" s="73" t="s">
        <v>1227</v>
      </c>
      <c r="BD36" s="56">
        <v>8254.25</v>
      </c>
    </row>
    <row r="37" spans="1:56">
      <c r="A37" s="197">
        <v>30</v>
      </c>
      <c r="B37" s="73" t="s">
        <v>380</v>
      </c>
      <c r="C37" s="73" t="s">
        <v>1228</v>
      </c>
      <c r="D37" s="168">
        <v>98218.450000000012</v>
      </c>
      <c r="E37" s="170">
        <v>827753.23</v>
      </c>
      <c r="F37" s="171">
        <f t="shared" si="1"/>
        <v>925971.67999999993</v>
      </c>
      <c r="G37" s="182">
        <v>653734.68000000005</v>
      </c>
      <c r="H37" s="179">
        <v>272236.99999999988</v>
      </c>
      <c r="I37" s="170">
        <v>1097864.22</v>
      </c>
      <c r="J37" s="171">
        <f t="shared" si="2"/>
        <v>1370101.2199999997</v>
      </c>
      <c r="K37" s="205">
        <v>1992802.23</v>
      </c>
      <c r="L37" s="171">
        <v>0</v>
      </c>
      <c r="M37" s="199">
        <v>1134960.98</v>
      </c>
      <c r="N37" s="171">
        <f t="shared" si="3"/>
        <v>1134960.98</v>
      </c>
      <c r="O37" s="205">
        <v>1134960.98</v>
      </c>
      <c r="P37" s="241">
        <v>0</v>
      </c>
      <c r="Q37" s="199">
        <v>1229228.1099999999</v>
      </c>
      <c r="R37" s="171">
        <f t="shared" si="4"/>
        <v>1229228.1099999999</v>
      </c>
      <c r="S37" s="205">
        <v>1229316.29</v>
      </c>
      <c r="T37" s="241">
        <v>0</v>
      </c>
      <c r="U37" s="241">
        <v>1304418.17</v>
      </c>
      <c r="V37" s="171">
        <f t="shared" si="5"/>
        <v>1304418.17</v>
      </c>
      <c r="W37" s="56">
        <v>1304418.7399999984</v>
      </c>
      <c r="X37" s="658">
        <f t="shared" si="10"/>
        <v>0</v>
      </c>
      <c r="Y37" s="659">
        <v>1387981.52</v>
      </c>
      <c r="Z37" s="171">
        <f t="shared" si="6"/>
        <v>1387981.52</v>
      </c>
      <c r="AA37" s="56"/>
      <c r="AB37" s="241">
        <f t="shared" si="11"/>
        <v>1387981.52</v>
      </c>
      <c r="AC37" s="241"/>
      <c r="AE37" s="531">
        <f t="shared" si="7"/>
        <v>0</v>
      </c>
      <c r="AG37" t="s">
        <v>380</v>
      </c>
      <c r="AH37" t="s">
        <v>1831</v>
      </c>
      <c r="AI37" s="199">
        <v>1001603.92</v>
      </c>
      <c r="AJ37" s="199">
        <v>64802.86</v>
      </c>
      <c r="AK37" s="199">
        <v>12041.92</v>
      </c>
      <c r="AL37" s="199">
        <v>0</v>
      </c>
      <c r="AM37" s="199">
        <v>219341.77</v>
      </c>
      <c r="AN37" s="199">
        <v>50866.080000000002</v>
      </c>
      <c r="AO37" s="199">
        <v>11378.53</v>
      </c>
      <c r="AP37" s="199">
        <v>15697.1</v>
      </c>
      <c r="AQ37" s="199">
        <v>5850.91</v>
      </c>
      <c r="AR37" s="199">
        <v>6398.43</v>
      </c>
      <c r="AS37" s="199">
        <v>1387981.52</v>
      </c>
      <c r="AT37"/>
      <c r="AU37"/>
      <c r="AV37" t="str">
        <f t="shared" si="8"/>
        <v>18401</v>
      </c>
      <c r="AW37" s="241">
        <f t="shared" si="9"/>
        <v>1387981.52</v>
      </c>
      <c r="AY37" s="167">
        <f t="shared" si="12"/>
        <v>0</v>
      </c>
      <c r="BA37" s="197">
        <v>30</v>
      </c>
      <c r="BB37" s="73" t="s">
        <v>380</v>
      </c>
      <c r="BC37" s="73" t="s">
        <v>1228</v>
      </c>
      <c r="BD37" s="56">
        <v>1304418.7399999984</v>
      </c>
    </row>
    <row r="38" spans="1:56">
      <c r="A38" s="197">
        <v>31</v>
      </c>
      <c r="B38" s="73" t="s">
        <v>604</v>
      </c>
      <c r="C38" s="73" t="s">
        <v>1229</v>
      </c>
      <c r="D38" s="168">
        <v>0</v>
      </c>
      <c r="E38" s="170">
        <v>876722.45999999985</v>
      </c>
      <c r="F38" s="171">
        <f t="shared" si="1"/>
        <v>876722.45999999985</v>
      </c>
      <c r="G38" s="182">
        <v>1072817.82</v>
      </c>
      <c r="H38" s="179">
        <v>0</v>
      </c>
      <c r="I38" s="170">
        <v>1236070.1399999999</v>
      </c>
      <c r="J38" s="171">
        <f t="shared" si="2"/>
        <v>1236070.1399999999</v>
      </c>
      <c r="K38" s="205">
        <v>1101982.0000000002</v>
      </c>
      <c r="L38" s="171">
        <v>134088.13999999966</v>
      </c>
      <c r="M38" s="199">
        <v>1266040.7</v>
      </c>
      <c r="N38" s="171">
        <f t="shared" si="3"/>
        <v>1400128.8399999996</v>
      </c>
      <c r="O38" s="205">
        <v>1032708.98</v>
      </c>
      <c r="P38" s="241">
        <v>367419.85999999964</v>
      </c>
      <c r="Q38" s="199">
        <v>1387423.1199999999</v>
      </c>
      <c r="R38" s="171">
        <f t="shared" si="4"/>
        <v>1754842.9799999995</v>
      </c>
      <c r="S38" s="205">
        <v>1243762.2200000002</v>
      </c>
      <c r="T38" s="241">
        <v>511080.75999999931</v>
      </c>
      <c r="U38" s="241">
        <v>1504449.7299999997</v>
      </c>
      <c r="V38" s="171">
        <f t="shared" si="5"/>
        <v>2015530.4899999991</v>
      </c>
      <c r="W38" s="56">
        <v>1056773.0499999996</v>
      </c>
      <c r="X38" s="658">
        <f t="shared" si="10"/>
        <v>958757.43999999948</v>
      </c>
      <c r="Y38" s="659">
        <v>1616854.8599999996</v>
      </c>
      <c r="Z38" s="171">
        <f t="shared" si="6"/>
        <v>2575612.2999999989</v>
      </c>
      <c r="AA38" s="56"/>
      <c r="AB38" s="241">
        <f t="shared" si="11"/>
        <v>2575612.2999999989</v>
      </c>
      <c r="AC38" s="241"/>
      <c r="AE38" s="531">
        <f t="shared" si="7"/>
        <v>0</v>
      </c>
      <c r="AG38" t="s">
        <v>604</v>
      </c>
      <c r="AH38" t="s">
        <v>1943</v>
      </c>
      <c r="AI38" s="199">
        <v>1155741.32</v>
      </c>
      <c r="AJ38" s="199">
        <v>60935.14</v>
      </c>
      <c r="AK38" s="199">
        <v>35415.4</v>
      </c>
      <c r="AL38" s="199">
        <v>4860.21</v>
      </c>
      <c r="AM38" s="199">
        <v>247846.94</v>
      </c>
      <c r="AN38" s="199">
        <v>63971.39</v>
      </c>
      <c r="AO38" s="199">
        <v>18051.79</v>
      </c>
      <c r="AP38" s="199">
        <v>23391.49</v>
      </c>
      <c r="AQ38" s="199">
        <v>6641.18</v>
      </c>
      <c r="AR38" s="199">
        <v>0</v>
      </c>
      <c r="AS38" s="199">
        <v>1616854.8599999996</v>
      </c>
      <c r="AT38"/>
      <c r="AU38"/>
      <c r="AV38" t="str">
        <f t="shared" si="8"/>
        <v>32356</v>
      </c>
      <c r="AW38" s="241">
        <f t="shared" si="9"/>
        <v>1616854.8599999996</v>
      </c>
      <c r="AY38" s="167">
        <f t="shared" si="12"/>
        <v>0</v>
      </c>
      <c r="BA38" s="197">
        <v>31</v>
      </c>
      <c r="BB38" s="73" t="s">
        <v>604</v>
      </c>
      <c r="BC38" s="73" t="s">
        <v>1229</v>
      </c>
      <c r="BD38" s="56">
        <v>1056773.0499999996</v>
      </c>
    </row>
    <row r="39" spans="1:56">
      <c r="A39" s="197">
        <v>32</v>
      </c>
      <c r="B39" s="73" t="s">
        <v>440</v>
      </c>
      <c r="C39" s="73" t="s">
        <v>1230</v>
      </c>
      <c r="D39" s="168">
        <v>2863.3300000000163</v>
      </c>
      <c r="E39" s="170">
        <v>224913.62</v>
      </c>
      <c r="F39" s="171">
        <f t="shared" si="1"/>
        <v>227776.95</v>
      </c>
      <c r="G39" s="182">
        <v>230166.2</v>
      </c>
      <c r="H39" s="179">
        <v>0</v>
      </c>
      <c r="I39" s="170">
        <v>331220.31000000006</v>
      </c>
      <c r="J39" s="171">
        <f t="shared" si="2"/>
        <v>331220.31000000006</v>
      </c>
      <c r="K39" s="205">
        <v>319231.03999999998</v>
      </c>
      <c r="L39" s="171">
        <v>11989.270000000077</v>
      </c>
      <c r="M39" s="199">
        <v>338708.95</v>
      </c>
      <c r="N39" s="171">
        <f t="shared" si="3"/>
        <v>350698.22000000009</v>
      </c>
      <c r="O39" s="205">
        <v>322226.94999999995</v>
      </c>
      <c r="P39" s="241">
        <v>28471.270000000135</v>
      </c>
      <c r="Q39" s="199">
        <v>372653.76</v>
      </c>
      <c r="R39" s="171">
        <f t="shared" si="4"/>
        <v>401125.03000000014</v>
      </c>
      <c r="S39" s="205">
        <v>368899.55</v>
      </c>
      <c r="T39" s="241">
        <v>32225.480000000156</v>
      </c>
      <c r="U39" s="241">
        <v>374786.54</v>
      </c>
      <c r="V39" s="171">
        <f t="shared" si="5"/>
        <v>407012.02000000014</v>
      </c>
      <c r="W39" s="56">
        <v>139132.17999999991</v>
      </c>
      <c r="X39" s="658">
        <f t="shared" si="10"/>
        <v>267879.8400000002</v>
      </c>
      <c r="Y39" s="659">
        <v>382042.49</v>
      </c>
      <c r="Z39" s="171">
        <f t="shared" si="6"/>
        <v>649922.33000000019</v>
      </c>
      <c r="AA39" s="56"/>
      <c r="AB39" s="241">
        <f t="shared" si="11"/>
        <v>649922.33000000019</v>
      </c>
      <c r="AC39" s="241"/>
      <c r="AE39" s="531">
        <f t="shared" si="7"/>
        <v>0</v>
      </c>
      <c r="AG39" t="s">
        <v>440</v>
      </c>
      <c r="AH39" t="s">
        <v>1862</v>
      </c>
      <c r="AI39" s="199">
        <v>240837.44</v>
      </c>
      <c r="AJ39" s="199">
        <v>24169.06</v>
      </c>
      <c r="AK39" s="199">
        <v>8372.4</v>
      </c>
      <c r="AL39" s="199">
        <v>0</v>
      </c>
      <c r="AM39" s="199">
        <v>55727.23</v>
      </c>
      <c r="AN39" s="199">
        <v>23197.95</v>
      </c>
      <c r="AO39" s="199">
        <v>15007.82</v>
      </c>
      <c r="AP39" s="199">
        <v>13283.11</v>
      </c>
      <c r="AQ39" s="199">
        <v>1447.48</v>
      </c>
      <c r="AR39" s="199">
        <v>0</v>
      </c>
      <c r="AS39" s="199">
        <v>382042.49</v>
      </c>
      <c r="AT39"/>
      <c r="AU39"/>
      <c r="AV39" t="str">
        <f t="shared" si="8"/>
        <v>21401</v>
      </c>
      <c r="AW39" s="241">
        <f t="shared" si="9"/>
        <v>382042.49</v>
      </c>
      <c r="AY39" s="167">
        <f t="shared" si="12"/>
        <v>0</v>
      </c>
      <c r="BA39" s="197">
        <v>32</v>
      </c>
      <c r="BB39" s="73" t="s">
        <v>440</v>
      </c>
      <c r="BC39" s="73" t="s">
        <v>1230</v>
      </c>
      <c r="BD39" s="56">
        <v>139132.17999999991</v>
      </c>
    </row>
    <row r="40" spans="1:56">
      <c r="A40" s="197">
        <v>33</v>
      </c>
      <c r="B40" s="73" t="s">
        <v>436</v>
      </c>
      <c r="C40" s="73" t="s">
        <v>1231</v>
      </c>
      <c r="D40" s="168">
        <v>0</v>
      </c>
      <c r="E40" s="170">
        <v>190269.51</v>
      </c>
      <c r="F40" s="171">
        <f t="shared" ref="F40:F71" si="13">+D40+E40</f>
        <v>190269.51</v>
      </c>
      <c r="G40" s="182">
        <v>196864.37</v>
      </c>
      <c r="H40" s="179">
        <v>0</v>
      </c>
      <c r="I40" s="170">
        <v>275721.3</v>
      </c>
      <c r="J40" s="171">
        <f t="shared" ref="J40:J71" si="14">+H40+I40</f>
        <v>275721.3</v>
      </c>
      <c r="K40" s="205">
        <v>292409.83999999997</v>
      </c>
      <c r="L40" s="171">
        <v>0</v>
      </c>
      <c r="M40" s="199">
        <v>271014.65999999997</v>
      </c>
      <c r="N40" s="171">
        <f t="shared" ref="N40:N71" si="15">+L40+M40</f>
        <v>271014.65999999997</v>
      </c>
      <c r="O40" s="205">
        <v>286190.07000000007</v>
      </c>
      <c r="P40" s="241">
        <v>0</v>
      </c>
      <c r="Q40" s="199">
        <v>287566.2</v>
      </c>
      <c r="R40" s="171">
        <f t="shared" ref="R40:R71" si="16">+P40+Q40</f>
        <v>287566.2</v>
      </c>
      <c r="S40" s="205">
        <v>317721.88</v>
      </c>
      <c r="T40" s="241">
        <v>0</v>
      </c>
      <c r="U40" s="241">
        <v>305620.03999999998</v>
      </c>
      <c r="V40" s="171">
        <f t="shared" ref="V40:V71" si="17">+T40+U40</f>
        <v>305620.03999999998</v>
      </c>
      <c r="W40" s="56">
        <v>330834.35999999993</v>
      </c>
      <c r="X40" s="658">
        <f t="shared" si="10"/>
        <v>0</v>
      </c>
      <c r="Y40" s="659">
        <v>326847.23999999993</v>
      </c>
      <c r="Z40" s="171">
        <f t="shared" ref="Z40:Z71" si="18">+X40+Y40</f>
        <v>326847.23999999993</v>
      </c>
      <c r="AA40" s="56"/>
      <c r="AB40" s="241">
        <f t="shared" si="11"/>
        <v>326847.23999999993</v>
      </c>
      <c r="AC40" s="241"/>
      <c r="AE40" s="531">
        <f t="shared" si="7"/>
        <v>0</v>
      </c>
      <c r="AG40" t="s">
        <v>436</v>
      </c>
      <c r="AH40" t="s">
        <v>1860</v>
      </c>
      <c r="AI40" s="199">
        <v>239401.24</v>
      </c>
      <c r="AJ40" s="199">
        <v>20786.95</v>
      </c>
      <c r="AK40" s="199">
        <v>0</v>
      </c>
      <c r="AL40" s="199">
        <v>0</v>
      </c>
      <c r="AM40" s="199">
        <v>43202.23</v>
      </c>
      <c r="AN40" s="199">
        <v>14884.92</v>
      </c>
      <c r="AO40" s="199">
        <v>3257.67</v>
      </c>
      <c r="AP40" s="199">
        <v>3966.55</v>
      </c>
      <c r="AQ40" s="199">
        <v>1347.68</v>
      </c>
      <c r="AR40" s="199">
        <v>0</v>
      </c>
      <c r="AS40" s="199">
        <v>326847.23999999993</v>
      </c>
      <c r="AT40"/>
      <c r="AU40"/>
      <c r="AV40" t="str">
        <f t="shared" si="8"/>
        <v>21302</v>
      </c>
      <c r="AW40" s="241">
        <f t="shared" si="9"/>
        <v>326847.23999999993</v>
      </c>
      <c r="AY40" s="167">
        <f t="shared" si="12"/>
        <v>0</v>
      </c>
      <c r="BA40" s="197">
        <v>33</v>
      </c>
      <c r="BB40" s="73" t="s">
        <v>436</v>
      </c>
      <c r="BC40" s="73" t="s">
        <v>1231</v>
      </c>
      <c r="BD40" s="56">
        <v>330834.35999999993</v>
      </c>
    </row>
    <row r="41" spans="1:56">
      <c r="A41" s="197">
        <v>34</v>
      </c>
      <c r="B41" s="73" t="s">
        <v>608</v>
      </c>
      <c r="C41" s="73" t="s">
        <v>1232</v>
      </c>
      <c r="D41" s="168">
        <v>31461.710000000006</v>
      </c>
      <c r="E41" s="170">
        <v>312671.68000000005</v>
      </c>
      <c r="F41" s="171">
        <f t="shared" si="13"/>
        <v>344133.39000000007</v>
      </c>
      <c r="G41" s="182">
        <v>324839.05</v>
      </c>
      <c r="H41" s="179">
        <v>19294.340000000084</v>
      </c>
      <c r="I41" s="170">
        <v>438704.27</v>
      </c>
      <c r="J41" s="171">
        <f t="shared" si="14"/>
        <v>457998.6100000001</v>
      </c>
      <c r="K41" s="205">
        <v>478598.86000000016</v>
      </c>
      <c r="L41" s="171">
        <v>0</v>
      </c>
      <c r="M41" s="199">
        <v>463817.02999999997</v>
      </c>
      <c r="N41" s="171">
        <f t="shared" si="15"/>
        <v>463817.02999999997</v>
      </c>
      <c r="O41" s="205">
        <v>503099.9</v>
      </c>
      <c r="P41" s="241">
        <v>0</v>
      </c>
      <c r="Q41" s="199">
        <v>516782.13</v>
      </c>
      <c r="R41" s="171">
        <f t="shared" si="16"/>
        <v>516782.13</v>
      </c>
      <c r="S41" s="205">
        <v>504559.11000000004</v>
      </c>
      <c r="T41" s="241">
        <v>12223.01999999996</v>
      </c>
      <c r="U41" s="241">
        <v>553524.99</v>
      </c>
      <c r="V41" s="171">
        <f t="shared" si="17"/>
        <v>565748.01</v>
      </c>
      <c r="W41" s="56">
        <v>530558.24999999965</v>
      </c>
      <c r="X41" s="658">
        <f t="shared" si="10"/>
        <v>35189.760000000359</v>
      </c>
      <c r="Y41" s="659">
        <v>586686.81999999995</v>
      </c>
      <c r="Z41" s="171">
        <f t="shared" si="18"/>
        <v>621876.58000000031</v>
      </c>
      <c r="AA41" s="56"/>
      <c r="AB41" s="241">
        <f t="shared" si="11"/>
        <v>621876.58000000031</v>
      </c>
      <c r="AC41" s="241"/>
      <c r="AE41" s="531">
        <f t="shared" si="7"/>
        <v>0</v>
      </c>
      <c r="AG41" t="s">
        <v>608</v>
      </c>
      <c r="AH41" t="s">
        <v>1945</v>
      </c>
      <c r="AI41" s="199">
        <v>410209.28000000003</v>
      </c>
      <c r="AJ41" s="199">
        <v>23380.22</v>
      </c>
      <c r="AK41" s="199">
        <v>9181.15</v>
      </c>
      <c r="AL41" s="199">
        <v>0</v>
      </c>
      <c r="AM41" s="199">
        <v>90183.33</v>
      </c>
      <c r="AN41" s="199">
        <v>26573.86</v>
      </c>
      <c r="AO41" s="199">
        <v>12445.25</v>
      </c>
      <c r="AP41" s="199">
        <v>12301.26</v>
      </c>
      <c r="AQ41" s="199">
        <v>2412.4699999999998</v>
      </c>
      <c r="AR41" s="199">
        <v>0</v>
      </c>
      <c r="AS41" s="199">
        <v>586686.81999999995</v>
      </c>
      <c r="AT41"/>
      <c r="AU41"/>
      <c r="AV41" t="str">
        <f t="shared" si="8"/>
        <v>32360</v>
      </c>
      <c r="AW41" s="241">
        <f t="shared" si="9"/>
        <v>586686.81999999995</v>
      </c>
      <c r="AY41" s="167">
        <f t="shared" si="12"/>
        <v>0</v>
      </c>
      <c r="BA41" s="197">
        <v>34</v>
      </c>
      <c r="BB41" s="73" t="s">
        <v>608</v>
      </c>
      <c r="BC41" s="73" t="s">
        <v>1232</v>
      </c>
      <c r="BD41" s="56">
        <v>530558.24999999965</v>
      </c>
    </row>
    <row r="42" spans="1:56">
      <c r="A42" s="197">
        <v>35</v>
      </c>
      <c r="B42" s="73" t="s">
        <v>620</v>
      </c>
      <c r="C42" s="73" t="s">
        <v>1233</v>
      </c>
      <c r="D42" s="168">
        <v>3122.16</v>
      </c>
      <c r="E42" s="170">
        <v>42800.87</v>
      </c>
      <c r="F42" s="171">
        <f t="shared" si="13"/>
        <v>45923.03</v>
      </c>
      <c r="G42" s="182">
        <v>36063.54</v>
      </c>
      <c r="H42" s="179">
        <v>9859.489999999998</v>
      </c>
      <c r="I42" s="170">
        <v>53065.72</v>
      </c>
      <c r="J42" s="171">
        <f t="shared" si="14"/>
        <v>62925.21</v>
      </c>
      <c r="K42" s="205">
        <v>44234.909999999996</v>
      </c>
      <c r="L42" s="171">
        <v>18690.300000000003</v>
      </c>
      <c r="M42" s="199">
        <v>60902</v>
      </c>
      <c r="N42" s="171">
        <f t="shared" si="15"/>
        <v>79592.3</v>
      </c>
      <c r="O42" s="205">
        <v>56113.75</v>
      </c>
      <c r="P42" s="241">
        <v>23478.550000000003</v>
      </c>
      <c r="Q42" s="199">
        <v>68662.820000000007</v>
      </c>
      <c r="R42" s="171">
        <f t="shared" si="16"/>
        <v>92141.37000000001</v>
      </c>
      <c r="S42" s="205">
        <v>92141.37</v>
      </c>
      <c r="T42" s="241">
        <v>1.4551915228366852E-11</v>
      </c>
      <c r="U42" s="241">
        <v>74077.37</v>
      </c>
      <c r="V42" s="171">
        <f t="shared" si="17"/>
        <v>74077.37000000001</v>
      </c>
      <c r="W42" s="56">
        <v>72224.23</v>
      </c>
      <c r="X42" s="658">
        <f t="shared" si="10"/>
        <v>1853.140000000014</v>
      </c>
      <c r="Y42" s="659">
        <v>75059.409999999989</v>
      </c>
      <c r="Z42" s="171">
        <f t="shared" si="18"/>
        <v>76912.55</v>
      </c>
      <c r="AA42" s="56"/>
      <c r="AB42" s="241">
        <f t="shared" si="11"/>
        <v>76912.55</v>
      </c>
      <c r="AC42" s="241"/>
      <c r="AE42" s="531">
        <f t="shared" si="7"/>
        <v>0</v>
      </c>
      <c r="AG42" t="s">
        <v>620</v>
      </c>
      <c r="AH42" t="s">
        <v>1952</v>
      </c>
      <c r="AI42" s="199">
        <v>48004.21</v>
      </c>
      <c r="AJ42" s="199">
        <v>3737.41</v>
      </c>
      <c r="AK42" s="199">
        <v>1012.47</v>
      </c>
      <c r="AL42" s="199">
        <v>0</v>
      </c>
      <c r="AM42" s="199">
        <v>11843.65</v>
      </c>
      <c r="AN42" s="199">
        <v>4756.01</v>
      </c>
      <c r="AO42" s="199">
        <v>3738.93</v>
      </c>
      <c r="AP42" s="199">
        <v>38.299999999999997</v>
      </c>
      <c r="AQ42" s="199">
        <v>340.04</v>
      </c>
      <c r="AR42" s="199">
        <v>1588.39</v>
      </c>
      <c r="AS42" s="199">
        <v>75059.409999999989</v>
      </c>
      <c r="AT42"/>
      <c r="AU42"/>
      <c r="AV42" t="str">
        <f t="shared" si="8"/>
        <v>33036</v>
      </c>
      <c r="AW42" s="241">
        <f t="shared" si="9"/>
        <v>75059.409999999989</v>
      </c>
      <c r="AY42" s="167">
        <f t="shared" si="12"/>
        <v>0</v>
      </c>
      <c r="BA42" s="197">
        <v>35</v>
      </c>
      <c r="BB42" s="73" t="s">
        <v>620</v>
      </c>
      <c r="BC42" s="73" t="s">
        <v>1233</v>
      </c>
      <c r="BD42" s="56">
        <v>72224.23</v>
      </c>
    </row>
    <row r="43" spans="1:56">
      <c r="A43" s="197">
        <v>36</v>
      </c>
      <c r="B43" s="172" t="s">
        <v>1553</v>
      </c>
      <c r="C43" s="73" t="s">
        <v>1569</v>
      </c>
      <c r="D43" s="168">
        <v>17014.509999999998</v>
      </c>
      <c r="E43" s="170">
        <v>30316.399999999998</v>
      </c>
      <c r="F43" s="171">
        <f t="shared" si="13"/>
        <v>47330.909999999996</v>
      </c>
      <c r="G43" s="182"/>
      <c r="H43" s="179">
        <v>47330.909999999996</v>
      </c>
      <c r="I43" s="170">
        <v>47271.619999999995</v>
      </c>
      <c r="J43" s="171">
        <f t="shared" si="14"/>
        <v>94602.53</v>
      </c>
      <c r="K43" s="205"/>
      <c r="L43" s="171">
        <v>94602.53</v>
      </c>
      <c r="M43" s="199">
        <v>54922.07</v>
      </c>
      <c r="N43" s="171">
        <f t="shared" si="15"/>
        <v>149524.6</v>
      </c>
      <c r="O43" s="205">
        <v>55838.080000000002</v>
      </c>
      <c r="P43" s="241">
        <v>93686.52</v>
      </c>
      <c r="Q43" s="199">
        <v>71059.069999999992</v>
      </c>
      <c r="R43" s="171">
        <f t="shared" si="16"/>
        <v>164745.59</v>
      </c>
      <c r="S43" s="205">
        <v>191466.22000000003</v>
      </c>
      <c r="T43" s="241">
        <v>0</v>
      </c>
      <c r="U43" s="241">
        <v>79501.429999999993</v>
      </c>
      <c r="V43" s="171">
        <f t="shared" si="17"/>
        <v>79501.429999999993</v>
      </c>
      <c r="W43" s="56"/>
      <c r="X43" s="658">
        <f t="shared" si="10"/>
        <v>79501.429999999993</v>
      </c>
      <c r="Y43" s="659">
        <v>81219.460000000006</v>
      </c>
      <c r="Z43" s="171">
        <f t="shared" si="18"/>
        <v>160720.89000000001</v>
      </c>
      <c r="AA43" s="56"/>
      <c r="AB43" s="241">
        <f t="shared" si="11"/>
        <v>160720.89000000001</v>
      </c>
      <c r="AC43" s="241"/>
      <c r="AE43" s="531">
        <f t="shared" si="7"/>
        <v>0</v>
      </c>
      <c r="AG43" t="s">
        <v>1553</v>
      </c>
      <c r="AH43" t="s">
        <v>1908</v>
      </c>
      <c r="AI43" s="199">
        <v>56497.55</v>
      </c>
      <c r="AJ43" s="199">
        <v>3787.89</v>
      </c>
      <c r="AK43" s="199">
        <v>734.25</v>
      </c>
      <c r="AL43" s="199">
        <v>0</v>
      </c>
      <c r="AM43" s="199">
        <v>10587.66</v>
      </c>
      <c r="AN43" s="199">
        <v>4245.9399999999996</v>
      </c>
      <c r="AO43" s="199">
        <v>3245.78</v>
      </c>
      <c r="AP43" s="199">
        <v>0</v>
      </c>
      <c r="AQ43" s="199">
        <v>308.79000000000002</v>
      </c>
      <c r="AR43" s="199">
        <v>1811.6</v>
      </c>
      <c r="AS43" s="199">
        <v>81219.460000000006</v>
      </c>
      <c r="AT43"/>
      <c r="AU43"/>
      <c r="AV43" t="str">
        <f t="shared" si="8"/>
        <v>27901</v>
      </c>
      <c r="AW43" s="241">
        <f t="shared" si="9"/>
        <v>81219.460000000006</v>
      </c>
      <c r="AY43" s="167">
        <f t="shared" si="12"/>
        <v>0</v>
      </c>
      <c r="BA43" s="197">
        <v>36</v>
      </c>
      <c r="BB43" s="172" t="s">
        <v>1553</v>
      </c>
      <c r="BC43" s="73" t="s">
        <v>1569</v>
      </c>
      <c r="BD43" s="56"/>
    </row>
    <row r="44" spans="1:56">
      <c r="A44" s="197">
        <v>37</v>
      </c>
      <c r="B44" s="73" t="s">
        <v>334</v>
      </c>
      <c r="C44" s="73" t="s">
        <v>1234</v>
      </c>
      <c r="D44" s="168">
        <v>27286.76</v>
      </c>
      <c r="E44" s="170">
        <v>56431.49</v>
      </c>
      <c r="F44" s="171">
        <f t="shared" si="13"/>
        <v>83718.25</v>
      </c>
      <c r="G44" s="182">
        <v>47281.52</v>
      </c>
      <c r="H44" s="179">
        <v>36436.730000000003</v>
      </c>
      <c r="I44" s="170">
        <v>72315.839999999997</v>
      </c>
      <c r="J44" s="171">
        <f t="shared" si="14"/>
        <v>108752.57</v>
      </c>
      <c r="K44" s="205">
        <v>65308.520000000004</v>
      </c>
      <c r="L44" s="171">
        <v>43444.05</v>
      </c>
      <c r="M44" s="199">
        <v>68586.459999999992</v>
      </c>
      <c r="N44" s="171">
        <f t="shared" si="15"/>
        <v>112030.51</v>
      </c>
      <c r="O44" s="205">
        <v>60777.44000000001</v>
      </c>
      <c r="P44" s="241">
        <v>51253.069999999985</v>
      </c>
      <c r="Q44" s="199">
        <v>80244.7</v>
      </c>
      <c r="R44" s="171">
        <f t="shared" si="16"/>
        <v>131497.76999999999</v>
      </c>
      <c r="S44" s="205">
        <v>63417.87999999999</v>
      </c>
      <c r="T44" s="241">
        <v>68079.89</v>
      </c>
      <c r="U44" s="241">
        <v>80761.119999999995</v>
      </c>
      <c r="V44" s="171">
        <f t="shared" si="17"/>
        <v>148841.01</v>
      </c>
      <c r="W44" s="56">
        <v>78217.969999999987</v>
      </c>
      <c r="X44" s="658">
        <f t="shared" si="10"/>
        <v>70623.040000000023</v>
      </c>
      <c r="Y44" s="659">
        <v>86877.31</v>
      </c>
      <c r="Z44" s="171">
        <f t="shared" si="18"/>
        <v>157500.35000000003</v>
      </c>
      <c r="AA44" s="56"/>
      <c r="AB44" s="241">
        <f t="shared" si="11"/>
        <v>157500.35000000003</v>
      </c>
      <c r="AC44" s="241"/>
      <c r="AE44" s="531">
        <f t="shared" si="7"/>
        <v>0</v>
      </c>
      <c r="AG44" t="s">
        <v>334</v>
      </c>
      <c r="AH44" t="s">
        <v>1806</v>
      </c>
      <c r="AI44" s="199">
        <v>61278.74</v>
      </c>
      <c r="AJ44" s="199">
        <v>2165</v>
      </c>
      <c r="AK44" s="199">
        <v>73.77</v>
      </c>
      <c r="AL44" s="199">
        <v>0</v>
      </c>
      <c r="AM44" s="199">
        <v>12869.33</v>
      </c>
      <c r="AN44" s="199">
        <v>4220.21</v>
      </c>
      <c r="AO44" s="199">
        <v>2125.54</v>
      </c>
      <c r="AP44" s="199">
        <v>0</v>
      </c>
      <c r="AQ44" s="199">
        <v>319.08999999999997</v>
      </c>
      <c r="AR44" s="199">
        <v>3825.63</v>
      </c>
      <c r="AS44" s="199">
        <v>86877.31</v>
      </c>
      <c r="AT44"/>
      <c r="AU44"/>
      <c r="AV44" t="str">
        <f t="shared" si="8"/>
        <v>16049</v>
      </c>
      <c r="AW44" s="241">
        <f t="shared" si="9"/>
        <v>86877.31</v>
      </c>
      <c r="AY44" s="167">
        <f t="shared" si="12"/>
        <v>0</v>
      </c>
      <c r="BA44" s="197">
        <v>37</v>
      </c>
      <c r="BB44" s="73" t="s">
        <v>334</v>
      </c>
      <c r="BC44" s="73" t="s">
        <v>1234</v>
      </c>
      <c r="BD44" s="56">
        <v>78217.969999999987</v>
      </c>
    </row>
    <row r="45" spans="1:56">
      <c r="A45" s="197">
        <v>38</v>
      </c>
      <c r="B45" s="73" t="s">
        <v>173</v>
      </c>
      <c r="C45" s="73" t="s">
        <v>1235</v>
      </c>
      <c r="D45" s="168">
        <v>0</v>
      </c>
      <c r="E45" s="170">
        <v>157801.41</v>
      </c>
      <c r="F45" s="171">
        <f t="shared" si="13"/>
        <v>157801.41</v>
      </c>
      <c r="G45" s="182">
        <v>175036.57</v>
      </c>
      <c r="H45" s="179">
        <v>0</v>
      </c>
      <c r="I45" s="170">
        <v>222572.66999999998</v>
      </c>
      <c r="J45" s="171">
        <f t="shared" si="14"/>
        <v>222572.66999999998</v>
      </c>
      <c r="K45" s="205">
        <v>228187.86000000002</v>
      </c>
      <c r="L45" s="171">
        <v>0</v>
      </c>
      <c r="M45" s="199">
        <v>214171.53999999998</v>
      </c>
      <c r="N45" s="171">
        <f t="shared" si="15"/>
        <v>214171.53999999998</v>
      </c>
      <c r="O45" s="205">
        <v>218115.49</v>
      </c>
      <c r="P45" s="241">
        <v>0</v>
      </c>
      <c r="Q45" s="199">
        <v>239310.15000000002</v>
      </c>
      <c r="R45" s="171">
        <f t="shared" si="16"/>
        <v>239310.15000000002</v>
      </c>
      <c r="S45" s="205">
        <v>260073.85</v>
      </c>
      <c r="T45" s="241">
        <v>0</v>
      </c>
      <c r="U45" s="241">
        <v>237804.24</v>
      </c>
      <c r="V45" s="171">
        <f t="shared" si="17"/>
        <v>237804.24</v>
      </c>
      <c r="W45" s="56">
        <v>205642.78000000009</v>
      </c>
      <c r="X45" s="658">
        <f t="shared" si="10"/>
        <v>32161.459999999905</v>
      </c>
      <c r="Y45" s="659">
        <v>254598.63999999998</v>
      </c>
      <c r="Z45" s="171">
        <f t="shared" si="18"/>
        <v>286760.09999999986</v>
      </c>
      <c r="AA45" s="56"/>
      <c r="AB45" s="241">
        <f t="shared" si="11"/>
        <v>286760.09999999986</v>
      </c>
      <c r="AC45" s="241"/>
      <c r="AE45" s="531">
        <f t="shared" si="7"/>
        <v>0</v>
      </c>
      <c r="AG45" t="s">
        <v>173</v>
      </c>
      <c r="AH45" t="s">
        <v>1723</v>
      </c>
      <c r="AI45" s="199">
        <v>173994.58</v>
      </c>
      <c r="AJ45" s="199">
        <v>10555.1</v>
      </c>
      <c r="AK45" s="199">
        <v>1972.86</v>
      </c>
      <c r="AL45" s="199">
        <v>0</v>
      </c>
      <c r="AM45" s="199">
        <v>40737.9</v>
      </c>
      <c r="AN45" s="199">
        <v>13376.54</v>
      </c>
      <c r="AO45" s="199">
        <v>6168.25</v>
      </c>
      <c r="AP45" s="199">
        <v>672.43</v>
      </c>
      <c r="AQ45" s="199">
        <v>1033.9100000000001</v>
      </c>
      <c r="AR45" s="199">
        <v>6087.07</v>
      </c>
      <c r="AS45" s="199">
        <v>254598.63999999998</v>
      </c>
      <c r="AT45"/>
      <c r="AU45"/>
      <c r="AV45" t="str">
        <f t="shared" si="8"/>
        <v>02250</v>
      </c>
      <c r="AW45" s="241">
        <f t="shared" si="9"/>
        <v>254598.63999999998</v>
      </c>
      <c r="AY45" s="167">
        <f t="shared" si="12"/>
        <v>0</v>
      </c>
      <c r="BA45" s="197">
        <v>38</v>
      </c>
      <c r="BB45" s="73" t="s">
        <v>173</v>
      </c>
      <c r="BC45" s="73" t="s">
        <v>1235</v>
      </c>
      <c r="BD45" s="56">
        <v>205642.78000000009</v>
      </c>
    </row>
    <row r="46" spans="1:56">
      <c r="A46" s="197">
        <v>39</v>
      </c>
      <c r="B46" s="73" t="s">
        <v>394</v>
      </c>
      <c r="C46" s="73" t="s">
        <v>1236</v>
      </c>
      <c r="D46" s="168">
        <v>4361.7200000000012</v>
      </c>
      <c r="E46" s="170">
        <v>53411.73</v>
      </c>
      <c r="F46" s="171">
        <f t="shared" si="13"/>
        <v>57773.450000000004</v>
      </c>
      <c r="G46" s="182">
        <v>50143.81</v>
      </c>
      <c r="H46" s="179">
        <v>7629.6400000000067</v>
      </c>
      <c r="I46" s="170">
        <v>75910.25</v>
      </c>
      <c r="J46" s="171">
        <f t="shared" si="14"/>
        <v>83539.890000000014</v>
      </c>
      <c r="K46" s="205">
        <v>83129.38</v>
      </c>
      <c r="L46" s="171">
        <v>410.51000000000931</v>
      </c>
      <c r="M46" s="199">
        <v>78316.400000000009</v>
      </c>
      <c r="N46" s="171">
        <f t="shared" si="15"/>
        <v>78726.910000000018</v>
      </c>
      <c r="O46" s="205">
        <v>100066.54000000001</v>
      </c>
      <c r="P46" s="241">
        <v>0</v>
      </c>
      <c r="Q46" s="199">
        <v>88998.93</v>
      </c>
      <c r="R46" s="171">
        <f t="shared" si="16"/>
        <v>88998.93</v>
      </c>
      <c r="S46" s="205">
        <v>115988.79999999999</v>
      </c>
      <c r="T46" s="241">
        <v>0</v>
      </c>
      <c r="U46" s="241">
        <v>93128.94</v>
      </c>
      <c r="V46" s="171">
        <f t="shared" si="17"/>
        <v>93128.94</v>
      </c>
      <c r="W46" s="56">
        <v>96150.199999999983</v>
      </c>
      <c r="X46" s="658">
        <f t="shared" si="10"/>
        <v>0</v>
      </c>
      <c r="Y46" s="659">
        <v>110135.81000000001</v>
      </c>
      <c r="Z46" s="171">
        <f t="shared" si="18"/>
        <v>110135.81000000001</v>
      </c>
      <c r="AA46" s="56"/>
      <c r="AB46" s="241">
        <f t="shared" si="11"/>
        <v>110135.81000000001</v>
      </c>
      <c r="AC46" s="241"/>
      <c r="AE46" s="531">
        <f t="shared" si="7"/>
        <v>0</v>
      </c>
      <c r="AG46" t="s">
        <v>394</v>
      </c>
      <c r="AH46" t="s">
        <v>1839</v>
      </c>
      <c r="AI46" s="199">
        <v>76276.350000000006</v>
      </c>
      <c r="AJ46" s="199">
        <v>6333.77</v>
      </c>
      <c r="AK46" s="199">
        <v>836.17</v>
      </c>
      <c r="AL46" s="199">
        <v>0</v>
      </c>
      <c r="AM46" s="199">
        <v>16488.28</v>
      </c>
      <c r="AN46" s="199">
        <v>3495.66</v>
      </c>
      <c r="AO46" s="199">
        <v>0</v>
      </c>
      <c r="AP46" s="199">
        <v>500.08</v>
      </c>
      <c r="AQ46" s="199">
        <v>430.26</v>
      </c>
      <c r="AR46" s="199">
        <v>5775.24</v>
      </c>
      <c r="AS46" s="199">
        <v>110135.81000000001</v>
      </c>
      <c r="AT46"/>
      <c r="AU46"/>
      <c r="AV46" t="str">
        <f t="shared" si="8"/>
        <v>19404</v>
      </c>
      <c r="AW46" s="241">
        <f t="shared" si="9"/>
        <v>110135.81000000001</v>
      </c>
      <c r="AY46" s="167">
        <f t="shared" si="12"/>
        <v>0</v>
      </c>
      <c r="BA46" s="197">
        <v>39</v>
      </c>
      <c r="BB46" s="73" t="s">
        <v>394</v>
      </c>
      <c r="BC46" s="73" t="s">
        <v>1236</v>
      </c>
      <c r="BD46" s="56">
        <v>96150.199999999983</v>
      </c>
    </row>
    <row r="47" spans="1:56">
      <c r="A47" s="197">
        <v>40</v>
      </c>
      <c r="B47" s="73" t="s">
        <v>521</v>
      </c>
      <c r="C47" s="73" t="s">
        <v>1237</v>
      </c>
      <c r="D47" s="168">
        <v>0</v>
      </c>
      <c r="E47" s="170">
        <v>891396.82</v>
      </c>
      <c r="F47" s="171">
        <f t="shared" si="13"/>
        <v>891396.82</v>
      </c>
      <c r="G47" s="182">
        <v>832821.71</v>
      </c>
      <c r="H47" s="179">
        <v>58575.109999999986</v>
      </c>
      <c r="I47" s="170">
        <v>1242519.06</v>
      </c>
      <c r="J47" s="171">
        <f t="shared" si="14"/>
        <v>1301094.17</v>
      </c>
      <c r="K47" s="205">
        <v>1148137.96</v>
      </c>
      <c r="L47" s="171">
        <v>152956.20999999996</v>
      </c>
      <c r="M47" s="199">
        <v>1212526.2400000002</v>
      </c>
      <c r="N47" s="171">
        <f t="shared" si="15"/>
        <v>1365482.4500000002</v>
      </c>
      <c r="O47" s="205">
        <v>1206593.4100000001</v>
      </c>
      <c r="P47" s="241">
        <v>158889.04000000004</v>
      </c>
      <c r="Q47" s="199">
        <v>1341661.8700000001</v>
      </c>
      <c r="R47" s="171">
        <f t="shared" si="16"/>
        <v>1500550.9100000001</v>
      </c>
      <c r="S47" s="205">
        <v>1351240.7200000002</v>
      </c>
      <c r="T47" s="241">
        <v>149310.18999999994</v>
      </c>
      <c r="U47" s="241">
        <v>1377922.81</v>
      </c>
      <c r="V47" s="171">
        <f t="shared" si="17"/>
        <v>1527233</v>
      </c>
      <c r="W47" s="56">
        <v>1391475.1299999992</v>
      </c>
      <c r="X47" s="658">
        <f t="shared" si="10"/>
        <v>135757.87000000081</v>
      </c>
      <c r="Y47" s="659">
        <v>1485233.05</v>
      </c>
      <c r="Z47" s="171">
        <f t="shared" si="18"/>
        <v>1620990.9200000009</v>
      </c>
      <c r="AA47" s="56"/>
      <c r="AB47" s="241">
        <f t="shared" si="11"/>
        <v>1620990.9200000009</v>
      </c>
      <c r="AC47" s="241"/>
      <c r="AE47" s="531">
        <f t="shared" si="7"/>
        <v>0</v>
      </c>
      <c r="AG47" t="s">
        <v>521</v>
      </c>
      <c r="AH47" t="s">
        <v>1901</v>
      </c>
      <c r="AI47" s="199">
        <v>979209.24</v>
      </c>
      <c r="AJ47" s="199">
        <v>53787.5</v>
      </c>
      <c r="AK47" s="199">
        <v>34419.269999999997</v>
      </c>
      <c r="AL47" s="199">
        <v>0</v>
      </c>
      <c r="AM47" s="199">
        <v>229659.81</v>
      </c>
      <c r="AN47" s="199">
        <v>83808.36</v>
      </c>
      <c r="AO47" s="199">
        <v>46018.46</v>
      </c>
      <c r="AP47" s="199">
        <v>52863.66</v>
      </c>
      <c r="AQ47" s="199">
        <v>5466.75</v>
      </c>
      <c r="AR47" s="199">
        <v>0</v>
      </c>
      <c r="AS47" s="199">
        <v>1485233.05</v>
      </c>
      <c r="AT47"/>
      <c r="AU47"/>
      <c r="AV47" t="str">
        <f t="shared" si="8"/>
        <v>27400</v>
      </c>
      <c r="AW47" s="241">
        <f t="shared" si="9"/>
        <v>1485233.05</v>
      </c>
      <c r="AY47" s="167">
        <f t="shared" si="12"/>
        <v>0</v>
      </c>
      <c r="BA47" s="197">
        <v>40</v>
      </c>
      <c r="BB47" s="73" t="s">
        <v>521</v>
      </c>
      <c r="BC47" s="73" t="s">
        <v>1237</v>
      </c>
      <c r="BD47" s="56">
        <v>1391475.1299999992</v>
      </c>
    </row>
    <row r="48" spans="1:56">
      <c r="A48" s="197">
        <v>41</v>
      </c>
      <c r="B48" s="73" t="s">
        <v>693</v>
      </c>
      <c r="C48" s="73" t="s">
        <v>1238</v>
      </c>
      <c r="D48" s="168">
        <v>4751.7000000000044</v>
      </c>
      <c r="E48" s="170">
        <v>35094.47</v>
      </c>
      <c r="F48" s="171">
        <f t="shared" si="13"/>
        <v>39846.170000000006</v>
      </c>
      <c r="G48" s="182">
        <v>28194.46</v>
      </c>
      <c r="H48" s="179">
        <v>11651.710000000006</v>
      </c>
      <c r="I48" s="170">
        <v>50951.29</v>
      </c>
      <c r="J48" s="171">
        <f t="shared" si="14"/>
        <v>62603.000000000007</v>
      </c>
      <c r="K48" s="205">
        <v>44570.450000000004</v>
      </c>
      <c r="L48" s="171">
        <v>18032.550000000003</v>
      </c>
      <c r="M48" s="199">
        <v>50527.44</v>
      </c>
      <c r="N48" s="171">
        <f t="shared" si="15"/>
        <v>68559.990000000005</v>
      </c>
      <c r="O48" s="205">
        <v>39006.049999999996</v>
      </c>
      <c r="P48" s="241">
        <v>29553.94000000001</v>
      </c>
      <c r="Q48" s="199">
        <v>58456.249999999993</v>
      </c>
      <c r="R48" s="171">
        <f t="shared" si="16"/>
        <v>88010.19</v>
      </c>
      <c r="S48" s="205">
        <v>45593.3</v>
      </c>
      <c r="T48" s="241">
        <v>42416.89</v>
      </c>
      <c r="U48" s="241">
        <v>57217.33</v>
      </c>
      <c r="V48" s="171">
        <f t="shared" si="17"/>
        <v>99634.22</v>
      </c>
      <c r="W48" s="56">
        <v>53741.5</v>
      </c>
      <c r="X48" s="658">
        <f t="shared" si="10"/>
        <v>45892.72</v>
      </c>
      <c r="Y48" s="659">
        <v>62788.249999999993</v>
      </c>
      <c r="Z48" s="171">
        <f t="shared" si="18"/>
        <v>108680.97</v>
      </c>
      <c r="AA48" s="56"/>
      <c r="AB48" s="241">
        <f t="shared" si="11"/>
        <v>108680.97</v>
      </c>
      <c r="AC48" s="241"/>
      <c r="AE48" s="531">
        <f t="shared" si="7"/>
        <v>0</v>
      </c>
      <c r="AG48" t="s">
        <v>693</v>
      </c>
      <c r="AH48" t="s">
        <v>1992</v>
      </c>
      <c r="AI48" s="199">
        <v>47104.78</v>
      </c>
      <c r="AJ48" s="199">
        <v>3783.35</v>
      </c>
      <c r="AK48" s="199">
        <v>845.88</v>
      </c>
      <c r="AL48" s="199">
        <v>0</v>
      </c>
      <c r="AM48" s="199">
        <v>7199.2</v>
      </c>
      <c r="AN48" s="199">
        <v>1701.32</v>
      </c>
      <c r="AO48" s="199">
        <v>0</v>
      </c>
      <c r="AP48" s="199">
        <v>0</v>
      </c>
      <c r="AQ48" s="199">
        <v>238.94</v>
      </c>
      <c r="AR48" s="199">
        <v>1914.78</v>
      </c>
      <c r="AS48" s="199">
        <v>62788.249999999993</v>
      </c>
      <c r="AT48"/>
      <c r="AU48"/>
      <c r="AV48" t="str">
        <f t="shared" si="8"/>
        <v>38300</v>
      </c>
      <c r="AW48" s="241">
        <f t="shared" si="9"/>
        <v>62788.249999999993</v>
      </c>
      <c r="AY48" s="167">
        <f t="shared" si="12"/>
        <v>0</v>
      </c>
      <c r="BA48" s="197">
        <v>41</v>
      </c>
      <c r="BB48" s="73" t="s">
        <v>693</v>
      </c>
      <c r="BC48" s="73" t="s">
        <v>1238</v>
      </c>
      <c r="BD48" s="56">
        <v>53741.5</v>
      </c>
    </row>
    <row r="49" spans="1:56">
      <c r="A49" s="197">
        <v>42</v>
      </c>
      <c r="B49" s="73" t="s">
        <v>662</v>
      </c>
      <c r="C49" s="73" t="s">
        <v>1239</v>
      </c>
      <c r="D49" s="168">
        <v>11897.199999999997</v>
      </c>
      <c r="E49" s="170">
        <v>102199.89</v>
      </c>
      <c r="F49" s="171">
        <f t="shared" si="13"/>
        <v>114097.09</v>
      </c>
      <c r="G49" s="182">
        <v>35828.61</v>
      </c>
      <c r="H49" s="179">
        <v>78268.479999999996</v>
      </c>
      <c r="I49" s="170">
        <v>153668.64000000001</v>
      </c>
      <c r="J49" s="171">
        <f t="shared" si="14"/>
        <v>231937.12</v>
      </c>
      <c r="K49" s="205">
        <v>183718.14000000004</v>
      </c>
      <c r="L49" s="171">
        <v>48218.979999999952</v>
      </c>
      <c r="M49" s="199">
        <v>152422.78999999998</v>
      </c>
      <c r="N49" s="171">
        <f t="shared" si="15"/>
        <v>200641.76999999993</v>
      </c>
      <c r="O49" s="205">
        <v>98883.98</v>
      </c>
      <c r="P49" s="241">
        <v>101757.78999999994</v>
      </c>
      <c r="Q49" s="199">
        <v>166190.19</v>
      </c>
      <c r="R49" s="171">
        <f t="shared" si="16"/>
        <v>267947.97999999992</v>
      </c>
      <c r="S49" s="205">
        <v>154949.21999999997</v>
      </c>
      <c r="T49" s="241">
        <v>112998.75999999995</v>
      </c>
      <c r="U49" s="241">
        <v>163628.17000000001</v>
      </c>
      <c r="V49" s="171">
        <f t="shared" si="17"/>
        <v>276626.92999999993</v>
      </c>
      <c r="W49" s="56">
        <v>175487.92000000004</v>
      </c>
      <c r="X49" s="658">
        <f t="shared" si="10"/>
        <v>101139.00999999989</v>
      </c>
      <c r="Y49" s="659">
        <v>172444.55</v>
      </c>
      <c r="Z49" s="171">
        <f t="shared" si="18"/>
        <v>273583.55999999988</v>
      </c>
      <c r="AA49" s="56"/>
      <c r="AB49" s="241">
        <f t="shared" si="11"/>
        <v>273583.55999999988</v>
      </c>
      <c r="AC49" s="241"/>
      <c r="AE49" s="531">
        <f t="shared" si="7"/>
        <v>0</v>
      </c>
      <c r="AG49" t="s">
        <v>662</v>
      </c>
      <c r="AH49" t="s">
        <v>1975</v>
      </c>
      <c r="AI49" s="199">
        <v>110048.19</v>
      </c>
      <c r="AJ49" s="199">
        <v>13290.76</v>
      </c>
      <c r="AK49" s="199">
        <v>1202.4000000000001</v>
      </c>
      <c r="AL49" s="199">
        <v>0</v>
      </c>
      <c r="AM49" s="199">
        <v>24787.97</v>
      </c>
      <c r="AN49" s="199">
        <v>7978.74</v>
      </c>
      <c r="AO49" s="199">
        <v>6666.06</v>
      </c>
      <c r="AP49" s="199">
        <v>6024.27</v>
      </c>
      <c r="AQ49" s="199">
        <v>643.32000000000005</v>
      </c>
      <c r="AR49" s="199">
        <v>1802.84</v>
      </c>
      <c r="AS49" s="199">
        <v>172444.55</v>
      </c>
      <c r="AT49"/>
      <c r="AU49"/>
      <c r="AV49" t="str">
        <f t="shared" si="8"/>
        <v>36250</v>
      </c>
      <c r="AW49" s="241">
        <f t="shared" si="9"/>
        <v>172444.55</v>
      </c>
      <c r="AY49" s="167">
        <f t="shared" si="12"/>
        <v>0</v>
      </c>
      <c r="BA49" s="197">
        <v>42</v>
      </c>
      <c r="BB49" s="73" t="s">
        <v>662</v>
      </c>
      <c r="BC49" s="73" t="s">
        <v>1239</v>
      </c>
      <c r="BD49" s="56">
        <v>175487.92000000004</v>
      </c>
    </row>
    <row r="50" spans="1:56">
      <c r="A50" s="197">
        <v>43</v>
      </c>
      <c r="B50" s="73" t="s">
        <v>701</v>
      </c>
      <c r="C50" s="73" t="s">
        <v>1240</v>
      </c>
      <c r="D50" s="168">
        <v>984.3700000000008</v>
      </c>
      <c r="E50" s="170">
        <v>17459</v>
      </c>
      <c r="F50" s="171">
        <f t="shared" si="13"/>
        <v>18443.370000000003</v>
      </c>
      <c r="G50" s="182">
        <v>15464.09</v>
      </c>
      <c r="H50" s="179">
        <v>2979.2800000000025</v>
      </c>
      <c r="I50" s="170">
        <v>25138.350000000002</v>
      </c>
      <c r="J50" s="171">
        <f t="shared" si="14"/>
        <v>28117.630000000005</v>
      </c>
      <c r="K50" s="205">
        <v>23217.45</v>
      </c>
      <c r="L50" s="171">
        <v>4900.1800000000039</v>
      </c>
      <c r="M50" s="199">
        <v>25897.57</v>
      </c>
      <c r="N50" s="171">
        <f t="shared" si="15"/>
        <v>30797.750000000004</v>
      </c>
      <c r="O50" s="205">
        <v>25286.639999999999</v>
      </c>
      <c r="P50" s="241">
        <v>5511.1100000000042</v>
      </c>
      <c r="Q50" s="199">
        <v>26364.93</v>
      </c>
      <c r="R50" s="171">
        <f t="shared" si="16"/>
        <v>31876.040000000005</v>
      </c>
      <c r="S50" s="205">
        <v>21383.279999999999</v>
      </c>
      <c r="T50" s="241">
        <v>10492.760000000006</v>
      </c>
      <c r="U50" s="241">
        <v>25360.639999999999</v>
      </c>
      <c r="V50" s="171">
        <f t="shared" si="17"/>
        <v>35853.400000000009</v>
      </c>
      <c r="W50" s="56">
        <v>21239.06</v>
      </c>
      <c r="X50" s="658">
        <f t="shared" si="10"/>
        <v>14614.340000000007</v>
      </c>
      <c r="Y50" s="659">
        <v>26497.59</v>
      </c>
      <c r="Z50" s="171">
        <f t="shared" si="18"/>
        <v>41111.930000000008</v>
      </c>
      <c r="AA50" s="56"/>
      <c r="AB50" s="241">
        <f t="shared" si="11"/>
        <v>41111.930000000008</v>
      </c>
      <c r="AC50" s="241"/>
      <c r="AE50" s="531">
        <f t="shared" si="7"/>
        <v>0</v>
      </c>
      <c r="AG50" t="s">
        <v>701</v>
      </c>
      <c r="AH50" t="s">
        <v>1996</v>
      </c>
      <c r="AI50" s="199">
        <v>22138.14</v>
      </c>
      <c r="AJ50" s="199">
        <v>442.45</v>
      </c>
      <c r="AK50" s="199">
        <v>72.72</v>
      </c>
      <c r="AL50" s="199">
        <v>0</v>
      </c>
      <c r="AM50" s="199">
        <v>2408.62</v>
      </c>
      <c r="AN50" s="199">
        <v>428.54</v>
      </c>
      <c r="AO50" s="199">
        <v>0</v>
      </c>
      <c r="AP50" s="199">
        <v>0</v>
      </c>
      <c r="AQ50" s="199">
        <v>0</v>
      </c>
      <c r="AR50" s="199">
        <v>1007.12</v>
      </c>
      <c r="AS50" s="199">
        <v>26497.59</v>
      </c>
      <c r="AT50"/>
      <c r="AU50"/>
      <c r="AV50" t="str">
        <f t="shared" si="8"/>
        <v>38306</v>
      </c>
      <c r="AW50" s="241">
        <f t="shared" si="9"/>
        <v>26497.59</v>
      </c>
      <c r="AY50" s="167">
        <f t="shared" si="12"/>
        <v>0</v>
      </c>
      <c r="BA50" s="197">
        <v>43</v>
      </c>
      <c r="BB50" s="73" t="s">
        <v>701</v>
      </c>
      <c r="BC50" s="73" t="s">
        <v>1240</v>
      </c>
      <c r="BD50" s="56">
        <v>21239.06</v>
      </c>
    </row>
    <row r="51" spans="1:56">
      <c r="A51" s="197">
        <v>44</v>
      </c>
      <c r="B51" s="73" t="s">
        <v>633</v>
      </c>
      <c r="C51" s="73" t="s">
        <v>1241</v>
      </c>
      <c r="D51" s="168">
        <v>0</v>
      </c>
      <c r="E51" s="170">
        <v>13367.109999999999</v>
      </c>
      <c r="F51" s="171">
        <f t="shared" si="13"/>
        <v>13367.109999999999</v>
      </c>
      <c r="G51" s="182">
        <v>11624.79</v>
      </c>
      <c r="H51" s="179">
        <v>1742.3199999999979</v>
      </c>
      <c r="I51" s="170">
        <v>20196.390000000003</v>
      </c>
      <c r="J51" s="171">
        <f t="shared" si="14"/>
        <v>21938.71</v>
      </c>
      <c r="K51" s="205">
        <v>17920.849999999999</v>
      </c>
      <c r="L51" s="171">
        <v>4017.8600000000006</v>
      </c>
      <c r="M51" s="199">
        <v>20660.95</v>
      </c>
      <c r="N51" s="171">
        <f t="shared" si="15"/>
        <v>24678.81</v>
      </c>
      <c r="O51" s="205">
        <v>25886.84</v>
      </c>
      <c r="P51" s="241">
        <v>0</v>
      </c>
      <c r="Q51" s="199">
        <v>23738.09</v>
      </c>
      <c r="R51" s="171">
        <f t="shared" si="16"/>
        <v>23738.09</v>
      </c>
      <c r="S51" s="205">
        <v>24042.19</v>
      </c>
      <c r="T51" s="241">
        <v>0</v>
      </c>
      <c r="U51" s="241">
        <v>22489.99</v>
      </c>
      <c r="V51" s="171">
        <f t="shared" si="17"/>
        <v>22489.99</v>
      </c>
      <c r="W51" s="56">
        <v>23856.499999999996</v>
      </c>
      <c r="X51" s="658">
        <f t="shared" si="10"/>
        <v>0</v>
      </c>
      <c r="Y51" s="659">
        <v>24051.49</v>
      </c>
      <c r="Z51" s="171">
        <f t="shared" si="18"/>
        <v>24051.49</v>
      </c>
      <c r="AA51" s="56"/>
      <c r="AB51" s="241">
        <f t="shared" si="11"/>
        <v>24051.49</v>
      </c>
      <c r="AC51" s="241"/>
      <c r="AE51" s="531">
        <f t="shared" si="7"/>
        <v>0</v>
      </c>
      <c r="AG51" t="s">
        <v>633</v>
      </c>
      <c r="AH51" t="s">
        <v>1959</v>
      </c>
      <c r="AI51" s="199">
        <v>19232.32</v>
      </c>
      <c r="AJ51" s="199">
        <v>661.7</v>
      </c>
      <c r="AK51" s="199">
        <v>107.22</v>
      </c>
      <c r="AL51" s="199">
        <v>0</v>
      </c>
      <c r="AM51" s="199">
        <v>1835.38</v>
      </c>
      <c r="AN51" s="199">
        <v>796.49</v>
      </c>
      <c r="AO51" s="199">
        <v>503.94</v>
      </c>
      <c r="AP51" s="199">
        <v>0</v>
      </c>
      <c r="AQ51" s="199">
        <v>0</v>
      </c>
      <c r="AR51" s="199">
        <v>914.44</v>
      </c>
      <c r="AS51" s="199">
        <v>24051.49</v>
      </c>
      <c r="AT51"/>
      <c r="AU51"/>
      <c r="AV51" t="str">
        <f t="shared" si="8"/>
        <v>33206</v>
      </c>
      <c r="AW51" s="241">
        <f t="shared" si="9"/>
        <v>24051.49</v>
      </c>
      <c r="AY51" s="167">
        <f t="shared" si="12"/>
        <v>0</v>
      </c>
      <c r="BA51" s="197">
        <v>44</v>
      </c>
      <c r="BB51" s="73" t="s">
        <v>633</v>
      </c>
      <c r="BC51" s="73" t="s">
        <v>1241</v>
      </c>
      <c r="BD51" s="56">
        <v>23856.499999999996</v>
      </c>
    </row>
    <row r="52" spans="1:56">
      <c r="A52" s="197">
        <v>45</v>
      </c>
      <c r="B52" s="73" t="s">
        <v>666</v>
      </c>
      <c r="C52" s="73" t="s">
        <v>1242</v>
      </c>
      <c r="D52" s="168">
        <v>3268.5</v>
      </c>
      <c r="E52" s="170">
        <v>52722.74</v>
      </c>
      <c r="F52" s="171">
        <f t="shared" si="13"/>
        <v>55991.24</v>
      </c>
      <c r="G52" s="182">
        <v>47908.07</v>
      </c>
      <c r="H52" s="179">
        <v>8083.1699999999983</v>
      </c>
      <c r="I52" s="170">
        <v>74875.400000000009</v>
      </c>
      <c r="J52" s="171">
        <f t="shared" si="14"/>
        <v>82958.570000000007</v>
      </c>
      <c r="K52" s="205">
        <v>73374.509999999995</v>
      </c>
      <c r="L52" s="171">
        <v>9584.0600000000122</v>
      </c>
      <c r="M52" s="199">
        <v>78946.359999999986</v>
      </c>
      <c r="N52" s="171">
        <f t="shared" si="15"/>
        <v>88530.42</v>
      </c>
      <c r="O52" s="205">
        <v>69385.84</v>
      </c>
      <c r="P52" s="241">
        <v>19144.580000000002</v>
      </c>
      <c r="Q52" s="199">
        <v>88935.75</v>
      </c>
      <c r="R52" s="171">
        <f t="shared" si="16"/>
        <v>108080.33</v>
      </c>
      <c r="S52" s="205">
        <v>34844.26</v>
      </c>
      <c r="T52" s="241">
        <v>73236.070000000007</v>
      </c>
      <c r="U52" s="241">
        <v>89785.7</v>
      </c>
      <c r="V52" s="171">
        <f t="shared" si="17"/>
        <v>163021.77000000002</v>
      </c>
      <c r="W52" s="56">
        <v>146196.99000000002</v>
      </c>
      <c r="X52" s="658">
        <f t="shared" si="10"/>
        <v>16824.78</v>
      </c>
      <c r="Y52" s="659">
        <v>94260.68</v>
      </c>
      <c r="Z52" s="171">
        <f t="shared" si="18"/>
        <v>111085.45999999999</v>
      </c>
      <c r="AA52" s="56"/>
      <c r="AB52" s="241">
        <f t="shared" si="11"/>
        <v>111085.45999999999</v>
      </c>
      <c r="AC52" s="241"/>
      <c r="AE52" s="531">
        <f t="shared" si="7"/>
        <v>0</v>
      </c>
      <c r="AG52" t="s">
        <v>666</v>
      </c>
      <c r="AH52" t="s">
        <v>1977</v>
      </c>
      <c r="AI52" s="199">
        <v>63830.89</v>
      </c>
      <c r="AJ52" s="199">
        <v>5054.18</v>
      </c>
      <c r="AK52" s="199">
        <v>0</v>
      </c>
      <c r="AL52" s="199">
        <v>0</v>
      </c>
      <c r="AM52" s="199">
        <v>11682.78</v>
      </c>
      <c r="AN52" s="199">
        <v>4393.59</v>
      </c>
      <c r="AO52" s="199">
        <v>3534.98</v>
      </c>
      <c r="AP52" s="199">
        <v>3508.68</v>
      </c>
      <c r="AQ52" s="199">
        <v>340.34</v>
      </c>
      <c r="AR52" s="199">
        <v>1915.24</v>
      </c>
      <c r="AS52" s="199">
        <v>94260.68</v>
      </c>
      <c r="AT52"/>
      <c r="AU52"/>
      <c r="AV52" t="str">
        <f t="shared" si="8"/>
        <v>36400</v>
      </c>
      <c r="AW52" s="241">
        <f t="shared" si="9"/>
        <v>94260.68</v>
      </c>
      <c r="AY52" s="167">
        <f t="shared" si="12"/>
        <v>0</v>
      </c>
      <c r="BA52" s="197">
        <v>45</v>
      </c>
      <c r="BB52" s="73" t="s">
        <v>666</v>
      </c>
      <c r="BC52" s="73" t="s">
        <v>1242</v>
      </c>
      <c r="BD52" s="56">
        <v>146196.99000000002</v>
      </c>
    </row>
    <row r="53" spans="1:56">
      <c r="A53" s="197">
        <v>46</v>
      </c>
      <c r="B53" s="73" t="s">
        <v>626</v>
      </c>
      <c r="C53" s="73" t="s">
        <v>1243</v>
      </c>
      <c r="D53" s="168">
        <v>11476.130000000012</v>
      </c>
      <c r="E53" s="170">
        <v>112449.19</v>
      </c>
      <c r="F53" s="171">
        <f t="shared" si="13"/>
        <v>123925.32</v>
      </c>
      <c r="G53" s="182">
        <v>133857.32999999999</v>
      </c>
      <c r="H53" s="179">
        <v>0</v>
      </c>
      <c r="I53" s="170">
        <v>150618.21</v>
      </c>
      <c r="J53" s="171">
        <f t="shared" si="14"/>
        <v>150618.21</v>
      </c>
      <c r="K53" s="205">
        <v>152633.56999999995</v>
      </c>
      <c r="L53" s="171">
        <v>0</v>
      </c>
      <c r="M53" s="199">
        <v>152899.47</v>
      </c>
      <c r="N53" s="171">
        <f t="shared" si="15"/>
        <v>152899.47</v>
      </c>
      <c r="O53" s="205">
        <v>161166.07</v>
      </c>
      <c r="P53" s="241">
        <v>0</v>
      </c>
      <c r="Q53" s="199">
        <v>175770.70000000004</v>
      </c>
      <c r="R53" s="171">
        <f t="shared" si="16"/>
        <v>175770.70000000004</v>
      </c>
      <c r="S53" s="205">
        <v>185235.1</v>
      </c>
      <c r="T53" s="241">
        <v>0</v>
      </c>
      <c r="U53" s="241">
        <v>179720.37</v>
      </c>
      <c r="V53" s="171">
        <f t="shared" si="17"/>
        <v>179720.37</v>
      </c>
      <c r="W53" s="56">
        <v>207026.25000000009</v>
      </c>
      <c r="X53" s="658">
        <f t="shared" si="10"/>
        <v>0</v>
      </c>
      <c r="Y53" s="659">
        <v>202147.71999999997</v>
      </c>
      <c r="Z53" s="171">
        <f t="shared" si="18"/>
        <v>202147.71999999997</v>
      </c>
      <c r="AA53" s="56"/>
      <c r="AB53" s="241">
        <f t="shared" si="11"/>
        <v>202147.71999999997</v>
      </c>
      <c r="AC53" s="241"/>
      <c r="AE53" s="531">
        <f t="shared" si="7"/>
        <v>0</v>
      </c>
      <c r="AG53" t="s">
        <v>626</v>
      </c>
      <c r="AH53" t="s">
        <v>1955</v>
      </c>
      <c r="AI53" s="199">
        <v>130107.64</v>
      </c>
      <c r="AJ53" s="199">
        <v>9688.58</v>
      </c>
      <c r="AK53" s="199">
        <v>2305.06</v>
      </c>
      <c r="AL53" s="199">
        <v>1545.2</v>
      </c>
      <c r="AM53" s="199">
        <v>29801.89</v>
      </c>
      <c r="AN53" s="199">
        <v>11053.78</v>
      </c>
      <c r="AO53" s="199">
        <v>7842.3</v>
      </c>
      <c r="AP53" s="199">
        <v>266.02999999999997</v>
      </c>
      <c r="AQ53" s="199">
        <v>759.85</v>
      </c>
      <c r="AR53" s="199">
        <v>8777.39</v>
      </c>
      <c r="AS53" s="199">
        <v>202147.71999999997</v>
      </c>
      <c r="AT53"/>
      <c r="AU53"/>
      <c r="AV53" t="str">
        <f t="shared" si="8"/>
        <v>33115</v>
      </c>
      <c r="AW53" s="241">
        <f t="shared" si="9"/>
        <v>202147.71999999997</v>
      </c>
      <c r="AY53" s="167">
        <f t="shared" si="12"/>
        <v>0</v>
      </c>
      <c r="BA53" s="197">
        <v>46</v>
      </c>
      <c r="BB53" s="73" t="s">
        <v>626</v>
      </c>
      <c r="BC53" s="73" t="s">
        <v>1243</v>
      </c>
      <c r="BD53" s="56">
        <v>207026.25000000009</v>
      </c>
    </row>
    <row r="54" spans="1:56">
      <c r="A54" s="197">
        <v>47</v>
      </c>
      <c r="B54" s="73" t="s">
        <v>543</v>
      </c>
      <c r="C54" s="73" t="s">
        <v>1244</v>
      </c>
      <c r="D54" s="168">
        <v>1378.5099999999984</v>
      </c>
      <c r="E54" s="170">
        <v>40776.15</v>
      </c>
      <c r="F54" s="171">
        <f t="shared" si="13"/>
        <v>42154.66</v>
      </c>
      <c r="G54" s="182">
        <v>37843.620000000003</v>
      </c>
      <c r="H54" s="179">
        <v>4311.0400000000009</v>
      </c>
      <c r="I54" s="170">
        <v>60340.060000000012</v>
      </c>
      <c r="J54" s="171">
        <f t="shared" si="14"/>
        <v>64651.100000000013</v>
      </c>
      <c r="K54" s="205">
        <v>58324.669999999991</v>
      </c>
      <c r="L54" s="171">
        <v>6326.4300000000221</v>
      </c>
      <c r="M54" s="199">
        <v>61316.3</v>
      </c>
      <c r="N54" s="171">
        <f t="shared" si="15"/>
        <v>67642.730000000025</v>
      </c>
      <c r="O54" s="205">
        <v>58344.549999999996</v>
      </c>
      <c r="P54" s="241">
        <v>9298.1800000000294</v>
      </c>
      <c r="Q54" s="199">
        <v>67374.430000000008</v>
      </c>
      <c r="R54" s="171">
        <f t="shared" si="16"/>
        <v>76672.610000000044</v>
      </c>
      <c r="S54" s="205">
        <v>62220.29</v>
      </c>
      <c r="T54" s="241">
        <v>14452.320000000043</v>
      </c>
      <c r="U54" s="241">
        <v>66578.149999999994</v>
      </c>
      <c r="V54" s="171">
        <f t="shared" si="17"/>
        <v>81030.47000000003</v>
      </c>
      <c r="W54" s="56">
        <v>98681.82</v>
      </c>
      <c r="X54" s="658">
        <f t="shared" si="10"/>
        <v>0</v>
      </c>
      <c r="Y54" s="659">
        <v>70982.69</v>
      </c>
      <c r="Z54" s="171">
        <f t="shared" si="18"/>
        <v>70982.69</v>
      </c>
      <c r="AA54" s="56"/>
      <c r="AB54" s="241">
        <f t="shared" si="11"/>
        <v>70982.69</v>
      </c>
      <c r="AC54" s="241"/>
      <c r="AE54" s="531">
        <f t="shared" si="7"/>
        <v>0</v>
      </c>
      <c r="AG54" t="s">
        <v>543</v>
      </c>
      <c r="AH54" t="s">
        <v>1912</v>
      </c>
      <c r="AI54" s="199">
        <v>48921.49</v>
      </c>
      <c r="AJ54" s="199">
        <v>2489.0100000000002</v>
      </c>
      <c r="AK54" s="199">
        <v>246.79</v>
      </c>
      <c r="AL54" s="199">
        <v>0</v>
      </c>
      <c r="AM54" s="199">
        <v>8893.59</v>
      </c>
      <c r="AN54" s="199">
        <v>3950.29</v>
      </c>
      <c r="AO54" s="199">
        <v>2523.12</v>
      </c>
      <c r="AP54" s="199">
        <v>389.67</v>
      </c>
      <c r="AQ54" s="199">
        <v>227.31</v>
      </c>
      <c r="AR54" s="199">
        <v>3341.42</v>
      </c>
      <c r="AS54" s="199">
        <v>70982.69</v>
      </c>
      <c r="AT54"/>
      <c r="AU54"/>
      <c r="AV54" t="str">
        <f t="shared" si="8"/>
        <v>29011</v>
      </c>
      <c r="AW54" s="241">
        <f t="shared" si="9"/>
        <v>70982.69</v>
      </c>
      <c r="AY54" s="167">
        <f t="shared" si="12"/>
        <v>0</v>
      </c>
      <c r="BA54" s="197">
        <v>47</v>
      </c>
      <c r="BB54" s="73" t="s">
        <v>543</v>
      </c>
      <c r="BC54" s="73" t="s">
        <v>1244</v>
      </c>
      <c r="BD54" s="56">
        <v>98681.82</v>
      </c>
    </row>
    <row r="55" spans="1:56">
      <c r="A55" s="197">
        <v>48</v>
      </c>
      <c r="B55" s="73" t="s">
        <v>552</v>
      </c>
      <c r="C55" s="73" t="s">
        <v>1245</v>
      </c>
      <c r="D55" s="168">
        <v>0</v>
      </c>
      <c r="E55" s="170">
        <v>31209.13</v>
      </c>
      <c r="F55" s="171">
        <f t="shared" si="13"/>
        <v>31209.13</v>
      </c>
      <c r="G55" s="182">
        <v>28561.89</v>
      </c>
      <c r="H55" s="179">
        <v>2647.2400000000016</v>
      </c>
      <c r="I55" s="170">
        <v>46495.96</v>
      </c>
      <c r="J55" s="171">
        <f t="shared" si="14"/>
        <v>49143.199999999997</v>
      </c>
      <c r="K55" s="205">
        <v>53129.17</v>
      </c>
      <c r="L55" s="171">
        <v>0</v>
      </c>
      <c r="M55" s="199">
        <v>47335.899999999994</v>
      </c>
      <c r="N55" s="171">
        <f t="shared" si="15"/>
        <v>47335.899999999994</v>
      </c>
      <c r="O55" s="205">
        <v>50661.11</v>
      </c>
      <c r="P55" s="241">
        <v>0</v>
      </c>
      <c r="Q55" s="199">
        <v>47456.54</v>
      </c>
      <c r="R55" s="171">
        <f t="shared" si="16"/>
        <v>47456.54</v>
      </c>
      <c r="S55" s="205">
        <v>46638.38</v>
      </c>
      <c r="T55" s="241">
        <v>818.16000000000349</v>
      </c>
      <c r="U55" s="241">
        <v>50003.39</v>
      </c>
      <c r="V55" s="171">
        <f t="shared" si="17"/>
        <v>50821.55</v>
      </c>
      <c r="W55" s="56">
        <v>55246.140000000007</v>
      </c>
      <c r="X55" s="658">
        <f t="shared" si="10"/>
        <v>0</v>
      </c>
      <c r="Y55" s="659">
        <v>52353.020000000004</v>
      </c>
      <c r="Z55" s="171">
        <f t="shared" si="18"/>
        <v>52353.020000000004</v>
      </c>
      <c r="AA55" s="56"/>
      <c r="AB55" s="241">
        <f t="shared" si="11"/>
        <v>52353.020000000004</v>
      </c>
      <c r="AC55" s="241"/>
      <c r="AE55" s="531">
        <f t="shared" si="7"/>
        <v>0</v>
      </c>
      <c r="AG55" t="s">
        <v>552</v>
      </c>
      <c r="AH55" t="s">
        <v>1917</v>
      </c>
      <c r="AI55" s="199">
        <v>44091.27</v>
      </c>
      <c r="AJ55" s="199">
        <v>0</v>
      </c>
      <c r="AK55" s="199">
        <v>0</v>
      </c>
      <c r="AL55" s="199">
        <v>0</v>
      </c>
      <c r="AM55" s="199">
        <v>5939.48</v>
      </c>
      <c r="AN55" s="199">
        <v>1421.44</v>
      </c>
      <c r="AO55" s="199">
        <v>0</v>
      </c>
      <c r="AP55" s="199">
        <v>687.62</v>
      </c>
      <c r="AQ55" s="199">
        <v>213.21</v>
      </c>
      <c r="AR55" s="199">
        <v>0</v>
      </c>
      <c r="AS55" s="199">
        <v>52353.020000000004</v>
      </c>
      <c r="AT55"/>
      <c r="AU55"/>
      <c r="AV55" t="str">
        <f t="shared" si="8"/>
        <v>29317</v>
      </c>
      <c r="AW55" s="241">
        <f t="shared" si="9"/>
        <v>52353.020000000004</v>
      </c>
      <c r="AY55" s="167">
        <f t="shared" si="12"/>
        <v>0</v>
      </c>
      <c r="BA55" s="197">
        <v>48</v>
      </c>
      <c r="BB55" s="73" t="s">
        <v>552</v>
      </c>
      <c r="BC55" s="73" t="s">
        <v>1245</v>
      </c>
      <c r="BD55" s="56">
        <v>55246.140000000007</v>
      </c>
    </row>
    <row r="56" spans="1:56">
      <c r="A56" s="197">
        <v>49</v>
      </c>
      <c r="B56" s="73" t="s">
        <v>312</v>
      </c>
      <c r="C56" s="73" t="s">
        <v>1246</v>
      </c>
      <c r="D56" s="168">
        <v>817.57000000000062</v>
      </c>
      <c r="E56" s="170">
        <v>12740.990000000002</v>
      </c>
      <c r="F56" s="171">
        <f t="shared" si="13"/>
        <v>13558.560000000001</v>
      </c>
      <c r="G56" s="182">
        <v>11702.78</v>
      </c>
      <c r="H56" s="179">
        <v>1855.7800000000007</v>
      </c>
      <c r="I56" s="170">
        <v>17487.28</v>
      </c>
      <c r="J56" s="171">
        <f t="shared" si="14"/>
        <v>19343.059999999998</v>
      </c>
      <c r="K56" s="205">
        <v>5100.37</v>
      </c>
      <c r="L56" s="171">
        <v>14242.689999999999</v>
      </c>
      <c r="M56" s="199">
        <v>17653.89</v>
      </c>
      <c r="N56" s="171">
        <f t="shared" si="15"/>
        <v>31896.579999999998</v>
      </c>
      <c r="O56" s="205">
        <v>19940.09</v>
      </c>
      <c r="P56" s="241">
        <v>11956.489999999998</v>
      </c>
      <c r="Q56" s="199">
        <v>20557.11</v>
      </c>
      <c r="R56" s="171">
        <f t="shared" si="16"/>
        <v>32513.599999999999</v>
      </c>
      <c r="S56" s="205">
        <v>8177.25</v>
      </c>
      <c r="T56" s="241">
        <v>24336.35</v>
      </c>
      <c r="U56" s="241">
        <v>19691.149999999998</v>
      </c>
      <c r="V56" s="171">
        <f t="shared" si="17"/>
        <v>44027.5</v>
      </c>
      <c r="W56" s="56">
        <v>21187.41</v>
      </c>
      <c r="X56" s="658">
        <f t="shared" si="10"/>
        <v>22840.09</v>
      </c>
      <c r="Y56" s="659">
        <v>24246.109999999997</v>
      </c>
      <c r="Z56" s="171">
        <f t="shared" si="18"/>
        <v>47086.2</v>
      </c>
      <c r="AA56" s="56"/>
      <c r="AB56" s="241">
        <f t="shared" si="11"/>
        <v>47086.2</v>
      </c>
      <c r="AC56" s="241"/>
      <c r="AE56" s="531">
        <f t="shared" si="7"/>
        <v>0</v>
      </c>
      <c r="AG56" t="s">
        <v>312</v>
      </c>
      <c r="AH56" t="s">
        <v>1795</v>
      </c>
      <c r="AI56" s="199">
        <v>17349.830000000002</v>
      </c>
      <c r="AJ56" s="199">
        <v>0</v>
      </c>
      <c r="AK56" s="199">
        <v>0</v>
      </c>
      <c r="AL56" s="199">
        <v>0</v>
      </c>
      <c r="AM56" s="199">
        <v>3376.39</v>
      </c>
      <c r="AN56" s="199">
        <v>948.14</v>
      </c>
      <c r="AO56" s="199">
        <v>814.87</v>
      </c>
      <c r="AP56" s="199">
        <v>36.76</v>
      </c>
      <c r="AQ56" s="199">
        <v>75.05</v>
      </c>
      <c r="AR56" s="199">
        <v>1645.07</v>
      </c>
      <c r="AS56" s="199">
        <v>24246.109999999997</v>
      </c>
      <c r="AT56"/>
      <c r="AU56"/>
      <c r="AV56" t="str">
        <f t="shared" si="8"/>
        <v>14099</v>
      </c>
      <c r="AW56" s="241">
        <f t="shared" si="9"/>
        <v>24246.109999999997</v>
      </c>
      <c r="AY56" s="167">
        <f t="shared" si="12"/>
        <v>0</v>
      </c>
      <c r="BA56" s="197">
        <v>49</v>
      </c>
      <c r="BB56" s="73" t="s">
        <v>312</v>
      </c>
      <c r="BC56" s="73" t="s">
        <v>1246</v>
      </c>
      <c r="BD56" s="56">
        <v>21187.41</v>
      </c>
    </row>
    <row r="57" spans="1:56">
      <c r="A57" s="197">
        <v>50</v>
      </c>
      <c r="B57" s="73" t="s">
        <v>283</v>
      </c>
      <c r="C57" s="73" t="s">
        <v>1247</v>
      </c>
      <c r="D57" s="168">
        <v>2501.0199999999995</v>
      </c>
      <c r="E57" s="170">
        <v>18133.260000000002</v>
      </c>
      <c r="F57" s="171">
        <f t="shared" si="13"/>
        <v>20634.280000000002</v>
      </c>
      <c r="G57" s="182">
        <v>15545.38</v>
      </c>
      <c r="H57" s="179">
        <v>5088.9000000000033</v>
      </c>
      <c r="I57" s="170">
        <v>26472.82</v>
      </c>
      <c r="J57" s="171">
        <f t="shared" si="14"/>
        <v>31561.72</v>
      </c>
      <c r="K57" s="205">
        <v>34519.26</v>
      </c>
      <c r="L57" s="171">
        <v>0</v>
      </c>
      <c r="M57" s="199">
        <v>26333.85</v>
      </c>
      <c r="N57" s="171">
        <f t="shared" si="15"/>
        <v>26333.85</v>
      </c>
      <c r="O57" s="205">
        <v>25954.29</v>
      </c>
      <c r="P57" s="241">
        <v>379.55999999999767</v>
      </c>
      <c r="Q57" s="199">
        <v>27724.01</v>
      </c>
      <c r="R57" s="171">
        <f t="shared" si="16"/>
        <v>28103.569999999996</v>
      </c>
      <c r="S57" s="205">
        <v>29601.75</v>
      </c>
      <c r="T57" s="241">
        <v>0</v>
      </c>
      <c r="U57" s="241">
        <v>27656.36</v>
      </c>
      <c r="V57" s="171">
        <f t="shared" si="17"/>
        <v>27656.36</v>
      </c>
      <c r="W57" s="56">
        <v>30450.019999999997</v>
      </c>
      <c r="X57" s="658">
        <f t="shared" si="10"/>
        <v>0</v>
      </c>
      <c r="Y57" s="659">
        <v>28206.48</v>
      </c>
      <c r="Z57" s="171">
        <f t="shared" si="18"/>
        <v>28206.48</v>
      </c>
      <c r="AA57" s="56"/>
      <c r="AB57" s="241">
        <f t="shared" si="11"/>
        <v>28206.48</v>
      </c>
      <c r="AC57" s="241"/>
      <c r="AE57" s="531">
        <f t="shared" si="7"/>
        <v>0</v>
      </c>
      <c r="AG57" t="s">
        <v>283</v>
      </c>
      <c r="AH57" t="s">
        <v>1780</v>
      </c>
      <c r="AI57" s="199">
        <v>23323.55</v>
      </c>
      <c r="AJ57" s="199">
        <v>1631.29</v>
      </c>
      <c r="AK57" s="199">
        <v>55.15</v>
      </c>
      <c r="AL57" s="199">
        <v>0</v>
      </c>
      <c r="AM57" s="199">
        <v>2331.0700000000002</v>
      </c>
      <c r="AN57" s="199">
        <v>779.64</v>
      </c>
      <c r="AO57" s="199">
        <v>0</v>
      </c>
      <c r="AP57" s="199">
        <v>0</v>
      </c>
      <c r="AQ57" s="199">
        <v>85.78</v>
      </c>
      <c r="AR57" s="199">
        <v>0</v>
      </c>
      <c r="AS57" s="199">
        <v>28206.48</v>
      </c>
      <c r="AT57"/>
      <c r="AU57"/>
      <c r="AV57" t="str">
        <f t="shared" si="8"/>
        <v>13151</v>
      </c>
      <c r="AW57" s="241">
        <f t="shared" si="9"/>
        <v>28206.48</v>
      </c>
      <c r="AY57" s="167">
        <f t="shared" si="12"/>
        <v>0</v>
      </c>
      <c r="BA57" s="197">
        <v>50</v>
      </c>
      <c r="BB57" s="73" t="s">
        <v>283</v>
      </c>
      <c r="BC57" s="73" t="s">
        <v>1247</v>
      </c>
      <c r="BD57" s="56">
        <v>30450.019999999997</v>
      </c>
    </row>
    <row r="58" spans="1:56">
      <c r="A58" s="197">
        <v>51</v>
      </c>
      <c r="B58" s="73" t="s">
        <v>324</v>
      </c>
      <c r="C58" s="73" t="s">
        <v>1248</v>
      </c>
      <c r="D58" s="168">
        <v>30922.139999999996</v>
      </c>
      <c r="E58" s="170">
        <v>70205.2</v>
      </c>
      <c r="F58" s="171">
        <f t="shared" si="13"/>
        <v>101127.34</v>
      </c>
      <c r="G58" s="182">
        <v>82692.73</v>
      </c>
      <c r="H58" s="179">
        <v>18434.61</v>
      </c>
      <c r="I58" s="170">
        <v>96270.799999999988</v>
      </c>
      <c r="J58" s="171">
        <f t="shared" si="14"/>
        <v>114705.40999999999</v>
      </c>
      <c r="K58" s="205">
        <v>83758.91</v>
      </c>
      <c r="L58" s="171">
        <v>30946.499999999985</v>
      </c>
      <c r="M58" s="199">
        <v>96525.689999999973</v>
      </c>
      <c r="N58" s="171">
        <f t="shared" si="15"/>
        <v>127472.18999999996</v>
      </c>
      <c r="O58" s="205">
        <v>94067.22</v>
      </c>
      <c r="P58" s="241">
        <v>33404.969999999958</v>
      </c>
      <c r="Q58" s="199">
        <v>107589.47</v>
      </c>
      <c r="R58" s="171">
        <f t="shared" si="16"/>
        <v>140994.43999999994</v>
      </c>
      <c r="S58" s="205">
        <v>86656.42</v>
      </c>
      <c r="T58" s="241">
        <v>54338.019999999946</v>
      </c>
      <c r="U58" s="241">
        <v>114451.16</v>
      </c>
      <c r="V58" s="171">
        <f t="shared" si="17"/>
        <v>168789.17999999993</v>
      </c>
      <c r="W58" s="56">
        <v>88260.19</v>
      </c>
      <c r="X58" s="658">
        <f t="shared" si="10"/>
        <v>80528.989999999932</v>
      </c>
      <c r="Y58" s="659">
        <v>123083.48000000001</v>
      </c>
      <c r="Z58" s="171">
        <f t="shared" si="18"/>
        <v>203612.46999999994</v>
      </c>
      <c r="AA58" s="56"/>
      <c r="AB58" s="241">
        <f t="shared" si="11"/>
        <v>203612.46999999994</v>
      </c>
      <c r="AC58" s="241"/>
      <c r="AE58" s="531">
        <f t="shared" si="7"/>
        <v>0</v>
      </c>
      <c r="AG58" t="s">
        <v>324</v>
      </c>
      <c r="AH58" t="s">
        <v>1801</v>
      </c>
      <c r="AI58" s="199">
        <v>90123.48</v>
      </c>
      <c r="AJ58" s="199">
        <v>3160.53</v>
      </c>
      <c r="AK58" s="199">
        <v>382.52</v>
      </c>
      <c r="AL58" s="199">
        <v>0</v>
      </c>
      <c r="AM58" s="199">
        <v>19014.560000000001</v>
      </c>
      <c r="AN58" s="199">
        <v>4723.4799999999996</v>
      </c>
      <c r="AO58" s="199">
        <v>2315.88</v>
      </c>
      <c r="AP58" s="199">
        <v>868.88</v>
      </c>
      <c r="AQ58" s="199">
        <v>505.41</v>
      </c>
      <c r="AR58" s="199">
        <v>1988.74</v>
      </c>
      <c r="AS58" s="199">
        <v>123083.48000000001</v>
      </c>
      <c r="AT58"/>
      <c r="AU58"/>
      <c r="AV58" t="str">
        <f t="shared" si="8"/>
        <v>15204</v>
      </c>
      <c r="AW58" s="241">
        <f t="shared" si="9"/>
        <v>123083.48000000001</v>
      </c>
      <c r="AY58" s="167">
        <f t="shared" si="12"/>
        <v>0</v>
      </c>
      <c r="BA58" s="197">
        <v>51</v>
      </c>
      <c r="BB58" s="73" t="s">
        <v>324</v>
      </c>
      <c r="BC58" s="73" t="s">
        <v>1248</v>
      </c>
      <c r="BD58" s="56">
        <v>88260.19</v>
      </c>
    </row>
    <row r="59" spans="1:56">
      <c r="A59" s="197">
        <v>52</v>
      </c>
      <c r="B59" s="73" t="s">
        <v>205</v>
      </c>
      <c r="C59" s="73" t="s">
        <v>1249</v>
      </c>
      <c r="D59" s="168">
        <v>1793.3700000000008</v>
      </c>
      <c r="E59" s="170">
        <v>20622.54</v>
      </c>
      <c r="F59" s="171">
        <f t="shared" si="13"/>
        <v>22415.910000000003</v>
      </c>
      <c r="G59" s="182">
        <v>21496.1</v>
      </c>
      <c r="H59" s="179">
        <v>919.81000000000495</v>
      </c>
      <c r="I59" s="170">
        <v>27809.940000000002</v>
      </c>
      <c r="J59" s="171">
        <f t="shared" si="14"/>
        <v>28729.750000000007</v>
      </c>
      <c r="K59" s="205">
        <v>36276.68</v>
      </c>
      <c r="L59" s="171">
        <v>0</v>
      </c>
      <c r="M59" s="199">
        <v>29173.39</v>
      </c>
      <c r="N59" s="171">
        <f t="shared" si="15"/>
        <v>29173.39</v>
      </c>
      <c r="O59" s="205">
        <v>61818.92</v>
      </c>
      <c r="P59" s="241">
        <v>0</v>
      </c>
      <c r="Q59" s="199">
        <v>31417.78</v>
      </c>
      <c r="R59" s="171">
        <f t="shared" si="16"/>
        <v>31417.78</v>
      </c>
      <c r="S59" s="205">
        <v>40132.94</v>
      </c>
      <c r="T59" s="241">
        <v>0</v>
      </c>
      <c r="U59" s="241">
        <v>31253.759999999998</v>
      </c>
      <c r="V59" s="171">
        <f t="shared" si="17"/>
        <v>31253.759999999998</v>
      </c>
      <c r="W59" s="56">
        <v>36365.859999999993</v>
      </c>
      <c r="X59" s="658">
        <f t="shared" si="10"/>
        <v>0</v>
      </c>
      <c r="Y59" s="659">
        <v>36115.64</v>
      </c>
      <c r="Z59" s="171">
        <f t="shared" si="18"/>
        <v>36115.64</v>
      </c>
      <c r="AA59" s="56"/>
      <c r="AB59" s="241">
        <f t="shared" si="11"/>
        <v>36115.64</v>
      </c>
      <c r="AC59" s="241"/>
      <c r="AE59" s="531">
        <f t="shared" si="7"/>
        <v>0</v>
      </c>
      <c r="AG59" t="s">
        <v>205</v>
      </c>
      <c r="AH59" t="s">
        <v>1739</v>
      </c>
      <c r="AI59" s="199">
        <v>28336.880000000001</v>
      </c>
      <c r="AJ59" s="199">
        <v>203.72</v>
      </c>
      <c r="AK59" s="199">
        <v>0</v>
      </c>
      <c r="AL59" s="199">
        <v>0</v>
      </c>
      <c r="AM59" s="199">
        <v>4346.16</v>
      </c>
      <c r="AN59" s="199">
        <v>2083.15</v>
      </c>
      <c r="AO59" s="199">
        <v>977.24</v>
      </c>
      <c r="AP59" s="199">
        <v>0</v>
      </c>
      <c r="AQ59" s="199">
        <v>168.49</v>
      </c>
      <c r="AR59" s="199">
        <v>0</v>
      </c>
      <c r="AS59" s="199">
        <v>36115.64</v>
      </c>
      <c r="AT59"/>
      <c r="AU59"/>
      <c r="AV59" t="str">
        <f t="shared" si="8"/>
        <v>05313</v>
      </c>
      <c r="AW59" s="241">
        <f t="shared" si="9"/>
        <v>36115.64</v>
      </c>
      <c r="AY59" s="167">
        <f t="shared" si="12"/>
        <v>0</v>
      </c>
      <c r="BA59" s="197">
        <v>52</v>
      </c>
      <c r="BB59" s="73" t="s">
        <v>205</v>
      </c>
      <c r="BC59" s="73" t="s">
        <v>1249</v>
      </c>
      <c r="BD59" s="56">
        <v>36365.859999999993</v>
      </c>
    </row>
    <row r="60" spans="1:56">
      <c r="A60" s="197">
        <v>53</v>
      </c>
      <c r="B60" s="73" t="s">
        <v>448</v>
      </c>
      <c r="C60" s="73" t="s">
        <v>1250</v>
      </c>
      <c r="D60" s="168">
        <v>0</v>
      </c>
      <c r="E60" s="170">
        <v>12944.24</v>
      </c>
      <c r="F60" s="171">
        <f t="shared" si="13"/>
        <v>12944.24</v>
      </c>
      <c r="G60" s="182">
        <v>12535</v>
      </c>
      <c r="H60" s="179">
        <v>409.23999999999978</v>
      </c>
      <c r="I60" s="170">
        <v>19536.559999999998</v>
      </c>
      <c r="J60" s="171">
        <f t="shared" si="14"/>
        <v>19945.799999999996</v>
      </c>
      <c r="K60" s="205">
        <v>12525.32</v>
      </c>
      <c r="L60" s="171">
        <v>7420.4799999999959</v>
      </c>
      <c r="M60" s="199">
        <v>19877.34</v>
      </c>
      <c r="N60" s="171">
        <f t="shared" si="15"/>
        <v>27297.819999999996</v>
      </c>
      <c r="O60" s="205">
        <v>13814.609999999999</v>
      </c>
      <c r="P60" s="241">
        <v>13483.209999999997</v>
      </c>
      <c r="Q60" s="199">
        <v>21305.05</v>
      </c>
      <c r="R60" s="171">
        <f t="shared" si="16"/>
        <v>34788.259999999995</v>
      </c>
      <c r="S60" s="205">
        <v>14614.16</v>
      </c>
      <c r="T60" s="241">
        <v>20174.099999999995</v>
      </c>
      <c r="U60" s="241">
        <v>20553.490000000002</v>
      </c>
      <c r="V60" s="171">
        <f t="shared" si="17"/>
        <v>40727.589999999997</v>
      </c>
      <c r="W60" s="56">
        <v>15354.210000000001</v>
      </c>
      <c r="X60" s="658">
        <f t="shared" si="10"/>
        <v>25373.379999999997</v>
      </c>
      <c r="Y60" s="659">
        <v>21566.49</v>
      </c>
      <c r="Z60" s="171">
        <f t="shared" si="18"/>
        <v>46939.869999999995</v>
      </c>
      <c r="AA60" s="56"/>
      <c r="AB60" s="241">
        <f t="shared" si="11"/>
        <v>46939.869999999995</v>
      </c>
      <c r="AC60" s="241"/>
      <c r="AE60" s="531">
        <f t="shared" si="7"/>
        <v>0</v>
      </c>
      <c r="AG60" t="s">
        <v>448</v>
      </c>
      <c r="AH60" t="s">
        <v>1866</v>
      </c>
      <c r="AI60" s="199">
        <v>19277.669999999998</v>
      </c>
      <c r="AJ60" s="199">
        <v>309.39999999999998</v>
      </c>
      <c r="AK60" s="199">
        <v>78.900000000000006</v>
      </c>
      <c r="AL60" s="199">
        <v>0</v>
      </c>
      <c r="AM60" s="199">
        <v>1171.8699999999999</v>
      </c>
      <c r="AN60" s="199">
        <v>505.88</v>
      </c>
      <c r="AO60" s="199">
        <v>190.28</v>
      </c>
      <c r="AP60" s="199">
        <v>0</v>
      </c>
      <c r="AQ60" s="199">
        <v>32.49</v>
      </c>
      <c r="AR60" s="199">
        <v>0</v>
      </c>
      <c r="AS60" s="199">
        <v>21566.49</v>
      </c>
      <c r="AT60"/>
      <c r="AU60"/>
      <c r="AV60" t="str">
        <f t="shared" si="8"/>
        <v>22073</v>
      </c>
      <c r="AW60" s="241">
        <f t="shared" si="9"/>
        <v>21566.49</v>
      </c>
      <c r="AY60" s="167">
        <f t="shared" si="12"/>
        <v>0</v>
      </c>
      <c r="BA60" s="197">
        <v>53</v>
      </c>
      <c r="BB60" s="73" t="s">
        <v>448</v>
      </c>
      <c r="BC60" s="73" t="s">
        <v>1250</v>
      </c>
      <c r="BD60" s="56">
        <v>15354.210000000001</v>
      </c>
    </row>
    <row r="61" spans="1:56">
      <c r="A61" s="197">
        <v>54</v>
      </c>
      <c r="B61" s="73" t="s">
        <v>259</v>
      </c>
      <c r="C61" s="73" t="s">
        <v>1251</v>
      </c>
      <c r="D61" s="168">
        <v>0</v>
      </c>
      <c r="E61" s="170">
        <v>17428.8</v>
      </c>
      <c r="F61" s="171">
        <f t="shared" si="13"/>
        <v>17428.8</v>
      </c>
      <c r="G61" s="182">
        <v>6874.05</v>
      </c>
      <c r="H61" s="179">
        <v>10554.75</v>
      </c>
      <c r="I61" s="170">
        <v>25098.409999999996</v>
      </c>
      <c r="J61" s="171">
        <f t="shared" si="14"/>
        <v>35653.159999999996</v>
      </c>
      <c r="K61" s="205">
        <v>21811.1</v>
      </c>
      <c r="L61" s="171">
        <v>13842.059999999998</v>
      </c>
      <c r="M61" s="199">
        <v>26694.11</v>
      </c>
      <c r="N61" s="171">
        <f t="shared" si="15"/>
        <v>40536.17</v>
      </c>
      <c r="O61" s="205">
        <v>20303.650000000001</v>
      </c>
      <c r="P61" s="241">
        <v>20232.519999999997</v>
      </c>
      <c r="Q61" s="199">
        <v>27265.760000000002</v>
      </c>
      <c r="R61" s="171">
        <f t="shared" si="16"/>
        <v>47498.28</v>
      </c>
      <c r="S61" s="205">
        <v>20695.900000000001</v>
      </c>
      <c r="T61" s="241">
        <v>26802.379999999997</v>
      </c>
      <c r="U61" s="241">
        <v>27825.15</v>
      </c>
      <c r="V61" s="171">
        <f t="shared" si="17"/>
        <v>54627.53</v>
      </c>
      <c r="W61" s="56">
        <v>47381.990000000005</v>
      </c>
      <c r="X61" s="658">
        <f t="shared" si="10"/>
        <v>7245.5399999999936</v>
      </c>
      <c r="Y61" s="659">
        <v>30856.16</v>
      </c>
      <c r="Z61" s="171">
        <f t="shared" si="18"/>
        <v>38101.699999999997</v>
      </c>
      <c r="AA61" s="56"/>
      <c r="AB61" s="241">
        <f t="shared" si="11"/>
        <v>38101.699999999997</v>
      </c>
      <c r="AC61" s="241"/>
      <c r="AE61" s="531">
        <f t="shared" si="7"/>
        <v>0</v>
      </c>
      <c r="AG61" t="s">
        <v>259</v>
      </c>
      <c r="AH61" t="s">
        <v>1768</v>
      </c>
      <c r="AI61" s="199">
        <v>23451.59</v>
      </c>
      <c r="AJ61" s="199">
        <v>442.45</v>
      </c>
      <c r="AK61" s="199">
        <v>0</v>
      </c>
      <c r="AL61" s="199">
        <v>0</v>
      </c>
      <c r="AM61" s="199">
        <v>4559.57</v>
      </c>
      <c r="AN61" s="199">
        <v>1429.46</v>
      </c>
      <c r="AO61" s="199">
        <v>973.09</v>
      </c>
      <c r="AP61" s="199">
        <v>0</v>
      </c>
      <c r="AQ61" s="199">
        <v>0</v>
      </c>
      <c r="AR61" s="199">
        <v>0</v>
      </c>
      <c r="AS61" s="199">
        <v>30856.16</v>
      </c>
      <c r="AT61"/>
      <c r="AU61"/>
      <c r="AV61" t="str">
        <f t="shared" si="8"/>
        <v>10050</v>
      </c>
      <c r="AW61" s="241">
        <f t="shared" si="9"/>
        <v>30856.16</v>
      </c>
      <c r="AY61" s="167">
        <f t="shared" si="12"/>
        <v>0</v>
      </c>
      <c r="BA61" s="197">
        <v>54</v>
      </c>
      <c r="BB61" s="73" t="s">
        <v>259</v>
      </c>
      <c r="BC61" s="73" t="s">
        <v>1251</v>
      </c>
      <c r="BD61" s="56">
        <v>47381.990000000005</v>
      </c>
    </row>
    <row r="62" spans="1:56">
      <c r="A62" s="197">
        <v>55</v>
      </c>
      <c r="B62" s="73" t="s">
        <v>501</v>
      </c>
      <c r="C62" s="73" t="s">
        <v>1252</v>
      </c>
      <c r="D62" s="168">
        <v>1933.5899999999992</v>
      </c>
      <c r="E62" s="170">
        <v>19250.04</v>
      </c>
      <c r="F62" s="171">
        <f t="shared" si="13"/>
        <v>21183.63</v>
      </c>
      <c r="G62" s="182"/>
      <c r="H62" s="179">
        <v>21183.63</v>
      </c>
      <c r="I62" s="170">
        <v>30575.230000000003</v>
      </c>
      <c r="J62" s="171">
        <f t="shared" si="14"/>
        <v>51758.86</v>
      </c>
      <c r="K62" s="205">
        <v>29071.79</v>
      </c>
      <c r="L62" s="171">
        <v>22687.07</v>
      </c>
      <c r="M62" s="199">
        <v>30735.190000000002</v>
      </c>
      <c r="N62" s="171">
        <f t="shared" si="15"/>
        <v>53422.26</v>
      </c>
      <c r="O62" s="205">
        <v>18145.96</v>
      </c>
      <c r="P62" s="241">
        <v>35276.300000000003</v>
      </c>
      <c r="Q62" s="199">
        <v>35640.879999999997</v>
      </c>
      <c r="R62" s="171">
        <f t="shared" si="16"/>
        <v>70917.179999999993</v>
      </c>
      <c r="S62" s="205">
        <v>30473.929999999997</v>
      </c>
      <c r="T62" s="241">
        <v>40443.25</v>
      </c>
      <c r="U62" s="241">
        <v>36014.229999999996</v>
      </c>
      <c r="V62" s="171">
        <f t="shared" si="17"/>
        <v>76457.48</v>
      </c>
      <c r="W62" s="56">
        <v>41646.609999999993</v>
      </c>
      <c r="X62" s="658">
        <f t="shared" si="10"/>
        <v>34810.870000000003</v>
      </c>
      <c r="Y62" s="659">
        <v>39892.550000000003</v>
      </c>
      <c r="Z62" s="171">
        <f t="shared" si="18"/>
        <v>74703.420000000013</v>
      </c>
      <c r="AA62" s="56"/>
      <c r="AB62" s="241">
        <f t="shared" si="11"/>
        <v>74703.420000000013</v>
      </c>
      <c r="AC62" s="241"/>
      <c r="AE62" s="531">
        <f t="shared" si="7"/>
        <v>0</v>
      </c>
      <c r="AG62" t="s">
        <v>501</v>
      </c>
      <c r="AH62" t="s">
        <v>1892</v>
      </c>
      <c r="AI62" s="199">
        <v>28736.66</v>
      </c>
      <c r="AJ62" s="199">
        <v>940.48</v>
      </c>
      <c r="AK62" s="199">
        <v>0</v>
      </c>
      <c r="AL62" s="199">
        <v>0</v>
      </c>
      <c r="AM62" s="199">
        <v>4863.57</v>
      </c>
      <c r="AN62" s="199">
        <v>2548.79</v>
      </c>
      <c r="AO62" s="199">
        <v>1131.94</v>
      </c>
      <c r="AP62" s="199">
        <v>0</v>
      </c>
      <c r="AQ62" s="199">
        <v>163.89</v>
      </c>
      <c r="AR62" s="199">
        <v>1507.22</v>
      </c>
      <c r="AS62" s="199">
        <v>39892.550000000003</v>
      </c>
      <c r="AT62"/>
      <c r="AU62"/>
      <c r="AV62" t="str">
        <f t="shared" si="8"/>
        <v>26059</v>
      </c>
      <c r="AW62" s="241">
        <f t="shared" si="9"/>
        <v>39892.550000000003</v>
      </c>
      <c r="AY62" s="167">
        <f t="shared" si="12"/>
        <v>0</v>
      </c>
      <c r="BA62" s="197">
        <v>55</v>
      </c>
      <c r="BB62" s="73" t="s">
        <v>501</v>
      </c>
      <c r="BC62" s="73" t="s">
        <v>1252</v>
      </c>
      <c r="BD62" s="56">
        <v>41646.609999999993</v>
      </c>
    </row>
    <row r="63" spans="1:56">
      <c r="A63" s="197">
        <v>56</v>
      </c>
      <c r="B63" s="73" t="s">
        <v>384</v>
      </c>
      <c r="C63" s="73" t="s">
        <v>1253</v>
      </c>
      <c r="D63" s="168">
        <v>714.06000000000017</v>
      </c>
      <c r="E63" s="170">
        <v>2696</v>
      </c>
      <c r="F63" s="171">
        <f t="shared" si="13"/>
        <v>3410.0600000000004</v>
      </c>
      <c r="G63" s="182">
        <v>1224.55</v>
      </c>
      <c r="H63" s="179">
        <v>2185.5100000000002</v>
      </c>
      <c r="I63" s="170">
        <v>4257.3999999999996</v>
      </c>
      <c r="J63" s="171">
        <f t="shared" si="14"/>
        <v>6442.91</v>
      </c>
      <c r="K63" s="205">
        <v>995.04000000000008</v>
      </c>
      <c r="L63" s="171">
        <v>5447.87</v>
      </c>
      <c r="M63" s="199">
        <v>4308.3599999999997</v>
      </c>
      <c r="N63" s="171">
        <f t="shared" si="15"/>
        <v>9756.23</v>
      </c>
      <c r="O63" s="205">
        <v>6181.76</v>
      </c>
      <c r="P63" s="241">
        <v>3574.4699999999993</v>
      </c>
      <c r="Q63" s="199">
        <v>4532.4000000000005</v>
      </c>
      <c r="R63" s="171">
        <f t="shared" si="16"/>
        <v>8106.87</v>
      </c>
      <c r="S63" s="205">
        <v>0</v>
      </c>
      <c r="T63" s="241">
        <v>8106.87</v>
      </c>
      <c r="U63" s="241">
        <v>4659.82</v>
      </c>
      <c r="V63" s="171">
        <f t="shared" si="17"/>
        <v>12766.689999999999</v>
      </c>
      <c r="W63" s="56">
        <v>5345</v>
      </c>
      <c r="X63" s="658">
        <f t="shared" si="10"/>
        <v>7421.6899999999987</v>
      </c>
      <c r="Y63" s="659">
        <v>4890.8</v>
      </c>
      <c r="Z63" s="171">
        <f t="shared" si="18"/>
        <v>12312.489999999998</v>
      </c>
      <c r="AA63" s="56"/>
      <c r="AB63" s="241">
        <f t="shared" si="11"/>
        <v>12312.489999999998</v>
      </c>
      <c r="AC63" s="241"/>
      <c r="AE63" s="531">
        <f t="shared" si="7"/>
        <v>0</v>
      </c>
      <c r="AG63" t="s">
        <v>384</v>
      </c>
      <c r="AH63" t="s">
        <v>1834</v>
      </c>
      <c r="AI63" s="199">
        <v>4125.8500000000004</v>
      </c>
      <c r="AJ63" s="199">
        <v>0</v>
      </c>
      <c r="AK63" s="199">
        <v>0</v>
      </c>
      <c r="AL63" s="199">
        <v>0</v>
      </c>
      <c r="AM63" s="199">
        <v>764.95</v>
      </c>
      <c r="AN63" s="199">
        <v>0</v>
      </c>
      <c r="AO63" s="199">
        <v>0</v>
      </c>
      <c r="AP63" s="199">
        <v>0</v>
      </c>
      <c r="AQ63" s="199">
        <v>0</v>
      </c>
      <c r="AR63" s="199">
        <v>0</v>
      </c>
      <c r="AS63" s="199">
        <v>4890.8</v>
      </c>
      <c r="AT63"/>
      <c r="AU63"/>
      <c r="AV63" t="str">
        <f t="shared" si="8"/>
        <v>19007</v>
      </c>
      <c r="AW63" s="241">
        <f t="shared" si="9"/>
        <v>4890.8</v>
      </c>
      <c r="AY63" s="167">
        <f t="shared" si="12"/>
        <v>0</v>
      </c>
      <c r="BA63" s="197">
        <v>56</v>
      </c>
      <c r="BB63" s="73" t="s">
        <v>384</v>
      </c>
      <c r="BC63" s="73" t="s">
        <v>1253</v>
      </c>
      <c r="BD63" s="56">
        <v>5345</v>
      </c>
    </row>
    <row r="64" spans="1:56">
      <c r="A64" s="197">
        <v>57</v>
      </c>
      <c r="B64" s="73" t="s">
        <v>586</v>
      </c>
      <c r="C64" s="73" t="s">
        <v>1254</v>
      </c>
      <c r="D64" s="168">
        <v>1681.08</v>
      </c>
      <c r="E64" s="170">
        <v>32328.100000000002</v>
      </c>
      <c r="F64" s="171">
        <f t="shared" si="13"/>
        <v>34009.18</v>
      </c>
      <c r="G64" s="182">
        <v>34009.18</v>
      </c>
      <c r="H64" s="179">
        <v>0</v>
      </c>
      <c r="I64" s="170">
        <v>44003.079999999994</v>
      </c>
      <c r="J64" s="171">
        <f t="shared" si="14"/>
        <v>44003.079999999994</v>
      </c>
      <c r="K64" s="205">
        <v>44003.079999999994</v>
      </c>
      <c r="L64" s="171">
        <v>0</v>
      </c>
      <c r="M64" s="199">
        <v>51622.81</v>
      </c>
      <c r="N64" s="171">
        <f t="shared" si="15"/>
        <v>51622.81</v>
      </c>
      <c r="O64" s="205">
        <v>51629.02</v>
      </c>
      <c r="P64" s="241">
        <v>0</v>
      </c>
      <c r="Q64" s="199">
        <v>56322.14</v>
      </c>
      <c r="R64" s="171">
        <f t="shared" si="16"/>
        <v>56322.14</v>
      </c>
      <c r="S64" s="205">
        <v>56415.94</v>
      </c>
      <c r="T64" s="241">
        <v>0</v>
      </c>
      <c r="U64" s="241">
        <v>59786.33</v>
      </c>
      <c r="V64" s="171">
        <f t="shared" si="17"/>
        <v>59786.33</v>
      </c>
      <c r="W64" s="56">
        <v>59854.81</v>
      </c>
      <c r="X64" s="658">
        <f t="shared" si="10"/>
        <v>0</v>
      </c>
      <c r="Y64" s="659">
        <v>63788.88</v>
      </c>
      <c r="Z64" s="171">
        <f t="shared" si="18"/>
        <v>63788.88</v>
      </c>
      <c r="AA64" s="56"/>
      <c r="AB64" s="241">
        <f t="shared" si="11"/>
        <v>63788.88</v>
      </c>
      <c r="AC64" s="241"/>
      <c r="AE64" s="531">
        <f t="shared" si="7"/>
        <v>0</v>
      </c>
      <c r="AG64" t="s">
        <v>586</v>
      </c>
      <c r="AH64" t="s">
        <v>1934</v>
      </c>
      <c r="AI64" s="199">
        <v>48506.61</v>
      </c>
      <c r="AJ64" s="199">
        <v>1459.92</v>
      </c>
      <c r="AK64" s="199">
        <v>0</v>
      </c>
      <c r="AL64" s="199">
        <v>0</v>
      </c>
      <c r="AM64" s="199">
        <v>8212.56</v>
      </c>
      <c r="AN64" s="199">
        <v>2444.63</v>
      </c>
      <c r="AO64" s="199">
        <v>1679.5</v>
      </c>
      <c r="AP64" s="199">
        <v>0</v>
      </c>
      <c r="AQ64" s="199">
        <v>204.15</v>
      </c>
      <c r="AR64" s="199">
        <v>1281.51</v>
      </c>
      <c r="AS64" s="199">
        <v>63788.88</v>
      </c>
      <c r="AT64"/>
      <c r="AU64"/>
      <c r="AV64" t="str">
        <f t="shared" si="8"/>
        <v>31330</v>
      </c>
      <c r="AW64" s="241">
        <f t="shared" si="9"/>
        <v>63788.88</v>
      </c>
      <c r="AY64" s="167">
        <f t="shared" si="12"/>
        <v>0</v>
      </c>
      <c r="BA64" s="197">
        <v>57</v>
      </c>
      <c r="BB64" s="73" t="s">
        <v>586</v>
      </c>
      <c r="BC64" s="73" t="s">
        <v>1254</v>
      </c>
      <c r="BD64" s="56">
        <v>59854.81</v>
      </c>
    </row>
    <row r="65" spans="1:56">
      <c r="A65" s="197">
        <v>58</v>
      </c>
      <c r="B65" s="73" t="s">
        <v>456</v>
      </c>
      <c r="C65" s="73" t="s">
        <v>1255</v>
      </c>
      <c r="D65" s="168">
        <v>10465.559999999998</v>
      </c>
      <c r="E65" s="170">
        <v>37829.229999999996</v>
      </c>
      <c r="F65" s="171">
        <f t="shared" si="13"/>
        <v>48294.789999999994</v>
      </c>
      <c r="G65" s="182">
        <v>43495.43</v>
      </c>
      <c r="H65" s="179">
        <v>4799.3599999999933</v>
      </c>
      <c r="I65" s="170">
        <v>54391.880000000005</v>
      </c>
      <c r="J65" s="171">
        <f t="shared" si="14"/>
        <v>59191.24</v>
      </c>
      <c r="K65" s="205">
        <v>57861.09</v>
      </c>
      <c r="L65" s="171">
        <v>1330.1500000000015</v>
      </c>
      <c r="M65" s="199">
        <v>56741.56</v>
      </c>
      <c r="N65" s="171">
        <f t="shared" si="15"/>
        <v>58071.71</v>
      </c>
      <c r="O65" s="205">
        <v>39869</v>
      </c>
      <c r="P65" s="241">
        <v>18202.71</v>
      </c>
      <c r="Q65" s="199">
        <v>62881.27</v>
      </c>
      <c r="R65" s="171">
        <f t="shared" si="16"/>
        <v>81083.98</v>
      </c>
      <c r="S65" s="205">
        <v>74365.190000000017</v>
      </c>
      <c r="T65" s="241">
        <v>6718.789999999979</v>
      </c>
      <c r="U65" s="241">
        <v>65729.919999999998</v>
      </c>
      <c r="V65" s="171">
        <f t="shared" si="17"/>
        <v>72448.709999999977</v>
      </c>
      <c r="W65" s="56">
        <v>90015.47</v>
      </c>
      <c r="X65" s="658">
        <f t="shared" si="10"/>
        <v>0</v>
      </c>
      <c r="Y65" s="659">
        <v>76519.520000000004</v>
      </c>
      <c r="Z65" s="171">
        <f t="shared" si="18"/>
        <v>76519.520000000004</v>
      </c>
      <c r="AA65" s="56"/>
      <c r="AB65" s="241">
        <f t="shared" si="11"/>
        <v>76519.520000000004</v>
      </c>
      <c r="AC65" s="241"/>
      <c r="AE65" s="531">
        <f t="shared" si="7"/>
        <v>0</v>
      </c>
      <c r="AG65" t="s">
        <v>456</v>
      </c>
      <c r="AH65" t="s">
        <v>1870</v>
      </c>
      <c r="AI65" s="199">
        <v>52945.54</v>
      </c>
      <c r="AJ65" s="199">
        <v>4158.63</v>
      </c>
      <c r="AK65" s="199">
        <v>1159.52</v>
      </c>
      <c r="AL65" s="199">
        <v>0</v>
      </c>
      <c r="AM65" s="199">
        <v>9606.19</v>
      </c>
      <c r="AN65" s="199">
        <v>3455.57</v>
      </c>
      <c r="AO65" s="199">
        <v>2767.82</v>
      </c>
      <c r="AP65" s="199">
        <v>0</v>
      </c>
      <c r="AQ65" s="199">
        <v>289.5</v>
      </c>
      <c r="AR65" s="199">
        <v>2136.75</v>
      </c>
      <c r="AS65" s="199">
        <v>76519.520000000004</v>
      </c>
      <c r="AT65"/>
      <c r="AU65"/>
      <c r="AV65" t="str">
        <f t="shared" si="8"/>
        <v>22207</v>
      </c>
      <c r="AW65" s="241">
        <f t="shared" si="9"/>
        <v>76519.520000000004</v>
      </c>
      <c r="AY65" s="167">
        <f t="shared" si="12"/>
        <v>0</v>
      </c>
      <c r="BA65" s="197">
        <v>58</v>
      </c>
      <c r="BB65" s="73" t="s">
        <v>456</v>
      </c>
      <c r="BC65" s="73" t="s">
        <v>1255</v>
      </c>
      <c r="BD65" s="56">
        <v>90015.47</v>
      </c>
    </row>
    <row r="66" spans="1:56">
      <c r="A66" s="197">
        <v>59</v>
      </c>
      <c r="B66" s="73" t="s">
        <v>229</v>
      </c>
      <c r="C66" s="73" t="s">
        <v>1256</v>
      </c>
      <c r="D66" s="168">
        <v>0</v>
      </c>
      <c r="E66" s="170">
        <v>25597.329999999998</v>
      </c>
      <c r="F66" s="171">
        <f t="shared" si="13"/>
        <v>25597.329999999998</v>
      </c>
      <c r="G66" s="182">
        <v>24649.9</v>
      </c>
      <c r="H66" s="179">
        <v>947.42999999999665</v>
      </c>
      <c r="I66" s="170">
        <v>38396.990000000005</v>
      </c>
      <c r="J66" s="171">
        <f t="shared" si="14"/>
        <v>39344.42</v>
      </c>
      <c r="K66" s="205">
        <v>25165.27</v>
      </c>
      <c r="L66" s="171">
        <v>14179.149999999998</v>
      </c>
      <c r="M66" s="199">
        <v>38147.25</v>
      </c>
      <c r="N66" s="171">
        <f t="shared" si="15"/>
        <v>52326.399999999994</v>
      </c>
      <c r="O66" s="205">
        <v>36733.4</v>
      </c>
      <c r="P66" s="241">
        <v>15592.999999999993</v>
      </c>
      <c r="Q66" s="199">
        <v>39625.21</v>
      </c>
      <c r="R66" s="171">
        <f t="shared" si="16"/>
        <v>55218.209999999992</v>
      </c>
      <c r="S66" s="205">
        <v>38333.199999999997</v>
      </c>
      <c r="T66" s="241">
        <v>16885.009999999995</v>
      </c>
      <c r="U66" s="241">
        <v>40961.960000000006</v>
      </c>
      <c r="V66" s="171">
        <f t="shared" si="17"/>
        <v>57846.97</v>
      </c>
      <c r="W66" s="56">
        <v>51409.460000000006</v>
      </c>
      <c r="X66" s="658">
        <f t="shared" si="10"/>
        <v>6437.5099999999948</v>
      </c>
      <c r="Y66" s="659">
        <v>43088.84</v>
      </c>
      <c r="Z66" s="171">
        <f t="shared" si="18"/>
        <v>49526.349999999991</v>
      </c>
      <c r="AA66" s="56"/>
      <c r="AB66" s="241">
        <f t="shared" si="11"/>
        <v>49526.349999999991</v>
      </c>
      <c r="AC66" s="241"/>
      <c r="AE66" s="531">
        <f t="shared" si="7"/>
        <v>0</v>
      </c>
      <c r="AG66" t="s">
        <v>229</v>
      </c>
      <c r="AH66" t="s">
        <v>1753</v>
      </c>
      <c r="AI66" s="199">
        <v>37025.919999999998</v>
      </c>
      <c r="AJ66" s="199">
        <v>2118.6799999999998</v>
      </c>
      <c r="AK66" s="199">
        <v>304.26</v>
      </c>
      <c r="AL66" s="199">
        <v>0</v>
      </c>
      <c r="AM66" s="199">
        <v>0</v>
      </c>
      <c r="AN66" s="199">
        <v>1873.36</v>
      </c>
      <c r="AO66" s="199">
        <v>1585.02</v>
      </c>
      <c r="AP66" s="199">
        <v>20.71</v>
      </c>
      <c r="AQ66" s="199">
        <v>160.88999999999999</v>
      </c>
      <c r="AR66" s="199">
        <v>0</v>
      </c>
      <c r="AS66" s="199">
        <v>43088.84</v>
      </c>
      <c r="AT66"/>
      <c r="AU66"/>
      <c r="AV66" t="str">
        <f t="shared" si="8"/>
        <v>07002</v>
      </c>
      <c r="AW66" s="241">
        <f t="shared" si="9"/>
        <v>43088.84</v>
      </c>
      <c r="AY66" s="167">
        <f t="shared" si="12"/>
        <v>0</v>
      </c>
      <c r="BA66" s="197">
        <v>59</v>
      </c>
      <c r="BB66" s="73" t="s">
        <v>229</v>
      </c>
      <c r="BC66" s="73" t="s">
        <v>1256</v>
      </c>
      <c r="BD66" s="56">
        <v>51409.460000000006</v>
      </c>
    </row>
    <row r="67" spans="1:56">
      <c r="A67" s="197">
        <v>60</v>
      </c>
      <c r="B67" s="73" t="s">
        <v>614</v>
      </c>
      <c r="C67" s="73" t="s">
        <v>1257</v>
      </c>
      <c r="D67" s="168">
        <v>18066.010000000002</v>
      </c>
      <c r="E67" s="170">
        <v>129530.28</v>
      </c>
      <c r="F67" s="171">
        <f t="shared" si="13"/>
        <v>147596.29</v>
      </c>
      <c r="G67" s="182">
        <v>92465.66</v>
      </c>
      <c r="H67" s="179">
        <v>55130.630000000005</v>
      </c>
      <c r="I67" s="170">
        <v>178818.81</v>
      </c>
      <c r="J67" s="171">
        <f t="shared" si="14"/>
        <v>233949.44</v>
      </c>
      <c r="K67" s="205">
        <v>216407.81000000003</v>
      </c>
      <c r="L67" s="171">
        <v>17541.629999999976</v>
      </c>
      <c r="M67" s="199">
        <v>182098.92</v>
      </c>
      <c r="N67" s="171">
        <f t="shared" si="15"/>
        <v>199640.55</v>
      </c>
      <c r="O67" s="205">
        <v>133753.06</v>
      </c>
      <c r="P67" s="241">
        <v>65887.489999999991</v>
      </c>
      <c r="Q67" s="199">
        <v>207463.96000000002</v>
      </c>
      <c r="R67" s="171">
        <f t="shared" si="16"/>
        <v>273351.45</v>
      </c>
      <c r="S67" s="205">
        <v>161374.03</v>
      </c>
      <c r="T67" s="241">
        <v>111977.42000000001</v>
      </c>
      <c r="U67" s="241">
        <v>214801.3</v>
      </c>
      <c r="V67" s="171">
        <f t="shared" si="17"/>
        <v>326778.71999999997</v>
      </c>
      <c r="W67" s="56">
        <v>163144.35000000006</v>
      </c>
      <c r="X67" s="658">
        <f t="shared" si="10"/>
        <v>163634.36999999991</v>
      </c>
      <c r="Y67" s="659">
        <v>227686.83</v>
      </c>
      <c r="Z67" s="171">
        <f t="shared" si="18"/>
        <v>391321.1999999999</v>
      </c>
      <c r="AA67" s="56"/>
      <c r="AB67" s="241">
        <f t="shared" si="11"/>
        <v>391321.1999999999</v>
      </c>
      <c r="AC67" s="241"/>
      <c r="AE67" s="531">
        <f t="shared" si="7"/>
        <v>0</v>
      </c>
      <c r="AG67" t="s">
        <v>614</v>
      </c>
      <c r="AH67" t="s">
        <v>1949</v>
      </c>
      <c r="AI67" s="199">
        <v>157888.5</v>
      </c>
      <c r="AJ67" s="199">
        <v>9865.83</v>
      </c>
      <c r="AK67" s="199">
        <v>0</v>
      </c>
      <c r="AL67" s="199">
        <v>0</v>
      </c>
      <c r="AM67" s="199">
        <v>38039.599999999999</v>
      </c>
      <c r="AN67" s="199">
        <v>13319.86</v>
      </c>
      <c r="AO67" s="199">
        <v>6647.68</v>
      </c>
      <c r="AP67" s="199">
        <v>762.79</v>
      </c>
      <c r="AQ67" s="199">
        <v>1162.57</v>
      </c>
      <c r="AR67" s="199">
        <v>0</v>
      </c>
      <c r="AS67" s="199">
        <v>227686.83</v>
      </c>
      <c r="AT67"/>
      <c r="AU67"/>
      <c r="AV67" t="str">
        <f t="shared" si="8"/>
        <v>32414</v>
      </c>
      <c r="AW67" s="241">
        <f t="shared" si="9"/>
        <v>227686.83</v>
      </c>
      <c r="AY67" s="167">
        <f t="shared" si="12"/>
        <v>0</v>
      </c>
      <c r="BA67" s="197">
        <v>60</v>
      </c>
      <c r="BB67" s="73" t="s">
        <v>614</v>
      </c>
      <c r="BC67" s="73" t="s">
        <v>1257</v>
      </c>
      <c r="BD67" s="56">
        <v>163144.35000000006</v>
      </c>
    </row>
    <row r="68" spans="1:56">
      <c r="A68" s="197">
        <v>61</v>
      </c>
      <c r="B68" s="73" t="s">
        <v>517</v>
      </c>
      <c r="C68" s="73" t="s">
        <v>1258</v>
      </c>
      <c r="D68" s="168">
        <v>50242.570000000007</v>
      </c>
      <c r="E68" s="170">
        <v>108904.68000000001</v>
      </c>
      <c r="F68" s="171">
        <f t="shared" si="13"/>
        <v>159147.25</v>
      </c>
      <c r="G68" s="182">
        <v>108964.28</v>
      </c>
      <c r="H68" s="179">
        <v>50182.97</v>
      </c>
      <c r="I68" s="170">
        <v>143940.99</v>
      </c>
      <c r="J68" s="171">
        <f t="shared" si="14"/>
        <v>194123.96</v>
      </c>
      <c r="K68" s="205">
        <v>139972.45000000001</v>
      </c>
      <c r="L68" s="171">
        <v>54151.50999999998</v>
      </c>
      <c r="M68" s="199">
        <v>146618.51999999999</v>
      </c>
      <c r="N68" s="171">
        <f t="shared" si="15"/>
        <v>200770.02999999997</v>
      </c>
      <c r="O68" s="205">
        <v>157425.60999999999</v>
      </c>
      <c r="P68" s="241">
        <v>43344.419999999984</v>
      </c>
      <c r="Q68" s="199">
        <v>164257.54999999999</v>
      </c>
      <c r="R68" s="171">
        <f t="shared" si="16"/>
        <v>207601.96999999997</v>
      </c>
      <c r="S68" s="205">
        <v>207601.97</v>
      </c>
      <c r="T68" s="241">
        <v>0</v>
      </c>
      <c r="U68" s="241">
        <v>168551.69999999998</v>
      </c>
      <c r="V68" s="171">
        <f t="shared" si="17"/>
        <v>168551.69999999998</v>
      </c>
      <c r="W68" s="56">
        <v>225008.47000000003</v>
      </c>
      <c r="X68" s="658">
        <f t="shared" si="10"/>
        <v>0</v>
      </c>
      <c r="Y68" s="659">
        <v>182130.29</v>
      </c>
      <c r="Z68" s="171">
        <f t="shared" si="18"/>
        <v>182130.29</v>
      </c>
      <c r="AA68" s="56"/>
      <c r="AB68" s="241">
        <f t="shared" si="11"/>
        <v>182130.29</v>
      </c>
      <c r="AC68" s="241"/>
      <c r="AE68" s="531">
        <f t="shared" si="7"/>
        <v>0</v>
      </c>
      <c r="AG68" t="s">
        <v>517</v>
      </c>
      <c r="AH68" t="s">
        <v>1899</v>
      </c>
      <c r="AI68" s="199">
        <v>142660.97</v>
      </c>
      <c r="AJ68" s="199">
        <v>0</v>
      </c>
      <c r="AK68" s="199">
        <v>8212.36</v>
      </c>
      <c r="AL68" s="199">
        <v>0</v>
      </c>
      <c r="AM68" s="199">
        <v>22022.93</v>
      </c>
      <c r="AN68" s="199">
        <v>2953.04</v>
      </c>
      <c r="AO68" s="199">
        <v>0</v>
      </c>
      <c r="AP68" s="199">
        <v>3411.46</v>
      </c>
      <c r="AQ68" s="199">
        <v>721.38</v>
      </c>
      <c r="AR68" s="199">
        <v>2148.15</v>
      </c>
      <c r="AS68" s="199">
        <v>182130.29</v>
      </c>
      <c r="AT68"/>
      <c r="AU68"/>
      <c r="AV68" t="str">
        <f t="shared" si="8"/>
        <v>27343</v>
      </c>
      <c r="AW68" s="241">
        <f t="shared" si="9"/>
        <v>182130.29</v>
      </c>
      <c r="AY68" s="167">
        <f t="shared" si="12"/>
        <v>0</v>
      </c>
      <c r="BA68" s="197">
        <v>61</v>
      </c>
      <c r="BB68" s="73" t="s">
        <v>517</v>
      </c>
      <c r="BC68" s="73" t="s">
        <v>1258</v>
      </c>
      <c r="BD68" s="56">
        <v>225008.47000000003</v>
      </c>
    </row>
    <row r="69" spans="1:56">
      <c r="A69" s="197">
        <v>62</v>
      </c>
      <c r="B69" s="73" t="s">
        <v>658</v>
      </c>
      <c r="C69" s="73" t="s">
        <v>1259</v>
      </c>
      <c r="D69" s="168">
        <v>68.2199999999998</v>
      </c>
      <c r="E69" s="170">
        <v>2121.89</v>
      </c>
      <c r="F69" s="171">
        <f t="shared" si="13"/>
        <v>2190.1099999999997</v>
      </c>
      <c r="G69" s="182">
        <v>2000.82</v>
      </c>
      <c r="H69" s="179">
        <v>189.28999999999974</v>
      </c>
      <c r="I69" s="170">
        <v>4013.98</v>
      </c>
      <c r="J69" s="171">
        <f t="shared" si="14"/>
        <v>4203.2699999999995</v>
      </c>
      <c r="K69" s="205">
        <v>3836.08</v>
      </c>
      <c r="L69" s="171">
        <v>367.1899999999996</v>
      </c>
      <c r="M69" s="199">
        <v>3704.07</v>
      </c>
      <c r="N69" s="171">
        <f t="shared" si="15"/>
        <v>4071.2599999999998</v>
      </c>
      <c r="O69" s="205">
        <v>3332.4</v>
      </c>
      <c r="P69" s="241">
        <v>738.85999999999967</v>
      </c>
      <c r="Q69" s="199">
        <v>3682.1000000000004</v>
      </c>
      <c r="R69" s="171">
        <f t="shared" si="16"/>
        <v>4420.96</v>
      </c>
      <c r="S69" s="205">
        <v>0</v>
      </c>
      <c r="T69" s="241">
        <v>4420.96</v>
      </c>
      <c r="U69" s="241">
        <v>3871.34</v>
      </c>
      <c r="V69" s="171">
        <f t="shared" si="17"/>
        <v>8292.2999999999993</v>
      </c>
      <c r="W69" s="56"/>
      <c r="X69" s="658">
        <f t="shared" si="10"/>
        <v>8292.2999999999993</v>
      </c>
      <c r="Y69" s="659">
        <v>3710.0699999999997</v>
      </c>
      <c r="Z69" s="171">
        <f t="shared" si="18"/>
        <v>12002.369999999999</v>
      </c>
      <c r="AA69" s="56"/>
      <c r="AB69" s="241">
        <f t="shared" si="11"/>
        <v>12002.369999999999</v>
      </c>
      <c r="AC69" s="241"/>
      <c r="AE69" s="531">
        <f t="shared" si="7"/>
        <v>0</v>
      </c>
      <c r="AG69" t="s">
        <v>658</v>
      </c>
      <c r="AH69" t="s">
        <v>1973</v>
      </c>
      <c r="AI69" s="199">
        <v>3428.12</v>
      </c>
      <c r="AJ69" s="199">
        <v>0</v>
      </c>
      <c r="AK69" s="199">
        <v>0</v>
      </c>
      <c r="AL69" s="199">
        <v>0</v>
      </c>
      <c r="AM69" s="199">
        <v>0</v>
      </c>
      <c r="AN69" s="199">
        <v>192.75</v>
      </c>
      <c r="AO69" s="199">
        <v>89.2</v>
      </c>
      <c r="AP69" s="199">
        <v>0</v>
      </c>
      <c r="AQ69" s="199">
        <v>0</v>
      </c>
      <c r="AR69" s="199">
        <v>0</v>
      </c>
      <c r="AS69" s="199">
        <v>3710.0699999999997</v>
      </c>
      <c r="AT69"/>
      <c r="AU69"/>
      <c r="AV69" t="str">
        <f t="shared" si="8"/>
        <v>36101</v>
      </c>
      <c r="AW69" s="241">
        <f t="shared" si="9"/>
        <v>3710.0699999999997</v>
      </c>
      <c r="AY69" s="167">
        <f t="shared" si="12"/>
        <v>0</v>
      </c>
      <c r="BA69" s="197">
        <v>62</v>
      </c>
      <c r="BB69" s="73" t="s">
        <v>658</v>
      </c>
      <c r="BC69" s="73" t="s">
        <v>1259</v>
      </c>
      <c r="BD69" s="56"/>
    </row>
    <row r="70" spans="1:56">
      <c r="A70" s="197">
        <v>63</v>
      </c>
      <c r="B70" s="73" t="s">
        <v>610</v>
      </c>
      <c r="C70" s="73" t="s">
        <v>1260</v>
      </c>
      <c r="D70" s="168">
        <v>18394.209999999992</v>
      </c>
      <c r="E70" s="170">
        <v>249792.84000000003</v>
      </c>
      <c r="F70" s="171">
        <f t="shared" si="13"/>
        <v>268187.05000000005</v>
      </c>
      <c r="G70" s="182">
        <v>266703.15999999997</v>
      </c>
      <c r="H70" s="179">
        <v>1483.8900000000722</v>
      </c>
      <c r="I70" s="170">
        <v>315777.56</v>
      </c>
      <c r="J70" s="171">
        <f t="shared" si="14"/>
        <v>317261.45000000007</v>
      </c>
      <c r="K70" s="205">
        <v>316914.93</v>
      </c>
      <c r="L70" s="171">
        <v>346.52000000007683</v>
      </c>
      <c r="M70" s="199">
        <v>324479.31</v>
      </c>
      <c r="N70" s="171">
        <f t="shared" si="15"/>
        <v>324825.83000000007</v>
      </c>
      <c r="O70" s="205">
        <v>418581.70000000007</v>
      </c>
      <c r="P70" s="241">
        <v>0</v>
      </c>
      <c r="Q70" s="199">
        <v>354027.85</v>
      </c>
      <c r="R70" s="171">
        <f t="shared" si="16"/>
        <v>354027.85</v>
      </c>
      <c r="S70" s="205">
        <v>426458.01999999996</v>
      </c>
      <c r="T70" s="241">
        <v>0</v>
      </c>
      <c r="U70" s="241">
        <v>371879.83999999997</v>
      </c>
      <c r="V70" s="171">
        <f t="shared" si="17"/>
        <v>371879.83999999997</v>
      </c>
      <c r="W70" s="56">
        <v>393644.99000000011</v>
      </c>
      <c r="X70" s="658">
        <f t="shared" si="10"/>
        <v>0</v>
      </c>
      <c r="Y70" s="659">
        <v>390000.44000000006</v>
      </c>
      <c r="Z70" s="171">
        <f t="shared" si="18"/>
        <v>390000.44000000006</v>
      </c>
      <c r="AA70" s="56"/>
      <c r="AB70" s="241">
        <f t="shared" si="11"/>
        <v>390000.44000000006</v>
      </c>
      <c r="AC70" s="241"/>
      <c r="AE70" s="531">
        <f t="shared" si="7"/>
        <v>0</v>
      </c>
      <c r="AG70" t="s">
        <v>610</v>
      </c>
      <c r="AH70" t="s">
        <v>1946</v>
      </c>
      <c r="AI70" s="199">
        <v>263820.21999999997</v>
      </c>
      <c r="AJ70" s="199">
        <v>17898.86</v>
      </c>
      <c r="AK70" s="199">
        <v>4313.83</v>
      </c>
      <c r="AL70" s="199">
        <v>0</v>
      </c>
      <c r="AM70" s="199">
        <v>61664.02</v>
      </c>
      <c r="AN70" s="199">
        <v>21851.08</v>
      </c>
      <c r="AO70" s="199">
        <v>14233.39</v>
      </c>
      <c r="AP70" s="199">
        <v>4664.28</v>
      </c>
      <c r="AQ70" s="199">
        <v>1554.76</v>
      </c>
      <c r="AR70" s="199">
        <v>0</v>
      </c>
      <c r="AS70" s="199">
        <v>390000.44000000006</v>
      </c>
      <c r="AT70"/>
      <c r="AU70"/>
      <c r="AV70" t="str">
        <f t="shared" si="8"/>
        <v>32361</v>
      </c>
      <c r="AW70" s="241">
        <f t="shared" si="9"/>
        <v>390000.44000000006</v>
      </c>
      <c r="AY70" s="167">
        <f t="shared" si="12"/>
        <v>0</v>
      </c>
      <c r="BA70" s="197">
        <v>63</v>
      </c>
      <c r="BB70" s="73" t="s">
        <v>610</v>
      </c>
      <c r="BC70" s="73" t="s">
        <v>1260</v>
      </c>
      <c r="BD70" s="56">
        <v>393644.99000000011</v>
      </c>
    </row>
    <row r="71" spans="1:56">
      <c r="A71" s="197">
        <v>64</v>
      </c>
      <c r="B71" s="73" t="s">
        <v>717</v>
      </c>
      <c r="C71" s="73" t="s">
        <v>1261</v>
      </c>
      <c r="D71" s="168">
        <v>0</v>
      </c>
      <c r="E71" s="170">
        <v>209237.50999999995</v>
      </c>
      <c r="F71" s="171">
        <f t="shared" si="13"/>
        <v>209237.50999999995</v>
      </c>
      <c r="G71" s="182">
        <v>179658.9</v>
      </c>
      <c r="H71" s="179">
        <v>29578.609999999957</v>
      </c>
      <c r="I71" s="170">
        <v>299349.55</v>
      </c>
      <c r="J71" s="171">
        <f t="shared" si="14"/>
        <v>328928.15999999992</v>
      </c>
      <c r="K71" s="205">
        <v>299198.38000000006</v>
      </c>
      <c r="L71" s="171">
        <v>29729.779999999853</v>
      </c>
      <c r="M71" s="199">
        <v>315312.09999999998</v>
      </c>
      <c r="N71" s="171">
        <f t="shared" si="15"/>
        <v>345041.87999999983</v>
      </c>
      <c r="O71" s="205">
        <v>296746.21000000002</v>
      </c>
      <c r="P71" s="241">
        <v>48295.669999999809</v>
      </c>
      <c r="Q71" s="199">
        <v>345469.72000000003</v>
      </c>
      <c r="R71" s="171">
        <f t="shared" si="16"/>
        <v>393765.38999999984</v>
      </c>
      <c r="S71" s="205">
        <v>277286.02000000008</v>
      </c>
      <c r="T71" s="241">
        <v>116479.36999999976</v>
      </c>
      <c r="U71" s="241">
        <v>354039.73</v>
      </c>
      <c r="V71" s="171">
        <f t="shared" si="17"/>
        <v>470519.09999999974</v>
      </c>
      <c r="W71" s="56">
        <v>390727.62</v>
      </c>
      <c r="X71" s="658">
        <f t="shared" si="10"/>
        <v>79791.479999999749</v>
      </c>
      <c r="Y71" s="659">
        <v>378955.55</v>
      </c>
      <c r="Z71" s="171">
        <f t="shared" si="18"/>
        <v>458747.02999999974</v>
      </c>
      <c r="AA71" s="56"/>
      <c r="AB71" s="241">
        <f t="shared" si="11"/>
        <v>458747.02999999974</v>
      </c>
      <c r="AC71" s="241"/>
      <c r="AE71" s="531">
        <f t="shared" si="7"/>
        <v>0</v>
      </c>
      <c r="AG71" t="s">
        <v>717</v>
      </c>
      <c r="AH71" t="s">
        <v>2004</v>
      </c>
      <c r="AI71" s="199">
        <v>256721.42</v>
      </c>
      <c r="AJ71" s="199">
        <v>15638.89</v>
      </c>
      <c r="AK71" s="199">
        <v>1453.61</v>
      </c>
      <c r="AL71" s="199">
        <v>0</v>
      </c>
      <c r="AM71" s="199">
        <v>45879.27</v>
      </c>
      <c r="AN71" s="199">
        <v>21179.13</v>
      </c>
      <c r="AO71" s="199">
        <v>15202.35</v>
      </c>
      <c r="AP71" s="199">
        <v>11740.66</v>
      </c>
      <c r="AQ71" s="199">
        <v>1442.88</v>
      </c>
      <c r="AR71" s="199">
        <v>9697.34</v>
      </c>
      <c r="AS71" s="199">
        <v>378955.55</v>
      </c>
      <c r="AT71"/>
      <c r="AU71"/>
      <c r="AV71" t="str">
        <f t="shared" si="8"/>
        <v>39090</v>
      </c>
      <c r="AW71" s="241">
        <f t="shared" si="9"/>
        <v>378955.55</v>
      </c>
      <c r="AY71" s="167">
        <f t="shared" si="12"/>
        <v>0</v>
      </c>
      <c r="BA71" s="197">
        <v>64</v>
      </c>
      <c r="BB71" s="73" t="s">
        <v>717</v>
      </c>
      <c r="BC71" s="73" t="s">
        <v>1261</v>
      </c>
      <c r="BD71" s="56">
        <v>390727.62</v>
      </c>
    </row>
    <row r="72" spans="1:56">
      <c r="A72" s="197">
        <v>65</v>
      </c>
      <c r="B72" s="73" t="s">
        <v>251</v>
      </c>
      <c r="C72" s="73" t="s">
        <v>1262</v>
      </c>
      <c r="D72" s="168">
        <v>5391.5899999999674</v>
      </c>
      <c r="E72" s="170">
        <v>387248.47</v>
      </c>
      <c r="F72" s="171">
        <f t="shared" ref="F72:F87" si="19">+D72+E72</f>
        <v>392640.05999999994</v>
      </c>
      <c r="G72" s="182">
        <v>497864.82</v>
      </c>
      <c r="H72" s="179">
        <v>0</v>
      </c>
      <c r="I72" s="170">
        <v>533307.26</v>
      </c>
      <c r="J72" s="171">
        <f t="shared" ref="J72:J87" si="20">+H72+I72</f>
        <v>533307.26</v>
      </c>
      <c r="K72" s="205">
        <v>572063.48000000021</v>
      </c>
      <c r="L72" s="171">
        <v>0</v>
      </c>
      <c r="M72" s="199">
        <v>544146.74</v>
      </c>
      <c r="N72" s="171">
        <f t="shared" ref="N72:N103" si="21">+L72+M72</f>
        <v>544146.74</v>
      </c>
      <c r="O72" s="205">
        <v>555141.57999999996</v>
      </c>
      <c r="P72" s="241">
        <v>0</v>
      </c>
      <c r="Q72" s="199">
        <v>591453.89999999991</v>
      </c>
      <c r="R72" s="171">
        <f t="shared" ref="R72:R103" si="22">+P72+Q72</f>
        <v>591453.89999999991</v>
      </c>
      <c r="S72" s="205">
        <v>611458.42000000004</v>
      </c>
      <c r="T72" s="241">
        <v>0</v>
      </c>
      <c r="U72" s="241">
        <v>622533.87000000011</v>
      </c>
      <c r="V72" s="171">
        <f t="shared" ref="V72:V103" si="23">+T72+U72</f>
        <v>622533.87000000011</v>
      </c>
      <c r="W72" s="56">
        <v>673366.95000000019</v>
      </c>
      <c r="X72" s="658">
        <f t="shared" si="10"/>
        <v>0</v>
      </c>
      <c r="Y72" s="659">
        <v>660542.49999999988</v>
      </c>
      <c r="Z72" s="171">
        <f t="shared" ref="Z72:Z103" si="24">+X72+Y72</f>
        <v>660542.49999999988</v>
      </c>
      <c r="AA72" s="56"/>
      <c r="AB72" s="241">
        <f t="shared" si="11"/>
        <v>660542.49999999988</v>
      </c>
      <c r="AC72" s="241"/>
      <c r="AE72" s="531">
        <f t="shared" ref="AE72:AE135" si="25">+AG72-B72</f>
        <v>0</v>
      </c>
      <c r="AG72" t="s">
        <v>251</v>
      </c>
      <c r="AH72" t="s">
        <v>1764</v>
      </c>
      <c r="AI72" s="199">
        <v>433443.99</v>
      </c>
      <c r="AJ72" s="199">
        <v>34080.839999999997</v>
      </c>
      <c r="AK72" s="199">
        <v>10882.89</v>
      </c>
      <c r="AL72" s="199">
        <v>0</v>
      </c>
      <c r="AM72" s="199">
        <v>79248.929999999993</v>
      </c>
      <c r="AN72" s="199">
        <v>37177.99</v>
      </c>
      <c r="AO72" s="199">
        <v>26581.53</v>
      </c>
      <c r="AP72" s="199">
        <v>28571.23</v>
      </c>
      <c r="AQ72" s="199">
        <v>2545.7199999999998</v>
      </c>
      <c r="AR72" s="199">
        <v>8009.38</v>
      </c>
      <c r="AS72" s="199">
        <v>660542.49999999988</v>
      </c>
      <c r="AT72"/>
      <c r="AU72"/>
      <c r="AV72" t="str">
        <f t="shared" ref="AV72:AV135" si="26">TEXT(AG72, "00000")</f>
        <v>09206</v>
      </c>
      <c r="AW72" s="241">
        <f t="shared" ref="AW72:AW135" si="27">AS72</f>
        <v>660542.49999999988</v>
      </c>
      <c r="AY72" s="167">
        <f t="shared" si="12"/>
        <v>0</v>
      </c>
      <c r="BA72" s="197">
        <v>65</v>
      </c>
      <c r="BB72" s="73" t="s">
        <v>251</v>
      </c>
      <c r="BC72" s="73" t="s">
        <v>1262</v>
      </c>
      <c r="BD72" s="56">
        <v>673366.95000000019</v>
      </c>
    </row>
    <row r="73" spans="1:56">
      <c r="A73" s="197">
        <v>66</v>
      </c>
      <c r="B73" s="73" t="s">
        <v>386</v>
      </c>
      <c r="C73" s="73" t="s">
        <v>1263</v>
      </c>
      <c r="D73" s="168">
        <v>2286.1000000000004</v>
      </c>
      <c r="E73" s="170">
        <v>13067.74</v>
      </c>
      <c r="F73" s="171">
        <f t="shared" si="19"/>
        <v>15353.84</v>
      </c>
      <c r="G73" s="182">
        <v>12684.06</v>
      </c>
      <c r="H73" s="179">
        <v>2669.7800000000007</v>
      </c>
      <c r="I73" s="170">
        <v>19633.84</v>
      </c>
      <c r="J73" s="171">
        <f t="shared" si="20"/>
        <v>22303.620000000003</v>
      </c>
      <c r="K73" s="205">
        <v>12301.02</v>
      </c>
      <c r="L73" s="171">
        <v>10002.600000000002</v>
      </c>
      <c r="M73" s="199">
        <v>19771.849999999999</v>
      </c>
      <c r="N73" s="171">
        <f t="shared" si="21"/>
        <v>29774.45</v>
      </c>
      <c r="O73" s="205">
        <v>5567.92</v>
      </c>
      <c r="P73" s="241">
        <v>24206.53</v>
      </c>
      <c r="Q73" s="199">
        <v>21056.86</v>
      </c>
      <c r="R73" s="171">
        <f t="shared" si="22"/>
        <v>45263.39</v>
      </c>
      <c r="S73" s="205">
        <v>11425.539999999999</v>
      </c>
      <c r="T73" s="241">
        <v>33837.85</v>
      </c>
      <c r="U73" s="241">
        <v>23173.75</v>
      </c>
      <c r="V73" s="171">
        <f t="shared" si="23"/>
        <v>57011.6</v>
      </c>
      <c r="W73" s="56">
        <v>10024.86</v>
      </c>
      <c r="X73" s="658">
        <f t="shared" ref="X73:X136" si="28">IF(+V73-W73&lt;0,0,(+V73-W73))</f>
        <v>46986.74</v>
      </c>
      <c r="Y73" s="659">
        <v>24627.439999999995</v>
      </c>
      <c r="Z73" s="171">
        <f t="shared" si="24"/>
        <v>71614.179999999993</v>
      </c>
      <c r="AA73" s="56"/>
      <c r="AB73" s="241">
        <f t="shared" ref="AB73:AB136" si="29">IF(+Z73-AA73&lt;0,0,(+Z73-AA73))</f>
        <v>71614.179999999993</v>
      </c>
      <c r="AC73" s="241"/>
      <c r="AE73" s="531">
        <f t="shared" si="25"/>
        <v>0</v>
      </c>
      <c r="AG73" t="s">
        <v>386</v>
      </c>
      <c r="AH73" t="s">
        <v>1835</v>
      </c>
      <c r="AI73" s="199">
        <v>21756.35</v>
      </c>
      <c r="AJ73" s="199">
        <v>0</v>
      </c>
      <c r="AK73" s="199">
        <v>0</v>
      </c>
      <c r="AL73" s="199">
        <v>0</v>
      </c>
      <c r="AM73" s="199">
        <v>1646.19</v>
      </c>
      <c r="AN73" s="199">
        <v>723.96</v>
      </c>
      <c r="AO73" s="199">
        <v>386</v>
      </c>
      <c r="AP73" s="199">
        <v>114.94</v>
      </c>
      <c r="AQ73" s="199">
        <v>0</v>
      </c>
      <c r="AR73" s="199">
        <v>0</v>
      </c>
      <c r="AS73" s="199">
        <v>24627.439999999995</v>
      </c>
      <c r="AT73"/>
      <c r="AU73"/>
      <c r="AV73" t="str">
        <f t="shared" si="26"/>
        <v>19028</v>
      </c>
      <c r="AW73" s="241">
        <f t="shared" si="27"/>
        <v>24627.439999999995</v>
      </c>
      <c r="AY73" s="167">
        <f t="shared" ref="AY73:AY136" si="30">+BB73-B73</f>
        <v>0</v>
      </c>
      <c r="BA73" s="197">
        <v>66</v>
      </c>
      <c r="BB73" s="73" t="s">
        <v>386</v>
      </c>
      <c r="BC73" s="73" t="s">
        <v>1263</v>
      </c>
      <c r="BD73" s="56">
        <v>10024.86</v>
      </c>
    </row>
    <row r="74" spans="1:56">
      <c r="A74" s="197">
        <v>67</v>
      </c>
      <c r="B74" s="73" t="s">
        <v>529</v>
      </c>
      <c r="C74" s="73" t="s">
        <v>1264</v>
      </c>
      <c r="D74" s="168">
        <v>0</v>
      </c>
      <c r="E74" s="170">
        <v>111628.41</v>
      </c>
      <c r="F74" s="171">
        <f t="shared" si="19"/>
        <v>111628.41</v>
      </c>
      <c r="G74" s="182">
        <v>84500.97</v>
      </c>
      <c r="H74" s="179">
        <v>27127.440000000002</v>
      </c>
      <c r="I74" s="170">
        <v>147550.76999999999</v>
      </c>
      <c r="J74" s="171">
        <f t="shared" si="20"/>
        <v>174678.21</v>
      </c>
      <c r="K74" s="205">
        <v>178649.71999999997</v>
      </c>
      <c r="L74" s="171">
        <v>0</v>
      </c>
      <c r="M74" s="199">
        <v>158043.58000000002</v>
      </c>
      <c r="N74" s="171">
        <f t="shared" si="21"/>
        <v>158043.58000000002</v>
      </c>
      <c r="O74" s="205">
        <v>173640.13</v>
      </c>
      <c r="P74" s="241">
        <v>0</v>
      </c>
      <c r="Q74" s="199">
        <v>182508.17</v>
      </c>
      <c r="R74" s="171">
        <f t="shared" si="22"/>
        <v>182508.17</v>
      </c>
      <c r="S74" s="205">
        <v>207319.61000000002</v>
      </c>
      <c r="T74" s="241">
        <v>0</v>
      </c>
      <c r="U74" s="241">
        <v>187486.42999999996</v>
      </c>
      <c r="V74" s="171">
        <f t="shared" si="23"/>
        <v>187486.42999999996</v>
      </c>
      <c r="W74" s="56">
        <v>217470.85000000006</v>
      </c>
      <c r="X74" s="658">
        <f t="shared" si="28"/>
        <v>0</v>
      </c>
      <c r="Y74" s="659">
        <v>205770.52999999997</v>
      </c>
      <c r="Z74" s="171">
        <f t="shared" si="24"/>
        <v>205770.52999999997</v>
      </c>
      <c r="AA74" s="56"/>
      <c r="AB74" s="241">
        <f t="shared" si="29"/>
        <v>205770.52999999997</v>
      </c>
      <c r="AC74" s="241"/>
      <c r="AE74" s="531">
        <f t="shared" si="25"/>
        <v>0</v>
      </c>
      <c r="AG74" t="s">
        <v>529</v>
      </c>
      <c r="AH74" t="s">
        <v>1905</v>
      </c>
      <c r="AI74" s="199">
        <v>146290.29</v>
      </c>
      <c r="AJ74" s="199">
        <v>10967.14</v>
      </c>
      <c r="AK74" s="199">
        <v>5505.01</v>
      </c>
      <c r="AL74" s="199">
        <v>0</v>
      </c>
      <c r="AM74" s="199">
        <v>27248.17</v>
      </c>
      <c r="AN74" s="199">
        <v>8085.97</v>
      </c>
      <c r="AO74" s="199">
        <v>847.05</v>
      </c>
      <c r="AP74" s="199">
        <v>503.94</v>
      </c>
      <c r="AQ74" s="199">
        <v>862.36</v>
      </c>
      <c r="AR74" s="199">
        <v>5460.6</v>
      </c>
      <c r="AS74" s="199">
        <v>205770.52999999997</v>
      </c>
      <c r="AT74"/>
      <c r="AU74"/>
      <c r="AV74" t="str">
        <f t="shared" si="26"/>
        <v>27404</v>
      </c>
      <c r="AW74" s="241">
        <f t="shared" si="27"/>
        <v>205770.52999999997</v>
      </c>
      <c r="AY74" s="167">
        <f t="shared" si="30"/>
        <v>0</v>
      </c>
      <c r="BA74" s="197">
        <v>67</v>
      </c>
      <c r="BB74" s="73" t="s">
        <v>529</v>
      </c>
      <c r="BC74" s="73" t="s">
        <v>1264</v>
      </c>
      <c r="BD74" s="56">
        <v>217470.85000000006</v>
      </c>
    </row>
    <row r="75" spans="1:56">
      <c r="A75" s="197">
        <v>68</v>
      </c>
      <c r="B75" s="73" t="s">
        <v>570</v>
      </c>
      <c r="C75" s="73" t="s">
        <v>1265</v>
      </c>
      <c r="D75" s="168">
        <v>110028.19000000006</v>
      </c>
      <c r="E75" s="170">
        <v>1495761.0499999998</v>
      </c>
      <c r="F75" s="171">
        <f t="shared" si="19"/>
        <v>1605789.2399999998</v>
      </c>
      <c r="G75" s="182">
        <v>1251673.6000000001</v>
      </c>
      <c r="H75" s="179">
        <v>354115.63999999966</v>
      </c>
      <c r="I75" s="170">
        <v>2148434.23</v>
      </c>
      <c r="J75" s="171">
        <f t="shared" si="20"/>
        <v>2502549.8699999996</v>
      </c>
      <c r="K75" s="205">
        <v>2148434.23</v>
      </c>
      <c r="L75" s="171">
        <v>354115.63999999966</v>
      </c>
      <c r="M75" s="199">
        <v>2149894.5299999998</v>
      </c>
      <c r="N75" s="171">
        <f t="shared" si="21"/>
        <v>2504010.1699999995</v>
      </c>
      <c r="O75" s="205">
        <v>2148926.35</v>
      </c>
      <c r="P75" s="241">
        <v>355083.81999999937</v>
      </c>
      <c r="Q75" s="199">
        <v>2304116.17</v>
      </c>
      <c r="R75" s="171">
        <f t="shared" si="22"/>
        <v>2659199.9899999993</v>
      </c>
      <c r="S75" s="205">
        <v>2659200.0099999998</v>
      </c>
      <c r="T75" s="241">
        <v>0</v>
      </c>
      <c r="U75" s="241">
        <v>2412924.04</v>
      </c>
      <c r="V75" s="171">
        <f t="shared" si="23"/>
        <v>2412924.04</v>
      </c>
      <c r="W75" s="56">
        <v>2412924.04</v>
      </c>
      <c r="X75" s="658">
        <f t="shared" si="28"/>
        <v>0</v>
      </c>
      <c r="Y75" s="659">
        <v>2559362.1699999995</v>
      </c>
      <c r="Z75" s="171">
        <f t="shared" si="24"/>
        <v>2559362.1699999995</v>
      </c>
      <c r="AA75" s="56"/>
      <c r="AB75" s="241">
        <f t="shared" si="29"/>
        <v>2559362.1699999995</v>
      </c>
      <c r="AC75" s="241"/>
      <c r="AE75" s="531">
        <f t="shared" si="25"/>
        <v>0</v>
      </c>
      <c r="AG75" t="s">
        <v>570</v>
      </c>
      <c r="AH75" t="s">
        <v>1926</v>
      </c>
      <c r="AI75" s="199">
        <v>1818390.12</v>
      </c>
      <c r="AJ75" s="199">
        <v>96444.65</v>
      </c>
      <c r="AK75" s="199">
        <v>9958.9599999999991</v>
      </c>
      <c r="AL75" s="199">
        <v>0</v>
      </c>
      <c r="AM75" s="199">
        <v>392184.38</v>
      </c>
      <c r="AN75" s="199">
        <v>94948.09</v>
      </c>
      <c r="AO75" s="199">
        <v>19531.13</v>
      </c>
      <c r="AP75" s="199">
        <v>117401.84</v>
      </c>
      <c r="AQ75" s="199">
        <v>10503</v>
      </c>
      <c r="AR75" s="199">
        <v>0</v>
      </c>
      <c r="AS75" s="199">
        <v>2559362.1699999995</v>
      </c>
      <c r="AT75"/>
      <c r="AU75"/>
      <c r="AV75" t="str">
        <f t="shared" si="26"/>
        <v>31015</v>
      </c>
      <c r="AW75" s="241">
        <f t="shared" si="27"/>
        <v>2559362.1699999995</v>
      </c>
      <c r="AY75" s="167">
        <f t="shared" si="30"/>
        <v>0</v>
      </c>
      <c r="BA75" s="197">
        <v>68</v>
      </c>
      <c r="BB75" s="73" t="s">
        <v>570</v>
      </c>
      <c r="BC75" s="73" t="s">
        <v>1265</v>
      </c>
      <c r="BD75" s="56">
        <v>2412924.04</v>
      </c>
    </row>
    <row r="76" spans="1:56">
      <c r="A76" s="197">
        <v>69</v>
      </c>
      <c r="B76" s="73" t="s">
        <v>390</v>
      </c>
      <c r="C76" s="73" t="s">
        <v>1266</v>
      </c>
      <c r="D76" s="168">
        <v>0</v>
      </c>
      <c r="E76" s="170">
        <v>200581.93999999997</v>
      </c>
      <c r="F76" s="171">
        <f t="shared" si="19"/>
        <v>200581.93999999997</v>
      </c>
      <c r="G76" s="182">
        <v>223711.22</v>
      </c>
      <c r="H76" s="179">
        <v>0</v>
      </c>
      <c r="I76" s="170">
        <v>275833.46999999997</v>
      </c>
      <c r="J76" s="171">
        <f t="shared" si="20"/>
        <v>275833.46999999997</v>
      </c>
      <c r="K76" s="205">
        <v>247822.90000000005</v>
      </c>
      <c r="L76" s="171">
        <v>28010.56999999992</v>
      </c>
      <c r="M76" s="199">
        <v>288375.72000000003</v>
      </c>
      <c r="N76" s="171">
        <f t="shared" si="21"/>
        <v>316386.28999999992</v>
      </c>
      <c r="O76" s="205">
        <v>280499.61</v>
      </c>
      <c r="P76" s="241">
        <v>35886.679999999935</v>
      </c>
      <c r="Q76" s="199">
        <v>310588.04000000004</v>
      </c>
      <c r="R76" s="171">
        <f t="shared" si="22"/>
        <v>346474.72</v>
      </c>
      <c r="S76" s="205">
        <v>378668.74999999994</v>
      </c>
      <c r="T76" s="241">
        <v>0</v>
      </c>
      <c r="U76" s="241">
        <v>320033.48</v>
      </c>
      <c r="V76" s="171">
        <f t="shared" si="23"/>
        <v>320033.48</v>
      </c>
      <c r="W76" s="56">
        <v>456772.58000000025</v>
      </c>
      <c r="X76" s="658">
        <f t="shared" si="28"/>
        <v>0</v>
      </c>
      <c r="Y76" s="659">
        <v>342136.51</v>
      </c>
      <c r="Z76" s="171">
        <f t="shared" si="24"/>
        <v>342136.51</v>
      </c>
      <c r="AA76" s="56"/>
      <c r="AB76" s="241">
        <f t="shared" si="29"/>
        <v>342136.51</v>
      </c>
      <c r="AC76" s="241"/>
      <c r="AE76" s="531">
        <f t="shared" si="25"/>
        <v>0</v>
      </c>
      <c r="AG76" t="s">
        <v>390</v>
      </c>
      <c r="AH76" t="s">
        <v>1837</v>
      </c>
      <c r="AI76" s="199">
        <v>247422.32</v>
      </c>
      <c r="AJ76" s="199">
        <v>15496.44</v>
      </c>
      <c r="AK76" s="199">
        <v>2075.4899999999998</v>
      </c>
      <c r="AL76" s="199">
        <v>0</v>
      </c>
      <c r="AM76" s="199">
        <v>47405.4</v>
      </c>
      <c r="AN76" s="199">
        <v>14016.8</v>
      </c>
      <c r="AO76" s="199">
        <v>3757.31</v>
      </c>
      <c r="AP76" s="199">
        <v>5958.4</v>
      </c>
      <c r="AQ76" s="199">
        <v>1435.22</v>
      </c>
      <c r="AR76" s="199">
        <v>4569.13</v>
      </c>
      <c r="AS76" s="199">
        <v>342136.51</v>
      </c>
      <c r="AT76"/>
      <c r="AU76"/>
      <c r="AV76" t="str">
        <f t="shared" si="26"/>
        <v>19401</v>
      </c>
      <c r="AW76" s="241">
        <f t="shared" si="27"/>
        <v>342136.51</v>
      </c>
      <c r="AY76" s="167">
        <f t="shared" si="30"/>
        <v>0</v>
      </c>
      <c r="BA76" s="197">
        <v>69</v>
      </c>
      <c r="BB76" s="73" t="s">
        <v>390</v>
      </c>
      <c r="BC76" s="73" t="s">
        <v>1266</v>
      </c>
      <c r="BD76" s="56">
        <v>456772.58000000025</v>
      </c>
    </row>
    <row r="77" spans="1:56">
      <c r="A77" s="197">
        <v>70</v>
      </c>
      <c r="B77" s="73" t="s">
        <v>307</v>
      </c>
      <c r="C77" s="73" t="s">
        <v>1267</v>
      </c>
      <c r="D77" s="168">
        <v>0</v>
      </c>
      <c r="E77" s="170">
        <v>106526.43000000001</v>
      </c>
      <c r="F77" s="171">
        <f t="shared" si="19"/>
        <v>106526.43000000001</v>
      </c>
      <c r="G77" s="182">
        <v>100421.02</v>
      </c>
      <c r="H77" s="179">
        <v>6105.4100000000035</v>
      </c>
      <c r="I77" s="170">
        <v>150672.45000000001</v>
      </c>
      <c r="J77" s="171">
        <f t="shared" si="20"/>
        <v>156777.86000000002</v>
      </c>
      <c r="K77" s="205">
        <v>149811.79</v>
      </c>
      <c r="L77" s="171">
        <v>6966.070000000007</v>
      </c>
      <c r="M77" s="199">
        <v>154013.63</v>
      </c>
      <c r="N77" s="171">
        <f t="shared" si="21"/>
        <v>160979.70000000001</v>
      </c>
      <c r="O77" s="205">
        <v>141429.46</v>
      </c>
      <c r="P77" s="241">
        <v>19550.24000000002</v>
      </c>
      <c r="Q77" s="199">
        <v>175382.52</v>
      </c>
      <c r="R77" s="171">
        <f t="shared" si="22"/>
        <v>194932.76</v>
      </c>
      <c r="S77" s="205">
        <v>141189.50999999998</v>
      </c>
      <c r="T77" s="241">
        <v>53743.250000000029</v>
      </c>
      <c r="U77" s="241">
        <v>175741.21000000002</v>
      </c>
      <c r="V77" s="171">
        <f t="shared" si="23"/>
        <v>229484.46000000005</v>
      </c>
      <c r="W77" s="56">
        <v>180009.06999999998</v>
      </c>
      <c r="X77" s="658">
        <f t="shared" si="28"/>
        <v>49475.390000000072</v>
      </c>
      <c r="Y77" s="659">
        <v>183791.69000000003</v>
      </c>
      <c r="Z77" s="171">
        <f t="shared" si="24"/>
        <v>233267.0800000001</v>
      </c>
      <c r="AA77" s="56"/>
      <c r="AB77" s="241">
        <f t="shared" si="29"/>
        <v>233267.0800000001</v>
      </c>
      <c r="AC77" s="241"/>
      <c r="AE77" s="531">
        <f t="shared" si="25"/>
        <v>0</v>
      </c>
      <c r="AG77" t="s">
        <v>307</v>
      </c>
      <c r="AH77" t="s">
        <v>1792</v>
      </c>
      <c r="AI77" s="199">
        <v>97508.41</v>
      </c>
      <c r="AJ77" s="199">
        <v>28818.27</v>
      </c>
      <c r="AK77" s="199">
        <v>5915.89</v>
      </c>
      <c r="AL77" s="199">
        <v>0</v>
      </c>
      <c r="AM77" s="199">
        <v>27017.7</v>
      </c>
      <c r="AN77" s="199">
        <v>11643.03</v>
      </c>
      <c r="AO77" s="199">
        <v>7286.56</v>
      </c>
      <c r="AP77" s="199">
        <v>3289.01</v>
      </c>
      <c r="AQ77" s="199">
        <v>719.37</v>
      </c>
      <c r="AR77" s="199">
        <v>1593.45</v>
      </c>
      <c r="AS77" s="199">
        <v>183791.69000000003</v>
      </c>
      <c r="AT77"/>
      <c r="AU77"/>
      <c r="AV77" t="str">
        <f t="shared" si="26"/>
        <v>14068</v>
      </c>
      <c r="AW77" s="241">
        <f t="shared" si="27"/>
        <v>183791.69000000003</v>
      </c>
      <c r="AY77" s="167">
        <f t="shared" si="30"/>
        <v>0</v>
      </c>
      <c r="BA77" s="197">
        <v>70</v>
      </c>
      <c r="BB77" s="73" t="s">
        <v>307</v>
      </c>
      <c r="BC77" s="73" t="s">
        <v>1267</v>
      </c>
      <c r="BD77" s="56">
        <v>180009.06999999998</v>
      </c>
    </row>
    <row r="78" spans="1:56">
      <c r="A78" s="197">
        <v>71</v>
      </c>
      <c r="B78" s="73" t="s">
        <v>703</v>
      </c>
      <c r="C78" s="73" t="s">
        <v>1268</v>
      </c>
      <c r="D78" s="168">
        <v>764.97000000000025</v>
      </c>
      <c r="E78" s="170">
        <v>12553.25</v>
      </c>
      <c r="F78" s="171">
        <f t="shared" si="19"/>
        <v>13318.220000000001</v>
      </c>
      <c r="G78" s="182">
        <v>13381.05</v>
      </c>
      <c r="H78" s="179">
        <v>0</v>
      </c>
      <c r="I78" s="170">
        <v>19254.27</v>
      </c>
      <c r="J78" s="171">
        <f t="shared" si="20"/>
        <v>19254.27</v>
      </c>
      <c r="K78" s="205">
        <v>19076.599999999999</v>
      </c>
      <c r="L78" s="171">
        <v>177.67000000000189</v>
      </c>
      <c r="M78" s="199">
        <v>19422.939999999999</v>
      </c>
      <c r="N78" s="171">
        <f t="shared" si="21"/>
        <v>19600.61</v>
      </c>
      <c r="O78" s="205">
        <v>23947.760000000002</v>
      </c>
      <c r="P78" s="241">
        <v>0</v>
      </c>
      <c r="Q78" s="199">
        <v>20504.09</v>
      </c>
      <c r="R78" s="171">
        <f t="shared" si="22"/>
        <v>20504.09</v>
      </c>
      <c r="S78" s="205">
        <v>18366.59</v>
      </c>
      <c r="T78" s="241">
        <v>2137.5</v>
      </c>
      <c r="U78" s="241">
        <v>20832.469999999998</v>
      </c>
      <c r="V78" s="171">
        <f t="shared" si="23"/>
        <v>22969.969999999998</v>
      </c>
      <c r="W78" s="56"/>
      <c r="X78" s="658">
        <f t="shared" si="28"/>
        <v>22969.969999999998</v>
      </c>
      <c r="Y78" s="659">
        <v>21451.88</v>
      </c>
      <c r="Z78" s="171">
        <f t="shared" si="24"/>
        <v>44421.85</v>
      </c>
      <c r="AA78" s="56"/>
      <c r="AB78" s="241">
        <f t="shared" si="29"/>
        <v>44421.85</v>
      </c>
      <c r="AC78" s="241"/>
      <c r="AE78" s="531">
        <f t="shared" si="25"/>
        <v>0</v>
      </c>
      <c r="AG78" t="s">
        <v>703</v>
      </c>
      <c r="AH78" t="s">
        <v>1997</v>
      </c>
      <c r="AI78" s="199">
        <v>19423.78</v>
      </c>
      <c r="AJ78" s="199">
        <v>0</v>
      </c>
      <c r="AK78" s="199">
        <v>0</v>
      </c>
      <c r="AL78" s="199">
        <v>0</v>
      </c>
      <c r="AM78" s="199">
        <v>1182.5899999999999</v>
      </c>
      <c r="AN78" s="199">
        <v>497.81</v>
      </c>
      <c r="AO78" s="199">
        <v>347.7</v>
      </c>
      <c r="AP78" s="199">
        <v>0</v>
      </c>
      <c r="AQ78" s="199">
        <v>0</v>
      </c>
      <c r="AR78" s="199">
        <v>0</v>
      </c>
      <c r="AS78" s="199">
        <v>21451.88</v>
      </c>
      <c r="AT78"/>
      <c r="AU78"/>
      <c r="AV78" t="str">
        <f t="shared" si="26"/>
        <v>38308</v>
      </c>
      <c r="AW78" s="241">
        <f t="shared" si="27"/>
        <v>21451.88</v>
      </c>
      <c r="AY78" s="167">
        <f t="shared" si="30"/>
        <v>0</v>
      </c>
      <c r="BA78" s="197">
        <v>71</v>
      </c>
      <c r="BB78" s="73" t="s">
        <v>703</v>
      </c>
      <c r="BC78" s="73" t="s">
        <v>1268</v>
      </c>
      <c r="BD78" s="56"/>
    </row>
    <row r="79" spans="1:56">
      <c r="A79" s="197">
        <v>72</v>
      </c>
      <c r="B79" s="73" t="s">
        <v>193</v>
      </c>
      <c r="C79" s="73" t="s">
        <v>1269</v>
      </c>
      <c r="D79" s="168">
        <v>879.10000000000218</v>
      </c>
      <c r="E79" s="170">
        <v>25870.42</v>
      </c>
      <c r="F79" s="171">
        <f t="shared" si="19"/>
        <v>26749.52</v>
      </c>
      <c r="G79" s="182">
        <v>27298.21</v>
      </c>
      <c r="H79" s="179">
        <v>0</v>
      </c>
      <c r="I79" s="170">
        <v>39254.080000000002</v>
      </c>
      <c r="J79" s="171">
        <f t="shared" si="20"/>
        <v>39254.080000000002</v>
      </c>
      <c r="K79" s="205">
        <v>33610.47</v>
      </c>
      <c r="L79" s="171">
        <v>5643.6100000000006</v>
      </c>
      <c r="M79" s="199">
        <v>40955.26</v>
      </c>
      <c r="N79" s="171">
        <f t="shared" si="21"/>
        <v>46598.87</v>
      </c>
      <c r="O79" s="205">
        <v>32834.230000000003</v>
      </c>
      <c r="P79" s="241">
        <v>13764.64</v>
      </c>
      <c r="Q79" s="199">
        <v>45510.19</v>
      </c>
      <c r="R79" s="171">
        <f t="shared" si="22"/>
        <v>59274.83</v>
      </c>
      <c r="S79" s="205">
        <v>43851.520000000004</v>
      </c>
      <c r="T79" s="241">
        <v>15423.309999999998</v>
      </c>
      <c r="U79" s="241">
        <v>51658.7</v>
      </c>
      <c r="V79" s="171">
        <f t="shared" si="23"/>
        <v>67082.009999999995</v>
      </c>
      <c r="W79" s="56">
        <v>59405.079999999987</v>
      </c>
      <c r="X79" s="658">
        <f t="shared" si="28"/>
        <v>7676.9300000000076</v>
      </c>
      <c r="Y79" s="659">
        <v>53072.119999999995</v>
      </c>
      <c r="Z79" s="171">
        <f t="shared" si="24"/>
        <v>60749.05</v>
      </c>
      <c r="AA79" s="56"/>
      <c r="AB79" s="241">
        <f t="shared" si="29"/>
        <v>60749.05</v>
      </c>
      <c r="AC79" s="241"/>
      <c r="AE79" s="531">
        <f t="shared" si="25"/>
        <v>0</v>
      </c>
      <c r="AG79" t="s">
        <v>193</v>
      </c>
      <c r="AH79" t="s">
        <v>1733</v>
      </c>
      <c r="AI79" s="199">
        <v>42623.7</v>
      </c>
      <c r="AJ79" s="199">
        <v>1422.54</v>
      </c>
      <c r="AK79" s="199">
        <v>1311.04</v>
      </c>
      <c r="AL79" s="199">
        <v>0</v>
      </c>
      <c r="AM79" s="199">
        <v>0</v>
      </c>
      <c r="AN79" s="199">
        <v>2717.64</v>
      </c>
      <c r="AO79" s="199">
        <v>1777.77</v>
      </c>
      <c r="AP79" s="199">
        <v>3034.65</v>
      </c>
      <c r="AQ79" s="199">
        <v>184.78</v>
      </c>
      <c r="AR79" s="199">
        <v>0</v>
      </c>
      <c r="AS79" s="199">
        <v>53072.119999999995</v>
      </c>
      <c r="AT79"/>
      <c r="AU79"/>
      <c r="AV79" t="str">
        <f t="shared" si="26"/>
        <v>04127</v>
      </c>
      <c r="AW79" s="241">
        <f t="shared" si="27"/>
        <v>53072.119999999995</v>
      </c>
      <c r="AY79" s="167">
        <f t="shared" si="30"/>
        <v>0</v>
      </c>
      <c r="BA79" s="197">
        <v>72</v>
      </c>
      <c r="BB79" s="73" t="s">
        <v>193</v>
      </c>
      <c r="BC79" s="73" t="s">
        <v>1269</v>
      </c>
      <c r="BD79" s="56">
        <v>59405.079999999987</v>
      </c>
    </row>
    <row r="80" spans="1:56">
      <c r="A80" s="197">
        <v>73</v>
      </c>
      <c r="B80" s="73" t="s">
        <v>342</v>
      </c>
      <c r="C80" s="73" t="s">
        <v>1270</v>
      </c>
      <c r="D80" s="168">
        <v>77504.13</v>
      </c>
      <c r="E80" s="170">
        <v>293751.14</v>
      </c>
      <c r="F80" s="171">
        <f t="shared" si="19"/>
        <v>371255.27</v>
      </c>
      <c r="G80" s="182">
        <v>233052.25</v>
      </c>
      <c r="H80" s="179">
        <v>138203.02000000002</v>
      </c>
      <c r="I80" s="170">
        <v>419949.57999999996</v>
      </c>
      <c r="J80" s="171">
        <f t="shared" si="20"/>
        <v>558152.6</v>
      </c>
      <c r="K80" s="205">
        <v>371398.67000000004</v>
      </c>
      <c r="L80" s="171">
        <v>186753.92999999993</v>
      </c>
      <c r="M80" s="199">
        <v>438004.43</v>
      </c>
      <c r="N80" s="171">
        <f t="shared" si="21"/>
        <v>624758.35999999987</v>
      </c>
      <c r="O80" s="205">
        <v>394147.49000000005</v>
      </c>
      <c r="P80" s="241">
        <v>230610.86999999982</v>
      </c>
      <c r="Q80" s="199">
        <v>486490.75</v>
      </c>
      <c r="R80" s="171">
        <f t="shared" si="22"/>
        <v>717101.61999999988</v>
      </c>
      <c r="S80" s="205">
        <v>415920.89</v>
      </c>
      <c r="T80" s="241">
        <v>301180.72999999986</v>
      </c>
      <c r="U80" s="241">
        <v>505115.71</v>
      </c>
      <c r="V80" s="171">
        <f t="shared" si="23"/>
        <v>806296.44</v>
      </c>
      <c r="W80" s="56">
        <v>424037.56</v>
      </c>
      <c r="X80" s="658">
        <f t="shared" si="28"/>
        <v>382258.87999999995</v>
      </c>
      <c r="Y80" s="659">
        <v>539815.40999999992</v>
      </c>
      <c r="Z80" s="171">
        <f t="shared" si="24"/>
        <v>922074.2899999998</v>
      </c>
      <c r="AA80" s="56"/>
      <c r="AB80" s="241">
        <f t="shared" si="29"/>
        <v>922074.2899999998</v>
      </c>
      <c r="AC80" s="241"/>
      <c r="AE80" s="531">
        <f t="shared" si="25"/>
        <v>0</v>
      </c>
      <c r="AG80" t="s">
        <v>342</v>
      </c>
      <c r="AH80" t="s">
        <v>1810</v>
      </c>
      <c r="AI80" s="199">
        <v>364499.13</v>
      </c>
      <c r="AJ80" s="199">
        <v>43999.87</v>
      </c>
      <c r="AK80" s="199">
        <v>14715.66</v>
      </c>
      <c r="AL80" s="199">
        <v>0</v>
      </c>
      <c r="AM80" s="199">
        <v>85776.09</v>
      </c>
      <c r="AN80" s="199">
        <v>13974.86</v>
      </c>
      <c r="AO80" s="199">
        <v>0</v>
      </c>
      <c r="AP80" s="199">
        <v>9583.7000000000007</v>
      </c>
      <c r="AQ80" s="199">
        <v>2154.91</v>
      </c>
      <c r="AR80" s="199">
        <v>5111.1899999999996</v>
      </c>
      <c r="AS80" s="199">
        <v>539815.40999999992</v>
      </c>
      <c r="AT80"/>
      <c r="AU80"/>
      <c r="AV80" t="str">
        <f t="shared" si="26"/>
        <v>17216</v>
      </c>
      <c r="AW80" s="241">
        <f t="shared" si="27"/>
        <v>539815.40999999992</v>
      </c>
      <c r="AY80" s="167">
        <f t="shared" si="30"/>
        <v>0</v>
      </c>
      <c r="BA80" s="197">
        <v>73</v>
      </c>
      <c r="BB80" s="73" t="s">
        <v>342</v>
      </c>
      <c r="BC80" s="73" t="s">
        <v>1270</v>
      </c>
      <c r="BD80" s="56">
        <v>424037.56</v>
      </c>
    </row>
    <row r="81" spans="1:56">
      <c r="A81" s="197">
        <v>74</v>
      </c>
      <c r="B81" s="73" t="s">
        <v>291</v>
      </c>
      <c r="C81" s="73" t="s">
        <v>1271</v>
      </c>
      <c r="D81" s="168">
        <v>0</v>
      </c>
      <c r="E81" s="170">
        <v>170427.08</v>
      </c>
      <c r="F81" s="171">
        <f t="shared" si="19"/>
        <v>170427.08</v>
      </c>
      <c r="G81" s="182">
        <v>170427.08</v>
      </c>
      <c r="H81" s="179">
        <v>0</v>
      </c>
      <c r="I81" s="170">
        <v>254721.88</v>
      </c>
      <c r="J81" s="171">
        <f t="shared" si="20"/>
        <v>254721.88</v>
      </c>
      <c r="K81" s="205">
        <v>245876.41000000006</v>
      </c>
      <c r="L81" s="171">
        <v>8845.469999999943</v>
      </c>
      <c r="M81" s="199">
        <v>255693.59999999998</v>
      </c>
      <c r="N81" s="171">
        <f t="shared" si="21"/>
        <v>264539.06999999995</v>
      </c>
      <c r="O81" s="205">
        <v>264539.07</v>
      </c>
      <c r="P81" s="241">
        <v>0</v>
      </c>
      <c r="Q81" s="199">
        <v>279159.19999999995</v>
      </c>
      <c r="R81" s="171">
        <f t="shared" si="22"/>
        <v>279159.19999999995</v>
      </c>
      <c r="S81" s="205">
        <v>279159.2</v>
      </c>
      <c r="T81" s="241">
        <v>0</v>
      </c>
      <c r="U81" s="241">
        <v>301067.45</v>
      </c>
      <c r="V81" s="171">
        <f t="shared" si="23"/>
        <v>301067.45</v>
      </c>
      <c r="W81" s="56">
        <v>301067.44999999995</v>
      </c>
      <c r="X81" s="658">
        <f t="shared" si="28"/>
        <v>5.8207660913467407E-11</v>
      </c>
      <c r="Y81" s="659">
        <v>318891.71999999997</v>
      </c>
      <c r="Z81" s="171">
        <f t="shared" si="24"/>
        <v>318891.72000000003</v>
      </c>
      <c r="AA81" s="56"/>
      <c r="AB81" s="241">
        <f t="shared" si="29"/>
        <v>318891.72000000003</v>
      </c>
      <c r="AC81" s="241"/>
      <c r="AE81" s="531">
        <f t="shared" si="25"/>
        <v>0</v>
      </c>
      <c r="AG81" t="s">
        <v>291</v>
      </c>
      <c r="AH81" t="s">
        <v>1784</v>
      </c>
      <c r="AI81" s="199">
        <v>213496</v>
      </c>
      <c r="AJ81" s="199">
        <v>19585.84</v>
      </c>
      <c r="AK81" s="199">
        <v>4549.59</v>
      </c>
      <c r="AL81" s="199">
        <v>0</v>
      </c>
      <c r="AM81" s="199">
        <v>39270.6</v>
      </c>
      <c r="AN81" s="199">
        <v>16347.29</v>
      </c>
      <c r="AO81" s="199">
        <v>12627.65</v>
      </c>
      <c r="AP81" s="199">
        <v>11773.81</v>
      </c>
      <c r="AQ81" s="199">
        <v>1240.94</v>
      </c>
      <c r="AR81" s="199">
        <v>0</v>
      </c>
      <c r="AS81" s="199">
        <v>318891.71999999997</v>
      </c>
      <c r="AT81"/>
      <c r="AU81"/>
      <c r="AV81" t="str">
        <f t="shared" si="26"/>
        <v>13165</v>
      </c>
      <c r="AW81" s="241">
        <f t="shared" si="27"/>
        <v>318891.71999999997</v>
      </c>
      <c r="AY81" s="167">
        <f t="shared" si="30"/>
        <v>0</v>
      </c>
      <c r="BA81" s="197">
        <v>74</v>
      </c>
      <c r="BB81" s="73" t="s">
        <v>291</v>
      </c>
      <c r="BC81" s="73" t="s">
        <v>1271</v>
      </c>
      <c r="BD81" s="56">
        <v>301067.44999999995</v>
      </c>
    </row>
    <row r="82" spans="1:56">
      <c r="A82" s="197">
        <v>75</v>
      </c>
      <c r="B82" s="173" t="s">
        <v>1542</v>
      </c>
      <c r="C82" s="198" t="s">
        <v>1543</v>
      </c>
      <c r="D82" s="168">
        <v>0</v>
      </c>
      <c r="E82" s="170"/>
      <c r="F82" s="171">
        <f t="shared" si="19"/>
        <v>0</v>
      </c>
      <c r="G82" s="182"/>
      <c r="H82" s="178">
        <v>0</v>
      </c>
      <c r="I82" s="170"/>
      <c r="J82" s="171">
        <f t="shared" si="20"/>
        <v>0</v>
      </c>
      <c r="K82" s="205"/>
      <c r="L82" s="171">
        <v>0</v>
      </c>
      <c r="M82" s="199"/>
      <c r="N82" s="171">
        <f t="shared" si="21"/>
        <v>0</v>
      </c>
      <c r="O82" s="79"/>
      <c r="P82"/>
      <c r="Q82" s="199"/>
      <c r="R82" s="171">
        <f t="shared" si="22"/>
        <v>0</v>
      </c>
      <c r="S82" s="205">
        <v>0</v>
      </c>
      <c r="T82" s="241">
        <v>0</v>
      </c>
      <c r="U82" s="241"/>
      <c r="V82" s="171">
        <f t="shared" si="23"/>
        <v>0</v>
      </c>
      <c r="W82" s="56"/>
      <c r="X82" s="658">
        <f t="shared" si="28"/>
        <v>0</v>
      </c>
      <c r="Y82" s="659">
        <v>0</v>
      </c>
      <c r="Z82" s="171">
        <f t="shared" si="24"/>
        <v>0</v>
      </c>
      <c r="AA82" s="56"/>
      <c r="AB82" s="241">
        <f t="shared" si="29"/>
        <v>0</v>
      </c>
      <c r="AC82" s="241"/>
      <c r="AE82" s="531">
        <f t="shared" si="25"/>
        <v>0</v>
      </c>
      <c r="AG82" t="s">
        <v>1542</v>
      </c>
      <c r="AH82" t="s">
        <v>1633</v>
      </c>
      <c r="AI82" s="199"/>
      <c r="AJ82" s="199"/>
      <c r="AK82" s="199"/>
      <c r="AL82" s="199"/>
      <c r="AM82" s="199"/>
      <c r="AN82" s="199"/>
      <c r="AO82" s="199"/>
      <c r="AP82" s="199"/>
      <c r="AQ82" s="199"/>
      <c r="AR82" s="199"/>
      <c r="AS82" s="199"/>
      <c r="AT82"/>
      <c r="AU82"/>
      <c r="AV82" t="str">
        <f t="shared" si="26"/>
        <v>06701</v>
      </c>
      <c r="AW82" s="241">
        <f t="shared" si="27"/>
        <v>0</v>
      </c>
      <c r="AY82" s="167">
        <f t="shared" si="30"/>
        <v>0</v>
      </c>
      <c r="BA82" s="197">
        <v>75</v>
      </c>
      <c r="BB82" s="173" t="s">
        <v>1542</v>
      </c>
      <c r="BC82" s="198" t="s">
        <v>1543</v>
      </c>
      <c r="BD82" s="56"/>
    </row>
    <row r="83" spans="1:56">
      <c r="A83" s="197">
        <v>76</v>
      </c>
      <c r="B83" s="73" t="s">
        <v>766</v>
      </c>
      <c r="C83" s="198" t="s">
        <v>1701</v>
      </c>
      <c r="D83" s="168">
        <v>0</v>
      </c>
      <c r="E83" s="170"/>
      <c r="F83" s="171">
        <f t="shared" si="19"/>
        <v>0</v>
      </c>
      <c r="G83" s="182"/>
      <c r="H83" s="178">
        <v>0</v>
      </c>
      <c r="I83" s="170"/>
      <c r="J83" s="171">
        <f t="shared" si="20"/>
        <v>0</v>
      </c>
      <c r="K83" s="205"/>
      <c r="L83" s="171">
        <v>0</v>
      </c>
      <c r="M83" s="199"/>
      <c r="N83" s="171">
        <f t="shared" si="21"/>
        <v>0</v>
      </c>
      <c r="O83" s="79"/>
      <c r="P83"/>
      <c r="Q83" s="199"/>
      <c r="R83" s="171">
        <f t="shared" si="22"/>
        <v>0</v>
      </c>
      <c r="S83" s="205"/>
      <c r="T83" s="241">
        <v>0</v>
      </c>
      <c r="U83" s="241"/>
      <c r="V83" s="171">
        <f t="shared" si="23"/>
        <v>0</v>
      </c>
      <c r="W83" s="56"/>
      <c r="X83" s="658">
        <f t="shared" si="28"/>
        <v>0</v>
      </c>
      <c r="Y83" s="659">
        <v>0</v>
      </c>
      <c r="Z83" s="171">
        <f t="shared" si="24"/>
        <v>0</v>
      </c>
      <c r="AA83" s="56"/>
      <c r="AB83" s="241">
        <f t="shared" si="29"/>
        <v>0</v>
      </c>
      <c r="AC83" s="241"/>
      <c r="AE83" s="531">
        <f t="shared" si="25"/>
        <v>0</v>
      </c>
      <c r="AG83" t="s">
        <v>766</v>
      </c>
      <c r="AH83" t="s">
        <v>1634</v>
      </c>
      <c r="AI83" s="199">
        <v>0</v>
      </c>
      <c r="AJ83" s="199">
        <v>0</v>
      </c>
      <c r="AK83" s="199">
        <v>0</v>
      </c>
      <c r="AL83" s="199">
        <v>0</v>
      </c>
      <c r="AM83" s="199">
        <v>0</v>
      </c>
      <c r="AN83" s="199">
        <v>0</v>
      </c>
      <c r="AO83" s="199">
        <v>0</v>
      </c>
      <c r="AP83" s="199">
        <v>0</v>
      </c>
      <c r="AQ83" s="199">
        <v>0</v>
      </c>
      <c r="AR83" s="199">
        <v>0</v>
      </c>
      <c r="AS83" s="199">
        <v>0</v>
      </c>
      <c r="AT83"/>
      <c r="AU83"/>
      <c r="AV83" t="str">
        <f t="shared" si="26"/>
        <v>32801</v>
      </c>
      <c r="AW83" s="241">
        <f t="shared" si="27"/>
        <v>0</v>
      </c>
      <c r="AY83" s="167">
        <f t="shared" si="30"/>
        <v>0</v>
      </c>
      <c r="BA83" s="197">
        <v>76</v>
      </c>
      <c r="BB83" s="73" t="s">
        <v>766</v>
      </c>
      <c r="BC83" s="198" t="s">
        <v>1701</v>
      </c>
      <c r="BD83" s="56"/>
    </row>
    <row r="84" spans="1:56">
      <c r="A84" s="197">
        <v>77</v>
      </c>
      <c r="B84" s="173" t="s">
        <v>768</v>
      </c>
      <c r="C84" s="198" t="s">
        <v>1702</v>
      </c>
      <c r="D84" s="168">
        <v>0</v>
      </c>
      <c r="E84" s="170"/>
      <c r="F84" s="171">
        <f t="shared" si="19"/>
        <v>0</v>
      </c>
      <c r="G84" s="182"/>
      <c r="H84" s="178">
        <v>0</v>
      </c>
      <c r="I84" s="170"/>
      <c r="J84" s="171">
        <f t="shared" si="20"/>
        <v>0</v>
      </c>
      <c r="K84" s="205"/>
      <c r="L84" s="171">
        <v>0</v>
      </c>
      <c r="M84" s="199"/>
      <c r="N84" s="171">
        <f t="shared" si="21"/>
        <v>0</v>
      </c>
      <c r="O84" s="79"/>
      <c r="P84"/>
      <c r="Q84" s="199"/>
      <c r="R84" s="171">
        <f t="shared" si="22"/>
        <v>0</v>
      </c>
      <c r="S84" s="205">
        <v>0</v>
      </c>
      <c r="T84" s="241">
        <v>0</v>
      </c>
      <c r="U84" s="241"/>
      <c r="V84" s="171">
        <f t="shared" si="23"/>
        <v>0</v>
      </c>
      <c r="W84" s="79"/>
      <c r="X84" s="658">
        <f t="shared" si="28"/>
        <v>0</v>
      </c>
      <c r="Y84" s="659">
        <v>0</v>
      </c>
      <c r="Z84" s="171">
        <f t="shared" si="24"/>
        <v>0</v>
      </c>
      <c r="AA84" s="79"/>
      <c r="AB84" s="241">
        <f t="shared" si="29"/>
        <v>0</v>
      </c>
      <c r="AC84" s="241"/>
      <c r="AE84" s="531">
        <f t="shared" si="25"/>
        <v>0</v>
      </c>
      <c r="AG84" t="s">
        <v>768</v>
      </c>
      <c r="AH84" t="s">
        <v>1635</v>
      </c>
      <c r="AI84" s="199">
        <v>0</v>
      </c>
      <c r="AJ84" s="199">
        <v>0</v>
      </c>
      <c r="AK84" s="199">
        <v>0</v>
      </c>
      <c r="AL84" s="199">
        <v>0</v>
      </c>
      <c r="AM84" s="199">
        <v>0</v>
      </c>
      <c r="AN84" s="199">
        <v>0</v>
      </c>
      <c r="AO84" s="199">
        <v>0</v>
      </c>
      <c r="AP84" s="199">
        <v>0</v>
      </c>
      <c r="AQ84" s="199">
        <v>0</v>
      </c>
      <c r="AR84" s="199">
        <v>0</v>
      </c>
      <c r="AS84" s="199">
        <v>0</v>
      </c>
      <c r="AT84"/>
      <c r="AU84"/>
      <c r="AV84" t="str">
        <f t="shared" si="26"/>
        <v>39801</v>
      </c>
      <c r="AW84" s="241">
        <f t="shared" si="27"/>
        <v>0</v>
      </c>
      <c r="AY84" s="167">
        <f t="shared" si="30"/>
        <v>0</v>
      </c>
      <c r="BA84" s="197">
        <v>77</v>
      </c>
      <c r="BB84" s="173" t="s">
        <v>768</v>
      </c>
      <c r="BC84" s="198" t="s">
        <v>1702</v>
      </c>
      <c r="BD84" s="79"/>
    </row>
    <row r="85" spans="1:56">
      <c r="A85" s="197">
        <v>78</v>
      </c>
      <c r="B85" s="173" t="s">
        <v>761</v>
      </c>
      <c r="C85" s="198" t="s">
        <v>1703</v>
      </c>
      <c r="D85" s="168">
        <v>0</v>
      </c>
      <c r="E85" s="170"/>
      <c r="F85" s="171">
        <f t="shared" si="19"/>
        <v>0</v>
      </c>
      <c r="G85" s="182"/>
      <c r="H85" s="178">
        <v>0</v>
      </c>
      <c r="I85" s="170"/>
      <c r="J85" s="171">
        <f t="shared" si="20"/>
        <v>0</v>
      </c>
      <c r="K85" s="205"/>
      <c r="L85" s="171">
        <v>0</v>
      </c>
      <c r="M85" s="199"/>
      <c r="N85" s="171">
        <f t="shared" si="21"/>
        <v>0</v>
      </c>
      <c r="O85" s="79"/>
      <c r="P85"/>
      <c r="Q85" s="199"/>
      <c r="R85" s="171">
        <f t="shared" si="22"/>
        <v>0</v>
      </c>
      <c r="S85" s="205">
        <v>0</v>
      </c>
      <c r="T85" s="241">
        <v>0</v>
      </c>
      <c r="U85" s="241">
        <v>0</v>
      </c>
      <c r="V85" s="171">
        <f t="shared" si="23"/>
        <v>0</v>
      </c>
      <c r="W85" s="56"/>
      <c r="X85" s="658">
        <f t="shared" si="28"/>
        <v>0</v>
      </c>
      <c r="Y85" s="659">
        <v>0</v>
      </c>
      <c r="Z85" s="171">
        <f t="shared" si="24"/>
        <v>0</v>
      </c>
      <c r="AA85" s="56"/>
      <c r="AB85" s="241">
        <f t="shared" si="29"/>
        <v>0</v>
      </c>
      <c r="AC85" s="241"/>
      <c r="AE85" s="531">
        <f t="shared" si="25"/>
        <v>0</v>
      </c>
      <c r="AG85" t="s">
        <v>761</v>
      </c>
      <c r="AH85" t="s">
        <v>1636</v>
      </c>
      <c r="AI85" s="199">
        <v>0</v>
      </c>
      <c r="AJ85" s="199">
        <v>0</v>
      </c>
      <c r="AK85" s="199">
        <v>0</v>
      </c>
      <c r="AL85" s="199">
        <v>0</v>
      </c>
      <c r="AM85" s="199">
        <v>0</v>
      </c>
      <c r="AN85" s="199">
        <v>0</v>
      </c>
      <c r="AO85" s="199">
        <v>0</v>
      </c>
      <c r="AP85" s="199">
        <v>0</v>
      </c>
      <c r="AQ85" s="199">
        <v>0</v>
      </c>
      <c r="AR85" s="199">
        <v>0</v>
      </c>
      <c r="AS85" s="199">
        <v>0</v>
      </c>
      <c r="AT85"/>
      <c r="AU85"/>
      <c r="AV85" t="str">
        <f t="shared" si="26"/>
        <v>06801</v>
      </c>
      <c r="AW85" s="241">
        <f t="shared" si="27"/>
        <v>0</v>
      </c>
      <c r="AY85" s="167">
        <f t="shared" si="30"/>
        <v>0</v>
      </c>
      <c r="BA85" s="197">
        <v>78</v>
      </c>
      <c r="BB85" s="173" t="s">
        <v>761</v>
      </c>
      <c r="BC85" s="198" t="s">
        <v>1703</v>
      </c>
      <c r="BD85" s="56"/>
    </row>
    <row r="86" spans="1:56">
      <c r="A86" s="197">
        <v>79</v>
      </c>
      <c r="B86" s="73" t="s">
        <v>767</v>
      </c>
      <c r="C86" s="198" t="s">
        <v>1713</v>
      </c>
      <c r="D86" s="168">
        <v>0</v>
      </c>
      <c r="E86" s="170"/>
      <c r="F86" s="171">
        <f t="shared" si="19"/>
        <v>0</v>
      </c>
      <c r="G86" s="182"/>
      <c r="H86" s="178">
        <v>0</v>
      </c>
      <c r="I86" s="170"/>
      <c r="J86" s="171">
        <f t="shared" si="20"/>
        <v>0</v>
      </c>
      <c r="K86" s="205"/>
      <c r="L86" s="171">
        <v>0</v>
      </c>
      <c r="M86" s="199"/>
      <c r="N86" s="171">
        <f t="shared" si="21"/>
        <v>0</v>
      </c>
      <c r="O86" s="79"/>
      <c r="P86"/>
      <c r="Q86" s="199"/>
      <c r="R86" s="171">
        <f t="shared" si="22"/>
        <v>0</v>
      </c>
      <c r="S86" s="205">
        <v>0</v>
      </c>
      <c r="T86" s="241">
        <v>0</v>
      </c>
      <c r="U86" s="241"/>
      <c r="V86" s="171">
        <f t="shared" si="23"/>
        <v>0</v>
      </c>
      <c r="W86" s="56"/>
      <c r="X86" s="658">
        <f t="shared" si="28"/>
        <v>0</v>
      </c>
      <c r="Y86" s="659">
        <v>0</v>
      </c>
      <c r="Z86" s="171">
        <f t="shared" si="24"/>
        <v>0</v>
      </c>
      <c r="AA86" s="56"/>
      <c r="AB86" s="241">
        <f t="shared" si="29"/>
        <v>0</v>
      </c>
      <c r="AC86" s="241"/>
      <c r="AE86" s="531">
        <f t="shared" si="25"/>
        <v>0</v>
      </c>
      <c r="AG86" t="s">
        <v>767</v>
      </c>
      <c r="AH86" t="s">
        <v>1637</v>
      </c>
      <c r="AI86" s="199">
        <v>0</v>
      </c>
      <c r="AJ86" s="199">
        <v>0</v>
      </c>
      <c r="AK86" s="199">
        <v>0</v>
      </c>
      <c r="AL86" s="199">
        <v>0</v>
      </c>
      <c r="AM86" s="199">
        <v>0</v>
      </c>
      <c r="AN86" s="199">
        <v>0</v>
      </c>
      <c r="AO86" s="199">
        <v>0</v>
      </c>
      <c r="AP86" s="199">
        <v>0</v>
      </c>
      <c r="AQ86" s="199">
        <v>0</v>
      </c>
      <c r="AR86" s="199">
        <v>0</v>
      </c>
      <c r="AS86" s="199">
        <v>0</v>
      </c>
      <c r="AT86"/>
      <c r="AU86"/>
      <c r="AV86" t="str">
        <f t="shared" si="26"/>
        <v>34801</v>
      </c>
      <c r="AW86" s="241">
        <f t="shared" si="27"/>
        <v>0</v>
      </c>
      <c r="AY86" s="167">
        <f t="shared" si="30"/>
        <v>0</v>
      </c>
      <c r="BA86" s="197">
        <v>79</v>
      </c>
      <c r="BB86" s="73" t="s">
        <v>767</v>
      </c>
      <c r="BC86" s="198" t="s">
        <v>1713</v>
      </c>
      <c r="BD86" s="56"/>
    </row>
    <row r="87" spans="1:56">
      <c r="A87" s="197">
        <v>80</v>
      </c>
      <c r="B87" s="173" t="s">
        <v>764</v>
      </c>
      <c r="C87" s="198" t="s">
        <v>1714</v>
      </c>
      <c r="D87" s="168">
        <v>0</v>
      </c>
      <c r="E87" s="170"/>
      <c r="F87" s="171">
        <f t="shared" si="19"/>
        <v>0</v>
      </c>
      <c r="G87" s="182"/>
      <c r="H87" s="178">
        <v>0</v>
      </c>
      <c r="I87" s="170"/>
      <c r="J87" s="171">
        <f t="shared" si="20"/>
        <v>0</v>
      </c>
      <c r="K87" s="205"/>
      <c r="L87" s="171">
        <v>0</v>
      </c>
      <c r="M87" s="199"/>
      <c r="N87" s="171">
        <f t="shared" si="21"/>
        <v>0</v>
      </c>
      <c r="O87" s="79"/>
      <c r="P87"/>
      <c r="Q87" s="199"/>
      <c r="R87" s="171">
        <f t="shared" si="22"/>
        <v>0</v>
      </c>
      <c r="S87" s="205">
        <v>0</v>
      </c>
      <c r="T87" s="241">
        <v>0</v>
      </c>
      <c r="U87" s="241"/>
      <c r="V87" s="171">
        <f t="shared" si="23"/>
        <v>0</v>
      </c>
      <c r="W87" s="56"/>
      <c r="X87" s="658">
        <f t="shared" si="28"/>
        <v>0</v>
      </c>
      <c r="Y87" s="659">
        <v>0</v>
      </c>
      <c r="Z87" s="171">
        <f t="shared" si="24"/>
        <v>0</v>
      </c>
      <c r="AA87" s="56"/>
      <c r="AB87" s="241">
        <f t="shared" si="29"/>
        <v>0</v>
      </c>
      <c r="AC87" s="241"/>
      <c r="AE87" s="531">
        <f t="shared" si="25"/>
        <v>0</v>
      </c>
      <c r="AG87" t="s">
        <v>764</v>
      </c>
      <c r="AH87" t="s">
        <v>1653</v>
      </c>
      <c r="AI87" s="199">
        <v>0</v>
      </c>
      <c r="AJ87" s="199">
        <v>0</v>
      </c>
      <c r="AK87" s="199">
        <v>0</v>
      </c>
      <c r="AL87" s="199">
        <v>0</v>
      </c>
      <c r="AM87" s="199">
        <v>0</v>
      </c>
      <c r="AN87" s="199">
        <v>0</v>
      </c>
      <c r="AO87" s="199">
        <v>0</v>
      </c>
      <c r="AP87" s="199">
        <v>0</v>
      </c>
      <c r="AQ87" s="199">
        <v>0</v>
      </c>
      <c r="AR87" s="199">
        <v>0</v>
      </c>
      <c r="AS87" s="199">
        <v>0</v>
      </c>
      <c r="AT87"/>
      <c r="AU87"/>
      <c r="AV87" t="str">
        <f t="shared" si="26"/>
        <v>18801</v>
      </c>
      <c r="AW87" s="241">
        <f t="shared" si="27"/>
        <v>0</v>
      </c>
      <c r="AY87" s="167">
        <f t="shared" si="30"/>
        <v>0</v>
      </c>
      <c r="BA87" s="197">
        <v>80</v>
      </c>
      <c r="BB87" s="173" t="s">
        <v>764</v>
      </c>
      <c r="BC87" s="198" t="s">
        <v>1714</v>
      </c>
      <c r="BD87" s="56"/>
    </row>
    <row r="88" spans="1:56">
      <c r="A88" s="197">
        <v>81</v>
      </c>
      <c r="B88" s="173" t="s">
        <v>763</v>
      </c>
      <c r="C88" s="198" t="s">
        <v>1715</v>
      </c>
      <c r="D88" s="168"/>
      <c r="E88" s="170"/>
      <c r="F88" s="171"/>
      <c r="G88" s="182"/>
      <c r="H88" s="178"/>
      <c r="I88" s="170"/>
      <c r="J88" s="171"/>
      <c r="K88" s="205"/>
      <c r="L88" s="171">
        <v>0</v>
      </c>
      <c r="M88" s="199"/>
      <c r="N88" s="171">
        <f t="shared" si="21"/>
        <v>0</v>
      </c>
      <c r="O88" s="79"/>
      <c r="P88"/>
      <c r="Q88" s="199"/>
      <c r="R88" s="171">
        <f t="shared" si="22"/>
        <v>0</v>
      </c>
      <c r="S88" s="205">
        <v>0</v>
      </c>
      <c r="T88" s="241">
        <v>0</v>
      </c>
      <c r="U88" s="241"/>
      <c r="V88" s="171">
        <f t="shared" si="23"/>
        <v>0</v>
      </c>
      <c r="W88" s="56"/>
      <c r="X88" s="658">
        <f t="shared" si="28"/>
        <v>0</v>
      </c>
      <c r="Y88" s="659">
        <v>0</v>
      </c>
      <c r="Z88" s="171">
        <f t="shared" si="24"/>
        <v>0</v>
      </c>
      <c r="AA88" s="56"/>
      <c r="AB88" s="241">
        <f t="shared" si="29"/>
        <v>0</v>
      </c>
      <c r="AC88" s="241"/>
      <c r="AE88" s="531">
        <f t="shared" si="25"/>
        <v>0</v>
      </c>
      <c r="AG88" t="s">
        <v>763</v>
      </c>
      <c r="AH88" t="s">
        <v>1654</v>
      </c>
      <c r="AI88" s="199">
        <v>0</v>
      </c>
      <c r="AJ88" s="199">
        <v>0</v>
      </c>
      <c r="AK88" s="199">
        <v>0</v>
      </c>
      <c r="AL88" s="199">
        <v>0</v>
      </c>
      <c r="AM88" s="199">
        <v>0</v>
      </c>
      <c r="AN88" s="199">
        <v>0</v>
      </c>
      <c r="AO88" s="199">
        <v>0</v>
      </c>
      <c r="AP88" s="199">
        <v>0</v>
      </c>
      <c r="AQ88" s="199">
        <v>0</v>
      </c>
      <c r="AR88" s="199">
        <v>0</v>
      </c>
      <c r="AS88" s="199">
        <v>0</v>
      </c>
      <c r="AT88"/>
      <c r="AU88"/>
      <c r="AV88" t="str">
        <f t="shared" si="26"/>
        <v>17801</v>
      </c>
      <c r="AW88" s="241">
        <f t="shared" si="27"/>
        <v>0</v>
      </c>
      <c r="AY88" s="167">
        <f t="shared" si="30"/>
        <v>0</v>
      </c>
      <c r="BA88" s="197">
        <v>81</v>
      </c>
      <c r="BB88" s="173" t="s">
        <v>763</v>
      </c>
      <c r="BC88" s="198" t="s">
        <v>1715</v>
      </c>
      <c r="BD88" s="56"/>
    </row>
    <row r="89" spans="1:56">
      <c r="A89" s="197">
        <v>82</v>
      </c>
      <c r="B89" s="173" t="s">
        <v>762</v>
      </c>
      <c r="C89" s="198" t="s">
        <v>1704</v>
      </c>
      <c r="D89" s="168"/>
      <c r="E89" s="170"/>
      <c r="F89" s="171"/>
      <c r="G89" s="182"/>
      <c r="H89" s="178"/>
      <c r="I89" s="170"/>
      <c r="J89" s="171"/>
      <c r="K89" s="205"/>
      <c r="L89" s="171">
        <v>0</v>
      </c>
      <c r="M89" s="199"/>
      <c r="N89" s="171">
        <f t="shared" si="21"/>
        <v>0</v>
      </c>
      <c r="O89" s="79"/>
      <c r="P89"/>
      <c r="Q89" s="199"/>
      <c r="R89" s="171">
        <f t="shared" si="22"/>
        <v>0</v>
      </c>
      <c r="S89" s="205">
        <v>0</v>
      </c>
      <c r="T89" s="241">
        <v>0</v>
      </c>
      <c r="U89" s="241"/>
      <c r="V89" s="171">
        <f t="shared" si="23"/>
        <v>0</v>
      </c>
      <c r="W89" s="56"/>
      <c r="X89" s="658">
        <f t="shared" si="28"/>
        <v>0</v>
      </c>
      <c r="Y89" s="659">
        <v>0</v>
      </c>
      <c r="Z89" s="171">
        <f t="shared" si="24"/>
        <v>0</v>
      </c>
      <c r="AA89" s="56"/>
      <c r="AB89" s="241">
        <f t="shared" si="29"/>
        <v>0</v>
      </c>
      <c r="AC89" s="241"/>
      <c r="AE89" s="531">
        <f t="shared" si="25"/>
        <v>0</v>
      </c>
      <c r="AG89" t="s">
        <v>762</v>
      </c>
      <c r="AH89" t="s">
        <v>1638</v>
      </c>
      <c r="AI89" s="199">
        <v>0</v>
      </c>
      <c r="AJ89" s="199">
        <v>0</v>
      </c>
      <c r="AK89" s="199">
        <v>0</v>
      </c>
      <c r="AL89" s="199">
        <v>0</v>
      </c>
      <c r="AM89" s="199">
        <v>0</v>
      </c>
      <c r="AN89" s="199">
        <v>0</v>
      </c>
      <c r="AO89" s="199">
        <v>0</v>
      </c>
      <c r="AP89" s="199">
        <v>0</v>
      </c>
      <c r="AQ89" s="199">
        <v>0</v>
      </c>
      <c r="AR89" s="199">
        <v>0</v>
      </c>
      <c r="AS89" s="199">
        <v>0</v>
      </c>
      <c r="AT89"/>
      <c r="AU89"/>
      <c r="AV89" t="str">
        <f t="shared" si="26"/>
        <v>11801</v>
      </c>
      <c r="AW89" s="241">
        <f t="shared" si="27"/>
        <v>0</v>
      </c>
      <c r="AY89" s="167">
        <f t="shared" si="30"/>
        <v>0</v>
      </c>
      <c r="BA89" s="197">
        <v>82</v>
      </c>
      <c r="BB89" s="173" t="s">
        <v>762</v>
      </c>
      <c r="BC89" s="198" t="s">
        <v>1704</v>
      </c>
      <c r="BD89" s="56"/>
    </row>
    <row r="90" spans="1:56">
      <c r="A90" s="197">
        <v>83</v>
      </c>
      <c r="B90" s="173" t="s">
        <v>760</v>
      </c>
      <c r="C90" s="198" t="s">
        <v>1705</v>
      </c>
      <c r="D90" s="168"/>
      <c r="E90" s="170"/>
      <c r="F90" s="171"/>
      <c r="G90" s="182"/>
      <c r="H90" s="178"/>
      <c r="I90" s="170"/>
      <c r="J90" s="171"/>
      <c r="K90" s="205"/>
      <c r="L90" s="171">
        <v>0</v>
      </c>
      <c r="M90" s="199"/>
      <c r="N90" s="171">
        <f t="shared" si="21"/>
        <v>0</v>
      </c>
      <c r="O90" s="79"/>
      <c r="P90"/>
      <c r="Q90" s="199"/>
      <c r="R90" s="171">
        <f t="shared" si="22"/>
        <v>0</v>
      </c>
      <c r="S90" s="205">
        <v>0</v>
      </c>
      <c r="T90" s="241">
        <v>0</v>
      </c>
      <c r="U90" s="241">
        <v>0</v>
      </c>
      <c r="V90" s="171">
        <f t="shared" si="23"/>
        <v>0</v>
      </c>
      <c r="W90" s="56"/>
      <c r="X90" s="658">
        <f t="shared" si="28"/>
        <v>0</v>
      </c>
      <c r="Y90" s="659">
        <v>0</v>
      </c>
      <c r="Z90" s="171">
        <f t="shared" si="24"/>
        <v>0</v>
      </c>
      <c r="AA90" s="56"/>
      <c r="AB90" s="241">
        <f t="shared" si="29"/>
        <v>0</v>
      </c>
      <c r="AC90" s="241"/>
      <c r="AE90" s="531">
        <f t="shared" si="25"/>
        <v>0</v>
      </c>
      <c r="AG90" t="s">
        <v>760</v>
      </c>
      <c r="AH90" t="s">
        <v>1651</v>
      </c>
      <c r="AI90" s="199">
        <v>0</v>
      </c>
      <c r="AJ90" s="199">
        <v>0</v>
      </c>
      <c r="AK90" s="199">
        <v>0</v>
      </c>
      <c r="AL90" s="199">
        <v>0</v>
      </c>
      <c r="AM90" s="199">
        <v>0</v>
      </c>
      <c r="AN90" s="199">
        <v>0</v>
      </c>
      <c r="AO90" s="199">
        <v>0</v>
      </c>
      <c r="AP90" s="199">
        <v>0</v>
      </c>
      <c r="AQ90" s="199">
        <v>0</v>
      </c>
      <c r="AR90" s="199">
        <v>0</v>
      </c>
      <c r="AS90" s="199">
        <v>0</v>
      </c>
      <c r="AT90"/>
      <c r="AU90"/>
      <c r="AV90" t="str">
        <f t="shared" si="26"/>
        <v>04801</v>
      </c>
      <c r="AW90" s="241">
        <f t="shared" si="27"/>
        <v>0</v>
      </c>
      <c r="AY90" s="167">
        <f t="shared" si="30"/>
        <v>0</v>
      </c>
      <c r="BA90" s="197">
        <v>83</v>
      </c>
      <c r="BB90" s="173" t="s">
        <v>760</v>
      </c>
      <c r="BC90" s="198" t="s">
        <v>1705</v>
      </c>
      <c r="BD90" s="56"/>
    </row>
    <row r="91" spans="1:56">
      <c r="A91" s="197">
        <v>84</v>
      </c>
      <c r="B91" s="73" t="s">
        <v>765</v>
      </c>
      <c r="C91" s="198" t="s">
        <v>1716</v>
      </c>
      <c r="D91" s="168"/>
      <c r="E91" s="170"/>
      <c r="F91" s="171"/>
      <c r="G91" s="182"/>
      <c r="H91" s="178"/>
      <c r="I91" s="170"/>
      <c r="J91" s="171"/>
      <c r="K91" s="205"/>
      <c r="L91" s="171">
        <v>0</v>
      </c>
      <c r="M91" s="199"/>
      <c r="N91" s="171">
        <f t="shared" si="21"/>
        <v>0</v>
      </c>
      <c r="O91" s="79"/>
      <c r="P91"/>
      <c r="Q91" s="199"/>
      <c r="R91" s="171">
        <f t="shared" si="22"/>
        <v>0</v>
      </c>
      <c r="S91" s="205">
        <v>0</v>
      </c>
      <c r="T91" s="241">
        <v>0</v>
      </c>
      <c r="U91" s="241"/>
      <c r="V91" s="171">
        <f t="shared" si="23"/>
        <v>0</v>
      </c>
      <c r="W91" s="56"/>
      <c r="X91" s="658">
        <f t="shared" si="28"/>
        <v>0</v>
      </c>
      <c r="Y91" s="659">
        <v>0</v>
      </c>
      <c r="Z91" s="171">
        <f t="shared" si="24"/>
        <v>0</v>
      </c>
      <c r="AA91" s="56"/>
      <c r="AB91" s="241">
        <f t="shared" si="29"/>
        <v>0</v>
      </c>
      <c r="AC91" s="241"/>
      <c r="AE91" s="531">
        <f t="shared" si="25"/>
        <v>0</v>
      </c>
      <c r="AG91" t="s">
        <v>765</v>
      </c>
      <c r="AH91" t="s">
        <v>1652</v>
      </c>
      <c r="AI91" s="199">
        <v>0</v>
      </c>
      <c r="AJ91" s="199">
        <v>0</v>
      </c>
      <c r="AK91" s="199">
        <v>0</v>
      </c>
      <c r="AL91" s="199">
        <v>0</v>
      </c>
      <c r="AM91" s="199">
        <v>0</v>
      </c>
      <c r="AN91" s="199">
        <v>0</v>
      </c>
      <c r="AO91" s="199">
        <v>0</v>
      </c>
      <c r="AP91" s="199">
        <v>0</v>
      </c>
      <c r="AQ91" s="199">
        <v>0</v>
      </c>
      <c r="AR91" s="199">
        <v>0</v>
      </c>
      <c r="AS91" s="199">
        <v>0</v>
      </c>
      <c r="AT91"/>
      <c r="AU91"/>
      <c r="AV91" t="str">
        <f t="shared" si="26"/>
        <v>29801</v>
      </c>
      <c r="AW91" s="241">
        <f t="shared" si="27"/>
        <v>0</v>
      </c>
      <c r="AY91" s="167">
        <f t="shared" si="30"/>
        <v>0</v>
      </c>
      <c r="BA91" s="197">
        <v>84</v>
      </c>
      <c r="BB91" s="73" t="s">
        <v>765</v>
      </c>
      <c r="BC91" s="198" t="s">
        <v>1716</v>
      </c>
      <c r="BD91" s="56"/>
    </row>
    <row r="92" spans="1:56">
      <c r="A92" s="197">
        <v>85</v>
      </c>
      <c r="B92" s="73" t="s">
        <v>418</v>
      </c>
      <c r="C92" s="73" t="s">
        <v>1272</v>
      </c>
      <c r="D92" s="168">
        <v>0</v>
      </c>
      <c r="E92" s="170">
        <v>4173.6900000000005</v>
      </c>
      <c r="F92" s="171">
        <f t="shared" ref="F92:F118" si="31">+D92+E92</f>
        <v>4173.6900000000005</v>
      </c>
      <c r="G92" s="182">
        <v>5319.9</v>
      </c>
      <c r="H92" s="179">
        <v>0</v>
      </c>
      <c r="I92" s="170">
        <v>6343.1299999999992</v>
      </c>
      <c r="J92" s="171">
        <f t="shared" ref="J92:J118" si="32">+H92+I92</f>
        <v>6343.1299999999992</v>
      </c>
      <c r="K92" s="205">
        <v>4726.04</v>
      </c>
      <c r="L92" s="171">
        <v>1617.0899999999992</v>
      </c>
      <c r="M92" s="199">
        <v>4964.25</v>
      </c>
      <c r="N92" s="171">
        <f t="shared" si="21"/>
        <v>6581.3399999999992</v>
      </c>
      <c r="O92" s="205">
        <v>6554.11</v>
      </c>
      <c r="P92" s="241">
        <v>27.229999999999563</v>
      </c>
      <c r="Q92" s="199">
        <v>6162.79</v>
      </c>
      <c r="R92" s="171">
        <f t="shared" si="22"/>
        <v>6190.0199999999995</v>
      </c>
      <c r="S92" s="205">
        <v>7080.1799999999994</v>
      </c>
      <c r="T92" s="241">
        <v>0</v>
      </c>
      <c r="U92" s="241">
        <v>7066.31</v>
      </c>
      <c r="V92" s="171">
        <f t="shared" si="23"/>
        <v>7066.31</v>
      </c>
      <c r="W92" s="56">
        <v>7179.8000000000011</v>
      </c>
      <c r="X92" s="658">
        <f t="shared" si="28"/>
        <v>0</v>
      </c>
      <c r="Y92" s="659">
        <v>7345.42</v>
      </c>
      <c r="Z92" s="171">
        <f t="shared" si="24"/>
        <v>7345.42</v>
      </c>
      <c r="AA92" s="56"/>
      <c r="AB92" s="241">
        <f t="shared" si="29"/>
        <v>7345.42</v>
      </c>
      <c r="AC92" s="241"/>
      <c r="AE92" s="531">
        <f t="shared" si="25"/>
        <v>0</v>
      </c>
      <c r="AG92" t="s">
        <v>418</v>
      </c>
      <c r="AH92" t="s">
        <v>1851</v>
      </c>
      <c r="AI92" s="199">
        <v>5808.3</v>
      </c>
      <c r="AJ92" s="199">
        <v>0</v>
      </c>
      <c r="AK92" s="199">
        <v>0</v>
      </c>
      <c r="AL92" s="199">
        <v>0</v>
      </c>
      <c r="AM92" s="199">
        <v>561.4</v>
      </c>
      <c r="AN92" s="199">
        <v>307.88</v>
      </c>
      <c r="AO92" s="199">
        <v>264.99</v>
      </c>
      <c r="AP92" s="199">
        <v>38.299999999999997</v>
      </c>
      <c r="AQ92" s="199">
        <v>22.97</v>
      </c>
      <c r="AR92" s="199">
        <v>341.58</v>
      </c>
      <c r="AS92" s="199">
        <v>7345.42</v>
      </c>
      <c r="AT92"/>
      <c r="AU92"/>
      <c r="AV92" t="str">
        <f t="shared" si="26"/>
        <v>21036</v>
      </c>
      <c r="AW92" s="241">
        <f t="shared" si="27"/>
        <v>7345.42</v>
      </c>
      <c r="AY92" s="167">
        <f t="shared" si="30"/>
        <v>0</v>
      </c>
      <c r="BA92" s="197">
        <v>85</v>
      </c>
      <c r="BB92" s="73" t="s">
        <v>418</v>
      </c>
      <c r="BC92" s="73" t="s">
        <v>1272</v>
      </c>
      <c r="BD92" s="56">
        <v>7179.8000000000011</v>
      </c>
    </row>
    <row r="93" spans="1:56">
      <c r="A93" s="197">
        <v>86</v>
      </c>
      <c r="B93" s="73" t="s">
        <v>564</v>
      </c>
      <c r="C93" s="73" t="s">
        <v>1273</v>
      </c>
      <c r="D93" s="168">
        <v>177452.33000000019</v>
      </c>
      <c r="E93" s="170">
        <v>1596736.03</v>
      </c>
      <c r="F93" s="171">
        <f t="shared" si="31"/>
        <v>1774188.3600000003</v>
      </c>
      <c r="G93" s="182">
        <v>2060807.97</v>
      </c>
      <c r="H93" s="179">
        <v>0</v>
      </c>
      <c r="I93" s="170">
        <v>2237790.2799999998</v>
      </c>
      <c r="J93" s="171">
        <f t="shared" si="32"/>
        <v>2237790.2799999998</v>
      </c>
      <c r="K93" s="205">
        <v>2078693.1300000004</v>
      </c>
      <c r="L93" s="171">
        <v>159097.14999999944</v>
      </c>
      <c r="M93" s="199">
        <v>2242836.91</v>
      </c>
      <c r="N93" s="171">
        <f t="shared" si="21"/>
        <v>2401934.0599999996</v>
      </c>
      <c r="O93" s="205">
        <v>2038303.22</v>
      </c>
      <c r="P93" s="241">
        <v>363630.83999999962</v>
      </c>
      <c r="Q93" s="199">
        <v>2405089.75</v>
      </c>
      <c r="R93" s="171">
        <f t="shared" si="22"/>
        <v>2768720.59</v>
      </c>
      <c r="S93" s="205">
        <v>2060175.2499999995</v>
      </c>
      <c r="T93" s="241">
        <v>708545.34000000032</v>
      </c>
      <c r="U93" s="241">
        <v>2451853.0099999998</v>
      </c>
      <c r="V93" s="171">
        <f t="shared" si="23"/>
        <v>3160398.35</v>
      </c>
      <c r="W93" s="56">
        <v>2084228.6600000004</v>
      </c>
      <c r="X93" s="658">
        <f t="shared" si="28"/>
        <v>1076169.6899999997</v>
      </c>
      <c r="Y93" s="659">
        <v>2628291.4499999993</v>
      </c>
      <c r="Z93" s="171">
        <f t="shared" si="24"/>
        <v>3704461.1399999987</v>
      </c>
      <c r="AA93" s="56"/>
      <c r="AB93" s="241">
        <f t="shared" si="29"/>
        <v>3704461.1399999987</v>
      </c>
      <c r="AC93" s="241"/>
      <c r="AE93" s="531">
        <f t="shared" si="25"/>
        <v>0</v>
      </c>
      <c r="AG93" t="s">
        <v>564</v>
      </c>
      <c r="AH93" t="s">
        <v>1923</v>
      </c>
      <c r="AI93" s="199">
        <v>1885744.12</v>
      </c>
      <c r="AJ93" s="199">
        <v>122957.89</v>
      </c>
      <c r="AK93" s="199">
        <v>2750.91</v>
      </c>
      <c r="AL93" s="199">
        <v>0</v>
      </c>
      <c r="AM93" s="199">
        <v>339303.51</v>
      </c>
      <c r="AN93" s="199">
        <v>100918.05</v>
      </c>
      <c r="AO93" s="199">
        <v>43410.93</v>
      </c>
      <c r="AP93" s="199">
        <v>116606.57</v>
      </c>
      <c r="AQ93" s="199">
        <v>10367.44</v>
      </c>
      <c r="AR93" s="199">
        <v>6232.03</v>
      </c>
      <c r="AS93" s="199">
        <v>2628291.4499999993</v>
      </c>
      <c r="AT93"/>
      <c r="AU93"/>
      <c r="AV93" t="str">
        <f t="shared" si="26"/>
        <v>31002</v>
      </c>
      <c r="AW93" s="241">
        <f t="shared" si="27"/>
        <v>2628291.4499999993</v>
      </c>
      <c r="AY93" s="167">
        <f t="shared" si="30"/>
        <v>0</v>
      </c>
      <c r="BA93" s="197">
        <v>86</v>
      </c>
      <c r="BB93" s="73" t="s">
        <v>564</v>
      </c>
      <c r="BC93" s="73" t="s">
        <v>1273</v>
      </c>
      <c r="BD93" s="56">
        <v>2084228.6600000004</v>
      </c>
    </row>
    <row r="94" spans="1:56">
      <c r="A94" s="197">
        <v>87</v>
      </c>
      <c r="B94" s="73" t="s">
        <v>222</v>
      </c>
      <c r="C94" s="73" t="s">
        <v>1274</v>
      </c>
      <c r="D94" s="168">
        <v>144749.91999999969</v>
      </c>
      <c r="E94" s="170">
        <v>1706088.6999999997</v>
      </c>
      <c r="F94" s="171">
        <f t="shared" si="31"/>
        <v>1850838.6199999994</v>
      </c>
      <c r="G94" s="182">
        <v>1202621.1100000001</v>
      </c>
      <c r="H94" s="179">
        <v>648217.50999999931</v>
      </c>
      <c r="I94" s="170">
        <v>2385497.5200000005</v>
      </c>
      <c r="J94" s="171">
        <f t="shared" si="32"/>
        <v>3033715.03</v>
      </c>
      <c r="K94" s="205">
        <v>2401826.7399999993</v>
      </c>
      <c r="L94" s="171">
        <v>631888.2900000005</v>
      </c>
      <c r="M94" s="199">
        <v>2313360.0499999998</v>
      </c>
      <c r="N94" s="171">
        <f t="shared" si="21"/>
        <v>2945248.3400000003</v>
      </c>
      <c r="O94" s="205">
        <v>3346936.4000000004</v>
      </c>
      <c r="P94" s="241">
        <v>0</v>
      </c>
      <c r="Q94" s="199">
        <v>2530760.19</v>
      </c>
      <c r="R94" s="171">
        <f t="shared" si="22"/>
        <v>2530760.19</v>
      </c>
      <c r="S94" s="205">
        <v>2689356.48</v>
      </c>
      <c r="T94" s="241">
        <v>0</v>
      </c>
      <c r="U94" s="241">
        <v>2656544.9700000002</v>
      </c>
      <c r="V94" s="171">
        <f t="shared" si="23"/>
        <v>2656544.9700000002</v>
      </c>
      <c r="W94" s="56">
        <v>2662319.7700000005</v>
      </c>
      <c r="X94" s="658">
        <f t="shared" si="28"/>
        <v>0</v>
      </c>
      <c r="Y94" s="659">
        <v>2771419.2700000005</v>
      </c>
      <c r="Z94" s="171">
        <f t="shared" si="24"/>
        <v>2771419.2700000005</v>
      </c>
      <c r="AA94" s="56"/>
      <c r="AB94" s="241">
        <f t="shared" si="29"/>
        <v>2771419.2700000005</v>
      </c>
      <c r="AC94" s="241"/>
      <c r="AE94" s="531">
        <f t="shared" si="25"/>
        <v>0</v>
      </c>
      <c r="AG94" t="s">
        <v>222</v>
      </c>
      <c r="AH94" t="s">
        <v>1749</v>
      </c>
      <c r="AI94" s="199">
        <v>1754274.53</v>
      </c>
      <c r="AJ94" s="199">
        <v>194059.54</v>
      </c>
      <c r="AK94" s="199">
        <v>17474.05</v>
      </c>
      <c r="AL94" s="199">
        <v>95673.42</v>
      </c>
      <c r="AM94" s="199">
        <v>384196.86</v>
      </c>
      <c r="AN94" s="199">
        <v>130564.24</v>
      </c>
      <c r="AO94" s="199">
        <v>66986.399999999994</v>
      </c>
      <c r="AP94" s="199">
        <v>106198.97</v>
      </c>
      <c r="AQ94" s="199">
        <v>10687.29</v>
      </c>
      <c r="AR94" s="199">
        <v>11303.97</v>
      </c>
      <c r="AS94" s="199">
        <v>2771419.2700000005</v>
      </c>
      <c r="AT94"/>
      <c r="AU94"/>
      <c r="AV94" t="str">
        <f t="shared" si="26"/>
        <v>06114</v>
      </c>
      <c r="AW94" s="241">
        <f t="shared" si="27"/>
        <v>2771419.2700000005</v>
      </c>
      <c r="AY94" s="167">
        <f t="shared" si="30"/>
        <v>0</v>
      </c>
      <c r="BA94" s="197">
        <v>87</v>
      </c>
      <c r="BB94" s="73" t="s">
        <v>222</v>
      </c>
      <c r="BC94" s="73" t="s">
        <v>1274</v>
      </c>
      <c r="BD94" s="56">
        <v>2662319.7700000005</v>
      </c>
    </row>
    <row r="95" spans="1:56">
      <c r="A95" s="197">
        <v>88</v>
      </c>
      <c r="B95" s="73" t="s">
        <v>632</v>
      </c>
      <c r="C95" s="73" t="s">
        <v>1275</v>
      </c>
      <c r="D95" s="168">
        <v>0</v>
      </c>
      <c r="E95" s="170">
        <v>2845.8999999999996</v>
      </c>
      <c r="F95" s="171">
        <f t="shared" si="31"/>
        <v>2845.8999999999996</v>
      </c>
      <c r="G95" s="182">
        <v>2859.67</v>
      </c>
      <c r="H95" s="179">
        <v>0</v>
      </c>
      <c r="I95" s="170">
        <v>4318.3999999999996</v>
      </c>
      <c r="J95" s="171">
        <f t="shared" si="32"/>
        <v>4318.3999999999996</v>
      </c>
      <c r="K95" s="205">
        <v>5664.46</v>
      </c>
      <c r="L95" s="171">
        <v>0</v>
      </c>
      <c r="M95" s="199">
        <v>4354.3599999999997</v>
      </c>
      <c r="N95" s="171">
        <f t="shared" si="21"/>
        <v>4354.3599999999997</v>
      </c>
      <c r="O95" s="205">
        <v>5072.6900000000005</v>
      </c>
      <c r="P95" s="241">
        <v>0</v>
      </c>
      <c r="Q95" s="199">
        <v>4753.1399999999994</v>
      </c>
      <c r="R95" s="171">
        <f t="shared" si="22"/>
        <v>4753.1399999999994</v>
      </c>
      <c r="S95" s="205">
        <v>5153.53</v>
      </c>
      <c r="T95" s="241">
        <v>0</v>
      </c>
      <c r="U95" s="241">
        <v>4998.25</v>
      </c>
      <c r="V95" s="171">
        <f t="shared" si="23"/>
        <v>4998.25</v>
      </c>
      <c r="W95" s="56">
        <v>4669.87</v>
      </c>
      <c r="X95" s="658">
        <f t="shared" si="28"/>
        <v>328.38000000000011</v>
      </c>
      <c r="Y95" s="659">
        <v>5074.83</v>
      </c>
      <c r="Z95" s="171">
        <f t="shared" si="24"/>
        <v>5403.21</v>
      </c>
      <c r="AA95" s="56"/>
      <c r="AB95" s="241">
        <f t="shared" si="29"/>
        <v>5403.21</v>
      </c>
      <c r="AC95" s="241"/>
      <c r="AE95" s="531">
        <f t="shared" si="25"/>
        <v>0</v>
      </c>
      <c r="AG95" t="s">
        <v>632</v>
      </c>
      <c r="AH95" t="s">
        <v>1958</v>
      </c>
      <c r="AI95" s="199">
        <v>4229.09</v>
      </c>
      <c r="AJ95" s="199">
        <v>0</v>
      </c>
      <c r="AK95" s="199">
        <v>0</v>
      </c>
      <c r="AL95" s="199">
        <v>0</v>
      </c>
      <c r="AM95" s="199">
        <v>349.46</v>
      </c>
      <c r="AN95" s="199">
        <v>340.04</v>
      </c>
      <c r="AO95" s="199">
        <v>156.24</v>
      </c>
      <c r="AP95" s="199">
        <v>0</v>
      </c>
      <c r="AQ95" s="199">
        <v>0</v>
      </c>
      <c r="AR95" s="199">
        <v>0</v>
      </c>
      <c r="AS95" s="199">
        <v>5074.83</v>
      </c>
      <c r="AT95"/>
      <c r="AU95"/>
      <c r="AV95" t="str">
        <f t="shared" si="26"/>
        <v>33205</v>
      </c>
      <c r="AW95" s="241">
        <f t="shared" si="27"/>
        <v>5074.83</v>
      </c>
      <c r="AY95" s="167">
        <f t="shared" si="30"/>
        <v>0</v>
      </c>
      <c r="BA95" s="197">
        <v>88</v>
      </c>
      <c r="BB95" s="73" t="s">
        <v>632</v>
      </c>
      <c r="BC95" s="73" t="s">
        <v>1275</v>
      </c>
      <c r="BD95" s="56">
        <v>4669.87</v>
      </c>
    </row>
    <row r="96" spans="1:56">
      <c r="A96" s="197">
        <v>89</v>
      </c>
      <c r="B96" s="73" t="s">
        <v>340</v>
      </c>
      <c r="C96" s="73" t="s">
        <v>1276</v>
      </c>
      <c r="D96" s="168">
        <v>108354.80999999994</v>
      </c>
      <c r="E96" s="170">
        <v>1661018.2500000002</v>
      </c>
      <c r="F96" s="171">
        <f t="shared" si="31"/>
        <v>1769373.06</v>
      </c>
      <c r="G96" s="182">
        <v>1440632</v>
      </c>
      <c r="H96" s="179">
        <v>328741.06000000006</v>
      </c>
      <c r="I96" s="170">
        <v>2292388.9700000002</v>
      </c>
      <c r="J96" s="171">
        <f t="shared" si="32"/>
        <v>2621130.0300000003</v>
      </c>
      <c r="K96" s="205">
        <v>2368440</v>
      </c>
      <c r="L96" s="171">
        <v>252690.03000000026</v>
      </c>
      <c r="M96" s="199">
        <v>2250711.8899999997</v>
      </c>
      <c r="N96" s="171">
        <f t="shared" si="21"/>
        <v>2503401.92</v>
      </c>
      <c r="O96" s="205">
        <v>2291520</v>
      </c>
      <c r="P96" s="241">
        <v>211881.91999999993</v>
      </c>
      <c r="Q96" s="199">
        <v>2497063.98</v>
      </c>
      <c r="R96" s="171">
        <f t="shared" si="22"/>
        <v>2708945.9</v>
      </c>
      <c r="S96" s="205">
        <v>2573000</v>
      </c>
      <c r="T96" s="241">
        <v>135945.89999999991</v>
      </c>
      <c r="U96" s="241">
        <v>2615104.5499999998</v>
      </c>
      <c r="V96" s="171">
        <f t="shared" si="23"/>
        <v>2751050.4499999997</v>
      </c>
      <c r="W96" s="56">
        <v>2809220</v>
      </c>
      <c r="X96" s="658">
        <f t="shared" si="28"/>
        <v>0</v>
      </c>
      <c r="Y96" s="659">
        <v>2829938.8800000004</v>
      </c>
      <c r="Z96" s="171">
        <f t="shared" si="24"/>
        <v>2829938.8800000004</v>
      </c>
      <c r="AA96" s="56"/>
      <c r="AB96" s="241">
        <f t="shared" si="29"/>
        <v>2829938.8800000004</v>
      </c>
      <c r="AC96" s="241"/>
      <c r="AE96" s="531">
        <f t="shared" si="25"/>
        <v>0</v>
      </c>
      <c r="AG96" t="s">
        <v>340</v>
      </c>
      <c r="AH96" t="s">
        <v>1809</v>
      </c>
      <c r="AI96" s="199">
        <v>1867661.54</v>
      </c>
      <c r="AJ96" s="199">
        <v>119512.41</v>
      </c>
      <c r="AK96" s="199">
        <v>11495.77</v>
      </c>
      <c r="AL96" s="199">
        <v>0</v>
      </c>
      <c r="AM96" s="199">
        <v>350033.83</v>
      </c>
      <c r="AN96" s="199">
        <v>164213.97</v>
      </c>
      <c r="AO96" s="199">
        <v>103602.57</v>
      </c>
      <c r="AP96" s="199">
        <v>188764.91</v>
      </c>
      <c r="AQ96" s="199">
        <v>10464.74</v>
      </c>
      <c r="AR96" s="199">
        <v>14189.14</v>
      </c>
      <c r="AS96" s="199">
        <v>2829938.8800000004</v>
      </c>
      <c r="AT96"/>
      <c r="AU96"/>
      <c r="AV96" t="str">
        <f t="shared" si="26"/>
        <v>17210</v>
      </c>
      <c r="AW96" s="241">
        <f t="shared" si="27"/>
        <v>2829938.8800000004</v>
      </c>
      <c r="AY96" s="167">
        <f t="shared" si="30"/>
        <v>0</v>
      </c>
      <c r="BA96" s="197">
        <v>89</v>
      </c>
      <c r="BB96" s="73" t="s">
        <v>340</v>
      </c>
      <c r="BC96" s="73" t="s">
        <v>1276</v>
      </c>
      <c r="BD96" s="56">
        <v>2809220</v>
      </c>
    </row>
    <row r="97" spans="1:56">
      <c r="A97" s="197">
        <v>90</v>
      </c>
      <c r="B97" s="73" t="s">
        <v>673</v>
      </c>
      <c r="C97" s="73" t="s">
        <v>1277</v>
      </c>
      <c r="D97" s="168">
        <v>0</v>
      </c>
      <c r="E97" s="170">
        <v>321900.28999999998</v>
      </c>
      <c r="F97" s="171">
        <f t="shared" si="31"/>
        <v>321900.28999999998</v>
      </c>
      <c r="G97" s="182">
        <v>190969.7</v>
      </c>
      <c r="H97" s="179">
        <v>130930.58999999997</v>
      </c>
      <c r="I97" s="170">
        <v>436880.08</v>
      </c>
      <c r="J97" s="171">
        <f t="shared" si="32"/>
        <v>567810.66999999993</v>
      </c>
      <c r="K97" s="205">
        <v>573033.88000000012</v>
      </c>
      <c r="L97" s="171">
        <v>0</v>
      </c>
      <c r="M97" s="199">
        <v>443905.46</v>
      </c>
      <c r="N97" s="171">
        <f t="shared" si="21"/>
        <v>443905.46</v>
      </c>
      <c r="O97" s="205">
        <v>233403.94</v>
      </c>
      <c r="P97" s="241">
        <v>210501.52000000002</v>
      </c>
      <c r="Q97" s="199">
        <v>503618.13</v>
      </c>
      <c r="R97" s="171">
        <f t="shared" si="22"/>
        <v>714119.65</v>
      </c>
      <c r="S97" s="205">
        <v>455631.68999999989</v>
      </c>
      <c r="T97" s="241">
        <v>258487.96000000014</v>
      </c>
      <c r="U97" s="241">
        <v>509330.59</v>
      </c>
      <c r="V97" s="171">
        <f t="shared" si="23"/>
        <v>767818.55000000016</v>
      </c>
      <c r="W97" s="56">
        <v>1384750.8699999999</v>
      </c>
      <c r="X97" s="658">
        <f t="shared" si="28"/>
        <v>0</v>
      </c>
      <c r="Y97" s="659">
        <v>547944.95000000007</v>
      </c>
      <c r="Z97" s="171">
        <f t="shared" si="24"/>
        <v>547944.95000000007</v>
      </c>
      <c r="AA97" s="56"/>
      <c r="AB97" s="241">
        <f t="shared" si="29"/>
        <v>547944.95000000007</v>
      </c>
      <c r="AC97" s="241"/>
      <c r="AE97" s="531">
        <f t="shared" si="25"/>
        <v>0</v>
      </c>
      <c r="AG97" t="s">
        <v>673</v>
      </c>
      <c r="AH97" t="s">
        <v>1981</v>
      </c>
      <c r="AI97" s="199">
        <v>365416.66</v>
      </c>
      <c r="AJ97" s="199">
        <v>33847.74</v>
      </c>
      <c r="AK97" s="199">
        <v>2630.27</v>
      </c>
      <c r="AL97" s="199">
        <v>0</v>
      </c>
      <c r="AM97" s="199">
        <v>79132.509999999995</v>
      </c>
      <c r="AN97" s="199">
        <v>24854.48</v>
      </c>
      <c r="AO97" s="199">
        <v>13907.99</v>
      </c>
      <c r="AP97" s="199">
        <v>13528.06</v>
      </c>
      <c r="AQ97" s="199">
        <v>2141.56</v>
      </c>
      <c r="AR97" s="199">
        <v>12485.68</v>
      </c>
      <c r="AS97" s="199">
        <v>547944.95000000007</v>
      </c>
      <c r="AT97"/>
      <c r="AU97"/>
      <c r="AV97" t="str">
        <f t="shared" si="26"/>
        <v>37502</v>
      </c>
      <c r="AW97" s="241">
        <f t="shared" si="27"/>
        <v>547944.95000000007</v>
      </c>
      <c r="AY97" s="167">
        <f t="shared" si="30"/>
        <v>0</v>
      </c>
      <c r="BA97" s="197">
        <v>90</v>
      </c>
      <c r="BB97" s="73" t="s">
        <v>673</v>
      </c>
      <c r="BC97" s="73" t="s">
        <v>1277</v>
      </c>
      <c r="BD97" s="56">
        <v>1384750.8699999999</v>
      </c>
    </row>
    <row r="98" spans="1:56">
      <c r="A98" s="197">
        <v>91</v>
      </c>
      <c r="B98" s="73" t="s">
        <v>533</v>
      </c>
      <c r="C98" s="73" t="s">
        <v>1278</v>
      </c>
      <c r="D98" s="168">
        <v>0</v>
      </c>
      <c r="E98" s="170">
        <v>259470.17</v>
      </c>
      <c r="F98" s="171">
        <f t="shared" si="31"/>
        <v>259470.17</v>
      </c>
      <c r="G98" s="182">
        <v>325140.93</v>
      </c>
      <c r="H98" s="179">
        <v>0</v>
      </c>
      <c r="I98" s="170">
        <v>375544.22</v>
      </c>
      <c r="J98" s="171">
        <f t="shared" si="32"/>
        <v>375544.22</v>
      </c>
      <c r="K98" s="205">
        <v>142316.31</v>
      </c>
      <c r="L98" s="171">
        <v>233227.90999999997</v>
      </c>
      <c r="M98" s="199">
        <v>382313.36999999994</v>
      </c>
      <c r="N98" s="171">
        <f t="shared" si="21"/>
        <v>615541.27999999991</v>
      </c>
      <c r="O98" s="205">
        <v>620521.55999999994</v>
      </c>
      <c r="P98" s="241">
        <v>0</v>
      </c>
      <c r="Q98" s="199">
        <v>406050.33999999997</v>
      </c>
      <c r="R98" s="171">
        <f t="shared" si="22"/>
        <v>406050.33999999997</v>
      </c>
      <c r="S98" s="205">
        <v>573206.12</v>
      </c>
      <c r="T98" s="241">
        <v>0</v>
      </c>
      <c r="U98" s="241">
        <v>435255.45</v>
      </c>
      <c r="V98" s="171">
        <f t="shared" si="23"/>
        <v>435255.45</v>
      </c>
      <c r="W98" s="56">
        <v>661481.54</v>
      </c>
      <c r="X98" s="658">
        <f t="shared" si="28"/>
        <v>0</v>
      </c>
      <c r="Y98" s="659">
        <v>465123.73000000004</v>
      </c>
      <c r="Z98" s="171">
        <f t="shared" si="24"/>
        <v>465123.73000000004</v>
      </c>
      <c r="AA98" s="56"/>
      <c r="AB98" s="241">
        <f t="shared" si="29"/>
        <v>465123.73000000004</v>
      </c>
      <c r="AC98" s="241"/>
      <c r="AE98" s="531">
        <f t="shared" si="25"/>
        <v>0</v>
      </c>
      <c r="AG98" t="s">
        <v>533</v>
      </c>
      <c r="AH98" t="s">
        <v>1907</v>
      </c>
      <c r="AI98" s="199">
        <v>321121.49</v>
      </c>
      <c r="AJ98" s="199">
        <v>30395.759999999998</v>
      </c>
      <c r="AK98" s="199">
        <v>6297.71</v>
      </c>
      <c r="AL98" s="199">
        <v>0</v>
      </c>
      <c r="AM98" s="199">
        <v>51830.239999999998</v>
      </c>
      <c r="AN98" s="199">
        <v>20684.150000000001</v>
      </c>
      <c r="AO98" s="199">
        <v>12024.15</v>
      </c>
      <c r="AP98" s="199">
        <v>20857.41</v>
      </c>
      <c r="AQ98" s="199">
        <v>1912.82</v>
      </c>
      <c r="AR98" s="199">
        <v>0</v>
      </c>
      <c r="AS98" s="199">
        <v>465123.73000000004</v>
      </c>
      <c r="AT98"/>
      <c r="AU98"/>
      <c r="AV98" t="str">
        <f t="shared" si="26"/>
        <v>27417</v>
      </c>
      <c r="AW98" s="241">
        <f t="shared" si="27"/>
        <v>465123.73000000004</v>
      </c>
      <c r="AY98" s="167">
        <f t="shared" si="30"/>
        <v>0</v>
      </c>
      <c r="BA98" s="197">
        <v>91</v>
      </c>
      <c r="BB98" s="73" t="s">
        <v>533</v>
      </c>
      <c r="BC98" s="73" t="s">
        <v>1278</v>
      </c>
      <c r="BD98" s="56">
        <v>661481.54</v>
      </c>
    </row>
    <row r="99" spans="1:56">
      <c r="A99" s="197">
        <v>92</v>
      </c>
      <c r="B99" s="73" t="s">
        <v>183</v>
      </c>
      <c r="C99" s="73" t="s">
        <v>1279</v>
      </c>
      <c r="D99" s="168">
        <v>9969.1600000000035</v>
      </c>
      <c r="E99" s="170">
        <v>58949.61</v>
      </c>
      <c r="F99" s="171">
        <f t="shared" si="31"/>
        <v>68918.77</v>
      </c>
      <c r="G99" s="182">
        <v>48534</v>
      </c>
      <c r="H99" s="179">
        <v>20384.770000000004</v>
      </c>
      <c r="I99" s="170">
        <v>87890.25</v>
      </c>
      <c r="J99" s="171">
        <f t="shared" si="32"/>
        <v>108275.02</v>
      </c>
      <c r="K99" s="205">
        <v>63041.17</v>
      </c>
      <c r="L99" s="171">
        <v>45233.850000000006</v>
      </c>
      <c r="M99" s="199">
        <v>85590.92</v>
      </c>
      <c r="N99" s="171">
        <f t="shared" si="21"/>
        <v>130824.77</v>
      </c>
      <c r="O99" s="205">
        <v>35635.25</v>
      </c>
      <c r="P99" s="241">
        <v>95189.52</v>
      </c>
      <c r="Q99" s="199">
        <v>94571.98</v>
      </c>
      <c r="R99" s="171">
        <f t="shared" si="22"/>
        <v>189761.5</v>
      </c>
      <c r="S99" s="205">
        <v>30550.350000000002</v>
      </c>
      <c r="T99" s="241">
        <v>159211.15</v>
      </c>
      <c r="U99" s="241">
        <v>94246.900000000009</v>
      </c>
      <c r="V99" s="171">
        <f t="shared" si="23"/>
        <v>253458.05</v>
      </c>
      <c r="W99" s="56">
        <v>46530.03</v>
      </c>
      <c r="X99" s="658">
        <f t="shared" si="28"/>
        <v>206928.02</v>
      </c>
      <c r="Y99" s="659">
        <v>100143.02000000002</v>
      </c>
      <c r="Z99" s="171">
        <f t="shared" si="24"/>
        <v>307071.04000000004</v>
      </c>
      <c r="AA99" s="56"/>
      <c r="AB99" s="241">
        <f t="shared" si="29"/>
        <v>307071.04000000004</v>
      </c>
      <c r="AC99" s="241"/>
      <c r="AE99" s="531">
        <f t="shared" si="25"/>
        <v>0</v>
      </c>
      <c r="AG99" t="s">
        <v>183</v>
      </c>
      <c r="AH99" t="s">
        <v>1728</v>
      </c>
      <c r="AI99" s="199">
        <v>66584.009999999995</v>
      </c>
      <c r="AJ99" s="199">
        <v>6304.58</v>
      </c>
      <c r="AK99" s="199">
        <v>447.27</v>
      </c>
      <c r="AL99" s="199">
        <v>0</v>
      </c>
      <c r="AM99" s="199">
        <v>12104.13</v>
      </c>
      <c r="AN99" s="199">
        <v>6033.46</v>
      </c>
      <c r="AO99" s="199">
        <v>3841.57</v>
      </c>
      <c r="AP99" s="199">
        <v>4449.66</v>
      </c>
      <c r="AQ99" s="199">
        <v>378.34</v>
      </c>
      <c r="AR99" s="199">
        <v>0</v>
      </c>
      <c r="AS99" s="199">
        <v>100143.02000000002</v>
      </c>
      <c r="AT99"/>
      <c r="AU99"/>
      <c r="AV99" t="str">
        <f t="shared" si="26"/>
        <v>03053</v>
      </c>
      <c r="AW99" s="241">
        <f t="shared" si="27"/>
        <v>100143.02000000002</v>
      </c>
      <c r="AY99" s="167">
        <f t="shared" si="30"/>
        <v>0</v>
      </c>
      <c r="BA99" s="197">
        <v>92</v>
      </c>
      <c r="BB99" s="73" t="s">
        <v>183</v>
      </c>
      <c r="BC99" s="73" t="s">
        <v>1279</v>
      </c>
      <c r="BD99" s="56">
        <v>46530.03</v>
      </c>
    </row>
    <row r="100" spans="1:56">
      <c r="A100" s="197">
        <v>93</v>
      </c>
      <c r="B100" s="73" t="s">
        <v>525</v>
      </c>
      <c r="C100" s="73" t="s">
        <v>1280</v>
      </c>
      <c r="D100" s="168">
        <v>73423.650000000023</v>
      </c>
      <c r="E100" s="170">
        <v>539315.82000000007</v>
      </c>
      <c r="F100" s="171">
        <f t="shared" si="31"/>
        <v>612739.47000000009</v>
      </c>
      <c r="G100" s="182">
        <v>359436.39</v>
      </c>
      <c r="H100" s="179">
        <v>253303.08000000007</v>
      </c>
      <c r="I100" s="170">
        <v>777238.88</v>
      </c>
      <c r="J100" s="171">
        <f t="shared" si="32"/>
        <v>1030541.9600000001</v>
      </c>
      <c r="K100" s="205">
        <v>534470.14</v>
      </c>
      <c r="L100" s="171">
        <v>496071.82000000007</v>
      </c>
      <c r="M100" s="199">
        <v>765178</v>
      </c>
      <c r="N100" s="171">
        <f t="shared" si="21"/>
        <v>1261249.82</v>
      </c>
      <c r="O100" s="205">
        <v>881404.86</v>
      </c>
      <c r="P100" s="241">
        <v>379844.96000000008</v>
      </c>
      <c r="Q100" s="199">
        <v>826494.56</v>
      </c>
      <c r="R100" s="171">
        <f t="shared" si="22"/>
        <v>1206339.52</v>
      </c>
      <c r="S100" s="205">
        <v>960429.53</v>
      </c>
      <c r="T100" s="241">
        <v>245909.99</v>
      </c>
      <c r="U100" s="241">
        <v>841145.05</v>
      </c>
      <c r="V100" s="171">
        <f t="shared" si="23"/>
        <v>1087055.04</v>
      </c>
      <c r="W100" s="56">
        <v>1309764.1499999999</v>
      </c>
      <c r="X100" s="658">
        <f t="shared" si="28"/>
        <v>0</v>
      </c>
      <c r="Y100" s="659">
        <v>865444.99000000011</v>
      </c>
      <c r="Z100" s="171">
        <f t="shared" si="24"/>
        <v>865444.99000000011</v>
      </c>
      <c r="AA100" s="56"/>
      <c r="AB100" s="241">
        <f t="shared" si="29"/>
        <v>865444.99000000011</v>
      </c>
      <c r="AC100" s="241"/>
      <c r="AE100" s="531">
        <f t="shared" si="25"/>
        <v>0</v>
      </c>
      <c r="AG100" t="s">
        <v>525</v>
      </c>
      <c r="AH100" t="s">
        <v>1903</v>
      </c>
      <c r="AI100" s="199">
        <v>576353.37</v>
      </c>
      <c r="AJ100" s="199">
        <v>37565.86</v>
      </c>
      <c r="AK100" s="199">
        <v>10873.42</v>
      </c>
      <c r="AL100" s="199">
        <v>0</v>
      </c>
      <c r="AM100" s="199">
        <v>120265.29</v>
      </c>
      <c r="AN100" s="199">
        <v>52865.279999999999</v>
      </c>
      <c r="AO100" s="199">
        <v>33579.85</v>
      </c>
      <c r="AP100" s="199">
        <v>30712.52</v>
      </c>
      <c r="AQ100" s="199">
        <v>3229.4</v>
      </c>
      <c r="AR100" s="199">
        <v>0</v>
      </c>
      <c r="AS100" s="199">
        <v>865444.99000000011</v>
      </c>
      <c r="AT100"/>
      <c r="AU100"/>
      <c r="AV100" t="str">
        <f t="shared" si="26"/>
        <v>27402</v>
      </c>
      <c r="AW100" s="241">
        <f t="shared" si="27"/>
        <v>865444.99000000011</v>
      </c>
      <c r="AY100" s="167">
        <f t="shared" si="30"/>
        <v>0</v>
      </c>
      <c r="BA100" s="197">
        <v>93</v>
      </c>
      <c r="BB100" s="73" t="s">
        <v>525</v>
      </c>
      <c r="BC100" s="73" t="s">
        <v>1280</v>
      </c>
      <c r="BD100" s="56">
        <v>1309764.1499999999</v>
      </c>
    </row>
    <row r="101" spans="1:56">
      <c r="A101" s="197">
        <v>94</v>
      </c>
      <c r="B101" s="73" t="s">
        <v>606</v>
      </c>
      <c r="C101" s="73" t="s">
        <v>1281</v>
      </c>
      <c r="D101" s="168">
        <v>2209.5500000000029</v>
      </c>
      <c r="E101" s="170">
        <v>53427.939999999995</v>
      </c>
      <c r="F101" s="171">
        <f t="shared" si="31"/>
        <v>55637.49</v>
      </c>
      <c r="G101" s="182">
        <v>49903.37</v>
      </c>
      <c r="H101" s="179">
        <v>5734.1199999999953</v>
      </c>
      <c r="I101" s="170">
        <v>74784.09</v>
      </c>
      <c r="J101" s="171">
        <f t="shared" si="32"/>
        <v>80518.209999999992</v>
      </c>
      <c r="K101" s="205">
        <v>79012.39</v>
      </c>
      <c r="L101" s="171">
        <v>1505.8199999999924</v>
      </c>
      <c r="M101" s="199">
        <v>77116.27</v>
      </c>
      <c r="N101" s="171">
        <f t="shared" si="21"/>
        <v>78622.09</v>
      </c>
      <c r="O101" s="205">
        <v>86171.479999999981</v>
      </c>
      <c r="P101" s="241">
        <v>0</v>
      </c>
      <c r="Q101" s="199">
        <v>87400.49</v>
      </c>
      <c r="R101" s="171">
        <f t="shared" si="22"/>
        <v>87400.49</v>
      </c>
      <c r="S101" s="205">
        <v>98601.72</v>
      </c>
      <c r="T101" s="241">
        <v>0</v>
      </c>
      <c r="U101" s="241">
        <v>84338.65</v>
      </c>
      <c r="V101" s="171">
        <f t="shared" si="23"/>
        <v>84338.65</v>
      </c>
      <c r="W101" s="56">
        <v>98296.699999999983</v>
      </c>
      <c r="X101" s="658">
        <f t="shared" si="28"/>
        <v>0</v>
      </c>
      <c r="Y101" s="659">
        <v>94290.050000000017</v>
      </c>
      <c r="Z101" s="171">
        <f t="shared" si="24"/>
        <v>94290.050000000017</v>
      </c>
      <c r="AA101" s="56"/>
      <c r="AB101" s="241">
        <f t="shared" si="29"/>
        <v>94290.050000000017</v>
      </c>
      <c r="AC101" s="241"/>
      <c r="AE101" s="531">
        <f t="shared" si="25"/>
        <v>0</v>
      </c>
      <c r="AG101" t="s">
        <v>606</v>
      </c>
      <c r="AH101" t="s">
        <v>1944</v>
      </c>
      <c r="AI101" s="199">
        <v>62408.66</v>
      </c>
      <c r="AJ101" s="199">
        <v>9830.36</v>
      </c>
      <c r="AK101" s="199">
        <v>2330.5500000000002</v>
      </c>
      <c r="AL101" s="199">
        <v>0</v>
      </c>
      <c r="AM101" s="199">
        <v>11773.04</v>
      </c>
      <c r="AN101" s="199">
        <v>2110.71</v>
      </c>
      <c r="AO101" s="199">
        <v>0</v>
      </c>
      <c r="AP101" s="199">
        <v>109.92</v>
      </c>
      <c r="AQ101" s="199">
        <v>379.13</v>
      </c>
      <c r="AR101" s="199">
        <v>5347.68</v>
      </c>
      <c r="AS101" s="199">
        <v>94290.050000000017</v>
      </c>
      <c r="AT101"/>
      <c r="AU101"/>
      <c r="AV101" t="str">
        <f t="shared" si="26"/>
        <v>32358</v>
      </c>
      <c r="AW101" s="241">
        <f t="shared" si="27"/>
        <v>94290.050000000017</v>
      </c>
      <c r="AY101" s="167">
        <f t="shared" si="30"/>
        <v>0</v>
      </c>
      <c r="BA101" s="197">
        <v>94</v>
      </c>
      <c r="BB101" s="73" t="s">
        <v>606</v>
      </c>
      <c r="BC101" s="73" t="s">
        <v>1281</v>
      </c>
      <c r="BD101" s="56">
        <v>98296.699999999983</v>
      </c>
    </row>
    <row r="102" spans="1:56">
      <c r="A102" s="197">
        <v>95</v>
      </c>
      <c r="B102" s="73" t="s">
        <v>697</v>
      </c>
      <c r="C102" s="73" t="s">
        <v>1282</v>
      </c>
      <c r="D102" s="168">
        <v>3108.2700000000013</v>
      </c>
      <c r="E102" s="170">
        <v>14936.109999999999</v>
      </c>
      <c r="F102" s="171">
        <f t="shared" si="31"/>
        <v>18044.38</v>
      </c>
      <c r="G102" s="182"/>
      <c r="H102" s="179">
        <v>18044.38</v>
      </c>
      <c r="I102" s="170">
        <v>20485.8</v>
      </c>
      <c r="J102" s="171">
        <f t="shared" si="32"/>
        <v>38530.18</v>
      </c>
      <c r="K102" s="205">
        <v>12265.400000000001</v>
      </c>
      <c r="L102" s="171">
        <v>26264.78</v>
      </c>
      <c r="M102" s="199">
        <v>21084.93</v>
      </c>
      <c r="N102" s="171">
        <f t="shared" si="21"/>
        <v>47349.71</v>
      </c>
      <c r="O102" s="205">
        <v>19005.689999999999</v>
      </c>
      <c r="P102" s="241">
        <v>28344.02</v>
      </c>
      <c r="Q102" s="199">
        <v>22631.77</v>
      </c>
      <c r="R102" s="171">
        <f t="shared" si="22"/>
        <v>50975.79</v>
      </c>
      <c r="S102" s="205">
        <v>18449.78</v>
      </c>
      <c r="T102" s="241">
        <v>32526.010000000002</v>
      </c>
      <c r="U102" s="241">
        <v>22155.84</v>
      </c>
      <c r="V102" s="171">
        <f t="shared" si="23"/>
        <v>54681.850000000006</v>
      </c>
      <c r="W102" s="56"/>
      <c r="X102" s="658">
        <f t="shared" si="28"/>
        <v>54681.850000000006</v>
      </c>
      <c r="Y102" s="659">
        <v>23493.960000000003</v>
      </c>
      <c r="Z102" s="171">
        <f t="shared" si="24"/>
        <v>78175.810000000012</v>
      </c>
      <c r="AA102" s="56"/>
      <c r="AB102" s="241">
        <f t="shared" si="29"/>
        <v>78175.810000000012</v>
      </c>
      <c r="AC102" s="241"/>
      <c r="AE102" s="531">
        <f t="shared" si="25"/>
        <v>0</v>
      </c>
      <c r="AG102" t="s">
        <v>697</v>
      </c>
      <c r="AH102" t="s">
        <v>1994</v>
      </c>
      <c r="AI102" s="199">
        <v>19869.52</v>
      </c>
      <c r="AJ102" s="199">
        <v>807.22</v>
      </c>
      <c r="AK102" s="199">
        <v>0</v>
      </c>
      <c r="AL102" s="199">
        <v>0</v>
      </c>
      <c r="AM102" s="199">
        <v>1957.92</v>
      </c>
      <c r="AN102" s="199">
        <v>649.45000000000005</v>
      </c>
      <c r="AO102" s="199">
        <v>209.85</v>
      </c>
      <c r="AP102" s="199">
        <v>0</v>
      </c>
      <c r="AQ102" s="199">
        <v>0</v>
      </c>
      <c r="AR102" s="199">
        <v>0</v>
      </c>
      <c r="AS102" s="199">
        <v>23493.960000000003</v>
      </c>
      <c r="AT102"/>
      <c r="AU102"/>
      <c r="AV102" t="str">
        <f t="shared" si="26"/>
        <v>38302</v>
      </c>
      <c r="AW102" s="241">
        <f t="shared" si="27"/>
        <v>23493.960000000003</v>
      </c>
      <c r="AY102" s="167">
        <f t="shared" si="30"/>
        <v>0</v>
      </c>
      <c r="BA102" s="197">
        <v>95</v>
      </c>
      <c r="BB102" s="73" t="s">
        <v>697</v>
      </c>
      <c r="BC102" s="73" t="s">
        <v>1282</v>
      </c>
      <c r="BD102" s="56"/>
    </row>
    <row r="103" spans="1:56">
      <c r="A103" s="197">
        <v>96</v>
      </c>
      <c r="B103" s="73" t="s">
        <v>404</v>
      </c>
      <c r="C103" s="73" t="s">
        <v>1283</v>
      </c>
      <c r="D103" s="168">
        <v>5737.32</v>
      </c>
      <c r="E103" s="170">
        <v>12353.5</v>
      </c>
      <c r="F103" s="171">
        <f t="shared" si="31"/>
        <v>18090.82</v>
      </c>
      <c r="G103" s="182">
        <v>1058.8800000000001</v>
      </c>
      <c r="H103" s="179">
        <v>17031.939999999999</v>
      </c>
      <c r="I103" s="170">
        <v>18755.11</v>
      </c>
      <c r="J103" s="171">
        <f t="shared" si="32"/>
        <v>35787.050000000003</v>
      </c>
      <c r="K103" s="205">
        <v>5967.52</v>
      </c>
      <c r="L103" s="171">
        <v>29819.530000000002</v>
      </c>
      <c r="M103" s="199">
        <v>18881.89</v>
      </c>
      <c r="N103" s="171">
        <f t="shared" si="21"/>
        <v>48701.42</v>
      </c>
      <c r="O103" s="205">
        <v>9026.86</v>
      </c>
      <c r="P103" s="241">
        <v>39674.559999999998</v>
      </c>
      <c r="Q103" s="199">
        <v>19925.75</v>
      </c>
      <c r="R103" s="171">
        <f t="shared" si="22"/>
        <v>59600.31</v>
      </c>
      <c r="S103" s="205">
        <v>13711.05</v>
      </c>
      <c r="T103" s="241">
        <v>45889.259999999995</v>
      </c>
      <c r="U103" s="241">
        <v>19869</v>
      </c>
      <c r="V103" s="171">
        <f t="shared" si="23"/>
        <v>65758.259999999995</v>
      </c>
      <c r="W103" s="56">
        <v>16679.45</v>
      </c>
      <c r="X103" s="658">
        <f t="shared" si="28"/>
        <v>49078.81</v>
      </c>
      <c r="Y103" s="659">
        <v>20568.7</v>
      </c>
      <c r="Z103" s="171">
        <f t="shared" si="24"/>
        <v>69647.509999999995</v>
      </c>
      <c r="AA103" s="56"/>
      <c r="AB103" s="241">
        <f t="shared" si="29"/>
        <v>69647.509999999995</v>
      </c>
      <c r="AC103" s="241"/>
      <c r="AE103" s="531">
        <f t="shared" si="25"/>
        <v>0</v>
      </c>
      <c r="AG103" t="s">
        <v>404</v>
      </c>
      <c r="AH103" t="s">
        <v>1844</v>
      </c>
      <c r="AI103" s="199">
        <v>20195.95</v>
      </c>
      <c r="AJ103" s="199">
        <v>0</v>
      </c>
      <c r="AK103" s="199">
        <v>0</v>
      </c>
      <c r="AL103" s="199">
        <v>0</v>
      </c>
      <c r="AM103" s="199">
        <v>0</v>
      </c>
      <c r="AN103" s="199">
        <v>246.91</v>
      </c>
      <c r="AO103" s="199">
        <v>125.84</v>
      </c>
      <c r="AP103" s="199">
        <v>0</v>
      </c>
      <c r="AQ103" s="199">
        <v>0</v>
      </c>
      <c r="AR103" s="199">
        <v>0</v>
      </c>
      <c r="AS103" s="199">
        <v>20568.7</v>
      </c>
      <c r="AT103"/>
      <c r="AU103"/>
      <c r="AV103" t="str">
        <f t="shared" si="26"/>
        <v>20401</v>
      </c>
      <c r="AW103" s="241">
        <f t="shared" si="27"/>
        <v>20568.7</v>
      </c>
      <c r="AY103" s="167">
        <f t="shared" si="30"/>
        <v>0</v>
      </c>
      <c r="BA103" s="197">
        <v>96</v>
      </c>
      <c r="BB103" s="73" t="s">
        <v>404</v>
      </c>
      <c r="BC103" s="73" t="s">
        <v>1283</v>
      </c>
      <c r="BD103" s="56">
        <v>16679.45</v>
      </c>
    </row>
    <row r="104" spans="1:56">
      <c r="A104" s="197">
        <v>97</v>
      </c>
      <c r="B104" s="73" t="s">
        <v>410</v>
      </c>
      <c r="C104" s="73" t="s">
        <v>1284</v>
      </c>
      <c r="D104" s="168">
        <v>0</v>
      </c>
      <c r="E104" s="170">
        <v>50810.53</v>
      </c>
      <c r="F104" s="171">
        <f t="shared" si="31"/>
        <v>50810.53</v>
      </c>
      <c r="G104" s="182">
        <v>24151.49</v>
      </c>
      <c r="H104" s="179">
        <v>26659.039999999997</v>
      </c>
      <c r="I104" s="170">
        <v>69494.28</v>
      </c>
      <c r="J104" s="171">
        <f t="shared" si="32"/>
        <v>96153.319999999992</v>
      </c>
      <c r="K104" s="205">
        <v>72335.399999999994</v>
      </c>
      <c r="L104" s="171">
        <v>23817.919999999998</v>
      </c>
      <c r="M104" s="199">
        <v>76228.539999999994</v>
      </c>
      <c r="N104" s="171">
        <f t="shared" ref="N104:N118" si="33">+L104+M104</f>
        <v>100046.45999999999</v>
      </c>
      <c r="O104" s="205">
        <v>65591.149999999994</v>
      </c>
      <c r="P104" s="241">
        <v>34455.31</v>
      </c>
      <c r="Q104" s="199">
        <v>86808.87999999999</v>
      </c>
      <c r="R104" s="171">
        <f t="shared" ref="R104:R118" si="34">+P104+Q104</f>
        <v>121264.18999999999</v>
      </c>
      <c r="S104" s="205">
        <v>121264.19</v>
      </c>
      <c r="T104" s="241">
        <v>0</v>
      </c>
      <c r="U104" s="241">
        <v>91773.540000000008</v>
      </c>
      <c r="V104" s="171">
        <f t="shared" ref="V104:V118" si="35">+T104+U104</f>
        <v>91773.540000000008</v>
      </c>
      <c r="W104" s="56">
        <v>91773.540000000023</v>
      </c>
      <c r="X104" s="658">
        <f t="shared" si="28"/>
        <v>0</v>
      </c>
      <c r="Y104" s="659">
        <v>97149.54</v>
      </c>
      <c r="Z104" s="171">
        <f t="shared" ref="Z104:Z118" si="36">+X104+Y104</f>
        <v>97149.54</v>
      </c>
      <c r="AA104" s="56"/>
      <c r="AB104" s="241">
        <f t="shared" si="29"/>
        <v>97149.54</v>
      </c>
      <c r="AC104" s="241"/>
      <c r="AE104" s="531">
        <f t="shared" si="25"/>
        <v>0</v>
      </c>
      <c r="AG104" t="s">
        <v>410</v>
      </c>
      <c r="AH104" t="s">
        <v>1847</v>
      </c>
      <c r="AI104" s="199">
        <v>65926.91</v>
      </c>
      <c r="AJ104" s="199">
        <v>7523.82</v>
      </c>
      <c r="AK104" s="199">
        <v>1328</v>
      </c>
      <c r="AL104" s="199">
        <v>0</v>
      </c>
      <c r="AM104" s="199">
        <v>0</v>
      </c>
      <c r="AN104" s="199">
        <v>13852.9</v>
      </c>
      <c r="AO104" s="199">
        <v>3861.47</v>
      </c>
      <c r="AP104" s="199">
        <v>3357.54</v>
      </c>
      <c r="AQ104" s="199">
        <v>1298.9000000000001</v>
      </c>
      <c r="AR104" s="199">
        <v>0</v>
      </c>
      <c r="AS104" s="199">
        <v>97149.54</v>
      </c>
      <c r="AT104"/>
      <c r="AU104"/>
      <c r="AV104" t="str">
        <f t="shared" si="26"/>
        <v>20404</v>
      </c>
      <c r="AW104" s="241">
        <f t="shared" si="27"/>
        <v>97149.54</v>
      </c>
      <c r="AY104" s="167">
        <f t="shared" si="30"/>
        <v>0</v>
      </c>
      <c r="BA104" s="197">
        <v>97</v>
      </c>
      <c r="BB104" s="73" t="s">
        <v>410</v>
      </c>
      <c r="BC104" s="73" t="s">
        <v>1284</v>
      </c>
      <c r="BD104" s="56">
        <v>91773.540000000023</v>
      </c>
    </row>
    <row r="105" spans="1:56">
      <c r="A105" s="197">
        <v>98</v>
      </c>
      <c r="B105" s="73" t="s">
        <v>295</v>
      </c>
      <c r="C105" s="73" t="s">
        <v>1285</v>
      </c>
      <c r="D105" s="168">
        <v>0</v>
      </c>
      <c r="E105" s="170">
        <v>46050.359999999993</v>
      </c>
      <c r="F105" s="171">
        <f t="shared" si="31"/>
        <v>46050.359999999993</v>
      </c>
      <c r="G105" s="182">
        <v>58915.99</v>
      </c>
      <c r="H105" s="179">
        <v>0</v>
      </c>
      <c r="I105" s="170">
        <v>65671.679999999993</v>
      </c>
      <c r="J105" s="171">
        <f t="shared" si="32"/>
        <v>65671.679999999993</v>
      </c>
      <c r="K105" s="205">
        <v>55155.240000000005</v>
      </c>
      <c r="L105" s="171">
        <v>10516.439999999988</v>
      </c>
      <c r="M105" s="199">
        <v>65719.570000000007</v>
      </c>
      <c r="N105" s="171">
        <f t="shared" si="33"/>
        <v>76236.009999999995</v>
      </c>
      <c r="O105" s="205">
        <v>60072.409999999996</v>
      </c>
      <c r="P105" s="241">
        <v>16163.599999999999</v>
      </c>
      <c r="Q105" s="199">
        <v>74123.59</v>
      </c>
      <c r="R105" s="171">
        <f t="shared" si="34"/>
        <v>90287.19</v>
      </c>
      <c r="S105" s="205">
        <v>90287.6</v>
      </c>
      <c r="T105" s="241">
        <v>0</v>
      </c>
      <c r="U105" s="241">
        <v>72630.95</v>
      </c>
      <c r="V105" s="171">
        <f t="shared" si="35"/>
        <v>72630.95</v>
      </c>
      <c r="W105" s="56">
        <v>63964.329999999987</v>
      </c>
      <c r="X105" s="658">
        <f t="shared" si="28"/>
        <v>8666.6200000000099</v>
      </c>
      <c r="Y105" s="659">
        <v>72499.200000000012</v>
      </c>
      <c r="Z105" s="171">
        <f t="shared" si="36"/>
        <v>81165.820000000022</v>
      </c>
      <c r="AA105" s="56"/>
      <c r="AB105" s="241">
        <f t="shared" si="29"/>
        <v>81165.820000000022</v>
      </c>
      <c r="AC105" s="241"/>
      <c r="AE105" s="531">
        <f t="shared" si="25"/>
        <v>0</v>
      </c>
      <c r="AG105" t="s">
        <v>295</v>
      </c>
      <c r="AH105" t="s">
        <v>1786</v>
      </c>
      <c r="AI105" s="199">
        <v>51807.48</v>
      </c>
      <c r="AJ105" s="199">
        <v>3034.34</v>
      </c>
      <c r="AK105" s="199">
        <v>940.48</v>
      </c>
      <c r="AL105" s="199">
        <v>0</v>
      </c>
      <c r="AM105" s="199">
        <v>8220.43</v>
      </c>
      <c r="AN105" s="199">
        <v>5053.1499999999996</v>
      </c>
      <c r="AO105" s="199">
        <v>3153.82</v>
      </c>
      <c r="AP105" s="199">
        <v>0</v>
      </c>
      <c r="AQ105" s="199">
        <v>289.5</v>
      </c>
      <c r="AR105" s="199">
        <v>0</v>
      </c>
      <c r="AS105" s="199">
        <v>72499.200000000012</v>
      </c>
      <c r="AT105"/>
      <c r="AU105"/>
      <c r="AV105" t="str">
        <f t="shared" si="26"/>
        <v>13301</v>
      </c>
      <c r="AW105" s="241">
        <f t="shared" si="27"/>
        <v>72499.200000000012</v>
      </c>
      <c r="AY105" s="167">
        <f t="shared" si="30"/>
        <v>0</v>
      </c>
      <c r="BA105" s="197">
        <v>98</v>
      </c>
      <c r="BB105" s="73" t="s">
        <v>295</v>
      </c>
      <c r="BC105" s="73" t="s">
        <v>1285</v>
      </c>
      <c r="BD105" s="56">
        <v>63964.329999999987</v>
      </c>
    </row>
    <row r="106" spans="1:56">
      <c r="A106" s="197">
        <v>99</v>
      </c>
      <c r="B106" s="73" t="s">
        <v>722</v>
      </c>
      <c r="C106" s="73" t="s">
        <v>1286</v>
      </c>
      <c r="D106" s="168">
        <v>0</v>
      </c>
      <c r="E106" s="170">
        <v>251678.83000000002</v>
      </c>
      <c r="F106" s="171">
        <f t="shared" si="31"/>
        <v>251678.83000000002</v>
      </c>
      <c r="G106" s="182">
        <v>251681.33</v>
      </c>
      <c r="H106" s="179">
        <v>0</v>
      </c>
      <c r="I106" s="170">
        <v>367544.88</v>
      </c>
      <c r="J106" s="171">
        <f t="shared" si="32"/>
        <v>367544.88</v>
      </c>
      <c r="K106" s="205">
        <v>368484.41999999993</v>
      </c>
      <c r="L106" s="171">
        <v>0</v>
      </c>
      <c r="M106" s="199">
        <v>366320.28</v>
      </c>
      <c r="N106" s="171">
        <f t="shared" si="33"/>
        <v>366320.28</v>
      </c>
      <c r="O106" s="205">
        <v>366320.27999999997</v>
      </c>
      <c r="P106" s="241">
        <v>5.8207660913467407E-11</v>
      </c>
      <c r="Q106" s="199">
        <v>394864.37</v>
      </c>
      <c r="R106" s="171">
        <f t="shared" si="34"/>
        <v>394864.37000000005</v>
      </c>
      <c r="S106" s="205">
        <v>395165.57</v>
      </c>
      <c r="T106" s="241">
        <v>0</v>
      </c>
      <c r="U106" s="241">
        <v>411126.13999999996</v>
      </c>
      <c r="V106" s="171">
        <f t="shared" si="35"/>
        <v>411126.13999999996</v>
      </c>
      <c r="W106" s="56">
        <v>424415.07000000018</v>
      </c>
      <c r="X106" s="658">
        <f t="shared" si="28"/>
        <v>0</v>
      </c>
      <c r="Y106" s="659">
        <v>439296.16000000003</v>
      </c>
      <c r="Z106" s="171">
        <f t="shared" si="36"/>
        <v>439296.16000000003</v>
      </c>
      <c r="AA106" s="56"/>
      <c r="AB106" s="241">
        <f t="shared" si="29"/>
        <v>439296.16000000003</v>
      </c>
      <c r="AC106" s="241"/>
      <c r="AE106" s="531">
        <f t="shared" si="25"/>
        <v>0</v>
      </c>
      <c r="AG106" t="s">
        <v>722</v>
      </c>
      <c r="AH106" t="s">
        <v>2007</v>
      </c>
      <c r="AI106" s="199">
        <v>263137.8</v>
      </c>
      <c r="AJ106" s="199">
        <v>27552.639999999999</v>
      </c>
      <c r="AK106" s="199">
        <v>3607.2</v>
      </c>
      <c r="AL106" s="199">
        <v>0</v>
      </c>
      <c r="AM106" s="199">
        <v>57625.95</v>
      </c>
      <c r="AN106" s="199">
        <v>30730.97</v>
      </c>
      <c r="AO106" s="199">
        <v>16055.52</v>
      </c>
      <c r="AP106" s="199">
        <v>27747.17</v>
      </c>
      <c r="AQ106" s="199">
        <v>1517.94</v>
      </c>
      <c r="AR106" s="199">
        <v>11320.97</v>
      </c>
      <c r="AS106" s="199">
        <v>439296.16000000003</v>
      </c>
      <c r="AT106"/>
      <c r="AU106"/>
      <c r="AV106" t="str">
        <f t="shared" si="26"/>
        <v>39200</v>
      </c>
      <c r="AW106" s="241">
        <f t="shared" si="27"/>
        <v>439296.16000000003</v>
      </c>
      <c r="AY106" s="167">
        <f t="shared" si="30"/>
        <v>0</v>
      </c>
      <c r="BA106" s="197">
        <v>99</v>
      </c>
      <c r="BB106" s="73" t="s">
        <v>722</v>
      </c>
      <c r="BC106" s="73" t="s">
        <v>1286</v>
      </c>
      <c r="BD106" s="56">
        <v>424415.07000000018</v>
      </c>
    </row>
    <row r="107" spans="1:56">
      <c r="A107" s="197">
        <v>100</v>
      </c>
      <c r="B107" s="73" t="s">
        <v>730</v>
      </c>
      <c r="C107" s="73" t="s">
        <v>1287</v>
      </c>
      <c r="D107" s="168">
        <v>0</v>
      </c>
      <c r="E107" s="170">
        <v>104427.12999999999</v>
      </c>
      <c r="F107" s="171">
        <f t="shared" si="31"/>
        <v>104427.12999999999</v>
      </c>
      <c r="G107" s="182">
        <v>78999.83</v>
      </c>
      <c r="H107" s="179">
        <v>25427.299999999988</v>
      </c>
      <c r="I107" s="170">
        <v>155675.93</v>
      </c>
      <c r="J107" s="171">
        <f t="shared" si="32"/>
        <v>181103.22999999998</v>
      </c>
      <c r="K107" s="205">
        <v>150164.44999999998</v>
      </c>
      <c r="L107" s="171">
        <v>30938.78</v>
      </c>
      <c r="M107" s="199">
        <v>159424.28000000003</v>
      </c>
      <c r="N107" s="171">
        <f t="shared" si="33"/>
        <v>190363.06000000003</v>
      </c>
      <c r="O107" s="205">
        <v>105948.44</v>
      </c>
      <c r="P107" s="241">
        <v>84414.620000000024</v>
      </c>
      <c r="Q107" s="199">
        <v>170199.05</v>
      </c>
      <c r="R107" s="171">
        <f t="shared" si="34"/>
        <v>254613.67</v>
      </c>
      <c r="S107" s="205">
        <v>183287.07</v>
      </c>
      <c r="T107" s="241">
        <v>71326.600000000006</v>
      </c>
      <c r="U107" s="241">
        <v>168950.19</v>
      </c>
      <c r="V107" s="171">
        <f t="shared" si="35"/>
        <v>240276.79</v>
      </c>
      <c r="W107" s="56">
        <v>103989.96999999999</v>
      </c>
      <c r="X107" s="658">
        <f t="shared" si="28"/>
        <v>136286.82</v>
      </c>
      <c r="Y107" s="659">
        <v>178633.57</v>
      </c>
      <c r="Z107" s="171">
        <f t="shared" si="36"/>
        <v>314920.39</v>
      </c>
      <c r="AA107" s="56"/>
      <c r="AB107" s="241">
        <f t="shared" si="29"/>
        <v>314920.39</v>
      </c>
      <c r="AC107" s="241"/>
      <c r="AE107" s="531">
        <f t="shared" si="25"/>
        <v>0</v>
      </c>
      <c r="AG107" t="s">
        <v>730</v>
      </c>
      <c r="AH107" t="s">
        <v>2011</v>
      </c>
      <c r="AI107" s="199">
        <v>104247.55</v>
      </c>
      <c r="AJ107" s="199">
        <v>13650.71</v>
      </c>
      <c r="AK107" s="199">
        <v>2787.74</v>
      </c>
      <c r="AL107" s="199">
        <v>0</v>
      </c>
      <c r="AM107" s="199">
        <v>21654.91</v>
      </c>
      <c r="AN107" s="199">
        <v>12218.56</v>
      </c>
      <c r="AO107" s="199">
        <v>6126.89</v>
      </c>
      <c r="AP107" s="199">
        <v>17337.580000000002</v>
      </c>
      <c r="AQ107" s="199">
        <v>609.63</v>
      </c>
      <c r="AR107" s="199">
        <v>0</v>
      </c>
      <c r="AS107" s="199">
        <v>178633.57</v>
      </c>
      <c r="AT107"/>
      <c r="AU107"/>
      <c r="AV107" t="str">
        <f t="shared" si="26"/>
        <v>39204</v>
      </c>
      <c r="AW107" s="241">
        <f t="shared" si="27"/>
        <v>178633.57</v>
      </c>
      <c r="AY107" s="167">
        <f t="shared" si="30"/>
        <v>0</v>
      </c>
      <c r="BA107" s="197">
        <v>100</v>
      </c>
      <c r="BB107" s="73" t="s">
        <v>730</v>
      </c>
      <c r="BC107" s="73" t="s">
        <v>1287</v>
      </c>
      <c r="BD107" s="56">
        <v>103989.96999999999</v>
      </c>
    </row>
    <row r="108" spans="1:56">
      <c r="A108" s="197">
        <v>101</v>
      </c>
      <c r="B108" s="73" t="s">
        <v>588</v>
      </c>
      <c r="C108" s="73" t="s">
        <v>1288</v>
      </c>
      <c r="D108" s="168">
        <v>64084.380000000005</v>
      </c>
      <c r="E108" s="170">
        <v>141560.62</v>
      </c>
      <c r="F108" s="171">
        <f t="shared" si="31"/>
        <v>205645</v>
      </c>
      <c r="G108" s="182">
        <v>125136</v>
      </c>
      <c r="H108" s="179">
        <v>80509</v>
      </c>
      <c r="I108" s="170">
        <v>203918.41000000003</v>
      </c>
      <c r="J108" s="171">
        <f t="shared" si="32"/>
        <v>284427.41000000003</v>
      </c>
      <c r="K108" s="205">
        <v>255685.08999999997</v>
      </c>
      <c r="L108" s="171">
        <v>28742.320000000065</v>
      </c>
      <c r="M108" s="199">
        <v>214574.25</v>
      </c>
      <c r="N108" s="171">
        <f t="shared" si="33"/>
        <v>243316.57000000007</v>
      </c>
      <c r="O108" s="205">
        <v>213081.1</v>
      </c>
      <c r="P108" s="241">
        <v>30235.470000000059</v>
      </c>
      <c r="Q108" s="199">
        <v>232577.49</v>
      </c>
      <c r="R108" s="171">
        <f t="shared" si="34"/>
        <v>262812.96000000008</v>
      </c>
      <c r="S108" s="205">
        <v>326085.92000000004</v>
      </c>
      <c r="T108" s="241">
        <v>0</v>
      </c>
      <c r="U108" s="241">
        <v>242656.78</v>
      </c>
      <c r="V108" s="171">
        <f t="shared" si="35"/>
        <v>242656.78</v>
      </c>
      <c r="W108" s="56">
        <v>274725.81000000006</v>
      </c>
      <c r="X108" s="658">
        <f t="shared" si="28"/>
        <v>0</v>
      </c>
      <c r="Y108" s="659">
        <v>263040.02</v>
      </c>
      <c r="Z108" s="171">
        <f t="shared" si="36"/>
        <v>263040.02</v>
      </c>
      <c r="AA108" s="56"/>
      <c r="AB108" s="241">
        <f t="shared" si="29"/>
        <v>263040.02</v>
      </c>
      <c r="AC108" s="241"/>
      <c r="AE108" s="531">
        <f t="shared" si="25"/>
        <v>0</v>
      </c>
      <c r="AG108" t="s">
        <v>588</v>
      </c>
      <c r="AH108" t="s">
        <v>1935</v>
      </c>
      <c r="AI108" s="199">
        <v>184457.22</v>
      </c>
      <c r="AJ108" s="199">
        <v>11106.34</v>
      </c>
      <c r="AK108" s="199">
        <v>3123.98</v>
      </c>
      <c r="AL108" s="199">
        <v>0</v>
      </c>
      <c r="AM108" s="199">
        <v>45601.73</v>
      </c>
      <c r="AN108" s="199">
        <v>11372.25</v>
      </c>
      <c r="AO108" s="199">
        <v>3727.85</v>
      </c>
      <c r="AP108" s="199">
        <v>2545.84</v>
      </c>
      <c r="AQ108" s="199">
        <v>1104.81</v>
      </c>
      <c r="AR108" s="199">
        <v>0</v>
      </c>
      <c r="AS108" s="199">
        <v>263040.02</v>
      </c>
      <c r="AT108"/>
      <c r="AU108"/>
      <c r="AV108" t="str">
        <f t="shared" si="26"/>
        <v>31332</v>
      </c>
      <c r="AW108" s="241">
        <f t="shared" si="27"/>
        <v>263040.02</v>
      </c>
      <c r="AY108" s="167">
        <f t="shared" si="30"/>
        <v>0</v>
      </c>
      <c r="BA108" s="197">
        <v>101</v>
      </c>
      <c r="BB108" s="73" t="s">
        <v>588</v>
      </c>
      <c r="BC108" s="73" t="s">
        <v>1288</v>
      </c>
      <c r="BD108" s="56">
        <v>274725.81000000006</v>
      </c>
    </row>
    <row r="109" spans="1:56">
      <c r="A109" s="197">
        <v>102</v>
      </c>
      <c r="B109" s="73" t="s">
        <v>460</v>
      </c>
      <c r="C109" s="73" t="s">
        <v>1289</v>
      </c>
      <c r="D109" s="168">
        <v>0</v>
      </c>
      <c r="E109" s="170">
        <v>12636.81</v>
      </c>
      <c r="F109" s="171">
        <f t="shared" si="31"/>
        <v>12636.81</v>
      </c>
      <c r="G109" s="182">
        <v>17241.560000000001</v>
      </c>
      <c r="H109" s="179">
        <v>0</v>
      </c>
      <c r="I109" s="170">
        <v>17491.39</v>
      </c>
      <c r="J109" s="171">
        <f t="shared" si="32"/>
        <v>17491.39</v>
      </c>
      <c r="K109" s="205">
        <v>20859.13</v>
      </c>
      <c r="L109" s="171">
        <v>0</v>
      </c>
      <c r="M109" s="199">
        <v>20504.309999999998</v>
      </c>
      <c r="N109" s="171">
        <f t="shared" si="33"/>
        <v>20504.309999999998</v>
      </c>
      <c r="O109" s="205">
        <v>27367.17</v>
      </c>
      <c r="P109" s="241">
        <v>0</v>
      </c>
      <c r="Q109" s="199">
        <v>23229.980000000003</v>
      </c>
      <c r="R109" s="171">
        <f t="shared" si="34"/>
        <v>23229.980000000003</v>
      </c>
      <c r="S109" s="205">
        <v>32509.79</v>
      </c>
      <c r="T109" s="241">
        <v>0</v>
      </c>
      <c r="U109" s="241">
        <v>23910.94</v>
      </c>
      <c r="V109" s="171">
        <f t="shared" si="35"/>
        <v>23910.94</v>
      </c>
      <c r="W109" s="56">
        <v>34790.21</v>
      </c>
      <c r="X109" s="658">
        <f t="shared" si="28"/>
        <v>0</v>
      </c>
      <c r="Y109" s="659">
        <v>26615.609999999997</v>
      </c>
      <c r="Z109" s="171">
        <f t="shared" si="36"/>
        <v>26615.609999999997</v>
      </c>
      <c r="AA109" s="56"/>
      <c r="AB109" s="241">
        <f t="shared" si="29"/>
        <v>26615.609999999997</v>
      </c>
      <c r="AC109" s="241"/>
      <c r="AE109" s="531">
        <f t="shared" si="25"/>
        <v>0</v>
      </c>
      <c r="AG109" t="s">
        <v>460</v>
      </c>
      <c r="AH109" t="s">
        <v>1872</v>
      </c>
      <c r="AI109" s="199">
        <v>19891.05</v>
      </c>
      <c r="AJ109" s="199">
        <v>0</v>
      </c>
      <c r="AK109" s="199">
        <v>60.07</v>
      </c>
      <c r="AL109" s="199">
        <v>0</v>
      </c>
      <c r="AM109" s="199">
        <v>3516.28</v>
      </c>
      <c r="AN109" s="199">
        <v>1185.25</v>
      </c>
      <c r="AO109" s="199">
        <v>0</v>
      </c>
      <c r="AP109" s="199">
        <v>0</v>
      </c>
      <c r="AQ109" s="199">
        <v>97.42</v>
      </c>
      <c r="AR109" s="199">
        <v>1865.54</v>
      </c>
      <c r="AS109" s="199">
        <v>26615.609999999997</v>
      </c>
      <c r="AT109"/>
      <c r="AU109"/>
      <c r="AV109" t="str">
        <f t="shared" si="26"/>
        <v>23054</v>
      </c>
      <c r="AW109" s="241">
        <f t="shared" si="27"/>
        <v>26615.609999999997</v>
      </c>
      <c r="AY109" s="167">
        <f t="shared" si="30"/>
        <v>0</v>
      </c>
      <c r="BA109" s="197">
        <v>102</v>
      </c>
      <c r="BB109" s="73" t="s">
        <v>460</v>
      </c>
      <c r="BC109" s="73" t="s">
        <v>1289</v>
      </c>
      <c r="BD109" s="56">
        <v>34790.21</v>
      </c>
    </row>
    <row r="110" spans="1:56">
      <c r="A110" s="197">
        <v>103</v>
      </c>
      <c r="B110" s="73" t="s">
        <v>596</v>
      </c>
      <c r="C110" s="73" t="s">
        <v>1290</v>
      </c>
      <c r="D110" s="168">
        <v>142.74</v>
      </c>
      <c r="E110" s="170">
        <v>2932.4700000000003</v>
      </c>
      <c r="F110" s="171">
        <f t="shared" si="31"/>
        <v>3075.21</v>
      </c>
      <c r="G110" s="182">
        <v>413.21</v>
      </c>
      <c r="H110" s="179">
        <v>2662</v>
      </c>
      <c r="I110" s="170">
        <v>4350.7</v>
      </c>
      <c r="J110" s="171">
        <f t="shared" si="32"/>
        <v>7012.7</v>
      </c>
      <c r="K110" s="205">
        <v>4362.8</v>
      </c>
      <c r="L110" s="171">
        <v>2649.8999999999996</v>
      </c>
      <c r="M110" s="199">
        <v>4211.3999999999996</v>
      </c>
      <c r="N110" s="171">
        <f t="shared" si="33"/>
        <v>6861.2999999999993</v>
      </c>
      <c r="O110" s="205">
        <v>3025.29</v>
      </c>
      <c r="P110" s="241">
        <v>3836.0099999999993</v>
      </c>
      <c r="Q110" s="199">
        <v>4771.12</v>
      </c>
      <c r="R110" s="171">
        <f t="shared" si="34"/>
        <v>8607.1299999999992</v>
      </c>
      <c r="S110" s="205">
        <v>3566.8</v>
      </c>
      <c r="T110" s="241">
        <v>5040.329999999999</v>
      </c>
      <c r="U110" s="241">
        <v>4620.67</v>
      </c>
      <c r="V110" s="171">
        <f t="shared" si="35"/>
        <v>9661</v>
      </c>
      <c r="W110" s="56">
        <v>578.36999999999989</v>
      </c>
      <c r="X110" s="658">
        <f t="shared" si="28"/>
        <v>9082.630000000001</v>
      </c>
      <c r="Y110" s="659">
        <v>5137.1000000000004</v>
      </c>
      <c r="Z110" s="171">
        <f t="shared" si="36"/>
        <v>14219.730000000001</v>
      </c>
      <c r="AA110" s="56"/>
      <c r="AB110" s="241">
        <f t="shared" si="29"/>
        <v>14219.730000000001</v>
      </c>
      <c r="AC110" s="241"/>
      <c r="AE110" s="531">
        <f t="shared" si="25"/>
        <v>0</v>
      </c>
      <c r="AG110" t="s">
        <v>596</v>
      </c>
      <c r="AH110" t="s">
        <v>1939</v>
      </c>
      <c r="AI110" s="199">
        <v>4227.55</v>
      </c>
      <c r="AJ110" s="199">
        <v>0</v>
      </c>
      <c r="AK110" s="199">
        <v>0</v>
      </c>
      <c r="AL110" s="199">
        <v>0</v>
      </c>
      <c r="AM110" s="199">
        <v>716.55</v>
      </c>
      <c r="AN110" s="199">
        <v>193</v>
      </c>
      <c r="AO110" s="199">
        <v>0</v>
      </c>
      <c r="AP110" s="199">
        <v>0</v>
      </c>
      <c r="AQ110" s="199">
        <v>0</v>
      </c>
      <c r="AR110" s="199">
        <v>0</v>
      </c>
      <c r="AS110" s="199">
        <v>5137.1000000000004</v>
      </c>
      <c r="AT110"/>
      <c r="AU110"/>
      <c r="AV110" t="str">
        <f t="shared" si="26"/>
        <v>32312</v>
      </c>
      <c r="AW110" s="241">
        <f t="shared" si="27"/>
        <v>5137.1000000000004</v>
      </c>
      <c r="AY110" s="167">
        <f t="shared" si="30"/>
        <v>0</v>
      </c>
      <c r="BA110" s="197">
        <v>103</v>
      </c>
      <c r="BB110" s="73" t="s">
        <v>596</v>
      </c>
      <c r="BC110" s="73" t="s">
        <v>1290</v>
      </c>
      <c r="BD110" s="56">
        <v>578.36999999999989</v>
      </c>
    </row>
    <row r="111" spans="1:56">
      <c r="A111" s="197">
        <v>104</v>
      </c>
      <c r="B111" s="73" t="s">
        <v>218</v>
      </c>
      <c r="C111" s="73" t="s">
        <v>1291</v>
      </c>
      <c r="D111" s="168">
        <v>581.68000000000029</v>
      </c>
      <c r="E111" s="170">
        <v>9329.5500000000011</v>
      </c>
      <c r="F111" s="171">
        <f t="shared" si="31"/>
        <v>9911.2300000000014</v>
      </c>
      <c r="G111" s="182">
        <v>9842.65</v>
      </c>
      <c r="H111" s="179">
        <v>68.580000000001746</v>
      </c>
      <c r="I111" s="170">
        <v>13839.099999999999</v>
      </c>
      <c r="J111" s="171">
        <f t="shared" si="32"/>
        <v>13907.68</v>
      </c>
      <c r="K111" s="205">
        <v>13833.869999999999</v>
      </c>
      <c r="L111" s="171">
        <v>73.81000000000131</v>
      </c>
      <c r="M111" s="199">
        <v>13793.82</v>
      </c>
      <c r="N111" s="171">
        <f t="shared" si="33"/>
        <v>13867.630000000001</v>
      </c>
      <c r="O111" s="205">
        <v>14516.5</v>
      </c>
      <c r="P111" s="241">
        <v>0</v>
      </c>
      <c r="Q111" s="199">
        <v>16307.72</v>
      </c>
      <c r="R111" s="171">
        <f t="shared" si="34"/>
        <v>16307.72</v>
      </c>
      <c r="S111" s="205">
        <v>14328.02</v>
      </c>
      <c r="T111" s="241">
        <v>1979.6999999999989</v>
      </c>
      <c r="U111" s="241">
        <v>17268.3</v>
      </c>
      <c r="V111" s="171">
        <f t="shared" si="35"/>
        <v>19248</v>
      </c>
      <c r="W111" s="56">
        <v>16532.09</v>
      </c>
      <c r="X111" s="658">
        <f t="shared" si="28"/>
        <v>2715.91</v>
      </c>
      <c r="Y111" s="659">
        <v>17582.260000000002</v>
      </c>
      <c r="Z111" s="171">
        <f t="shared" si="36"/>
        <v>20298.170000000002</v>
      </c>
      <c r="AA111" s="56"/>
      <c r="AB111" s="241">
        <f t="shared" si="29"/>
        <v>20298.170000000002</v>
      </c>
      <c r="AC111" s="241"/>
      <c r="AE111" s="531">
        <f t="shared" si="25"/>
        <v>0</v>
      </c>
      <c r="AG111" t="s">
        <v>218</v>
      </c>
      <c r="AH111" t="s">
        <v>1747</v>
      </c>
      <c r="AI111" s="199">
        <v>16970.150000000001</v>
      </c>
      <c r="AJ111" s="199">
        <v>0</v>
      </c>
      <c r="AK111" s="199">
        <v>0</v>
      </c>
      <c r="AL111" s="199">
        <v>0</v>
      </c>
      <c r="AM111" s="199">
        <v>0</v>
      </c>
      <c r="AN111" s="199">
        <v>535.79999999999995</v>
      </c>
      <c r="AO111" s="199">
        <v>0</v>
      </c>
      <c r="AP111" s="199">
        <v>0</v>
      </c>
      <c r="AQ111" s="199">
        <v>76.31</v>
      </c>
      <c r="AR111" s="199">
        <v>0</v>
      </c>
      <c r="AS111" s="199">
        <v>17582.260000000002</v>
      </c>
      <c r="AT111"/>
      <c r="AU111"/>
      <c r="AV111" t="str">
        <f t="shared" si="26"/>
        <v>06103</v>
      </c>
      <c r="AW111" s="241">
        <f t="shared" si="27"/>
        <v>17582.260000000002</v>
      </c>
      <c r="AY111" s="167">
        <f t="shared" si="30"/>
        <v>0</v>
      </c>
      <c r="BA111" s="197">
        <v>104</v>
      </c>
      <c r="BB111" s="73" t="s">
        <v>218</v>
      </c>
      <c r="BC111" s="73" t="s">
        <v>1291</v>
      </c>
      <c r="BD111" s="56">
        <v>16532.09</v>
      </c>
    </row>
    <row r="112" spans="1:56">
      <c r="A112" s="197">
        <v>105</v>
      </c>
      <c r="B112" s="73" t="s">
        <v>650</v>
      </c>
      <c r="C112" s="73" t="s">
        <v>1292</v>
      </c>
      <c r="D112" s="168">
        <v>0</v>
      </c>
      <c r="E112" s="170">
        <v>38176.33</v>
      </c>
      <c r="F112" s="171">
        <f t="shared" si="31"/>
        <v>38176.33</v>
      </c>
      <c r="G112" s="182">
        <v>29603.32</v>
      </c>
      <c r="H112" s="179">
        <v>8573.010000000002</v>
      </c>
      <c r="I112" s="170">
        <v>54575.31</v>
      </c>
      <c r="J112" s="171">
        <f t="shared" si="32"/>
        <v>63148.32</v>
      </c>
      <c r="K112" s="205">
        <v>60014.93</v>
      </c>
      <c r="L112" s="171">
        <v>3133.3899999999994</v>
      </c>
      <c r="M112" s="199">
        <v>55114.020000000004</v>
      </c>
      <c r="N112" s="171">
        <f t="shared" si="33"/>
        <v>58247.41</v>
      </c>
      <c r="O112" s="205">
        <v>63445.2</v>
      </c>
      <c r="P112" s="241">
        <v>0</v>
      </c>
      <c r="Q112" s="199">
        <v>56041.55</v>
      </c>
      <c r="R112" s="171">
        <f t="shared" si="34"/>
        <v>56041.55</v>
      </c>
      <c r="S112" s="205">
        <v>63667.700000000004</v>
      </c>
      <c r="T112" s="241">
        <v>0</v>
      </c>
      <c r="U112" s="241">
        <v>57803.459999999992</v>
      </c>
      <c r="V112" s="171">
        <f t="shared" si="35"/>
        <v>57803.459999999992</v>
      </c>
      <c r="W112" s="56">
        <v>57803.46</v>
      </c>
      <c r="X112" s="658">
        <f t="shared" si="28"/>
        <v>0</v>
      </c>
      <c r="Y112" s="659">
        <v>64946.61</v>
      </c>
      <c r="Z112" s="171">
        <f t="shared" si="36"/>
        <v>64946.61</v>
      </c>
      <c r="AA112" s="56"/>
      <c r="AB112" s="241">
        <f t="shared" si="29"/>
        <v>64946.61</v>
      </c>
      <c r="AC112" s="241"/>
      <c r="AE112" s="531">
        <f t="shared" si="25"/>
        <v>0</v>
      </c>
      <c r="AG112" t="s">
        <v>650</v>
      </c>
      <c r="AH112" t="s">
        <v>1968</v>
      </c>
      <c r="AI112" s="199">
        <v>50700.04</v>
      </c>
      <c r="AJ112" s="199">
        <v>0</v>
      </c>
      <c r="AK112" s="199">
        <v>0</v>
      </c>
      <c r="AL112" s="199">
        <v>0</v>
      </c>
      <c r="AM112" s="199">
        <v>9510.4699999999993</v>
      </c>
      <c r="AN112" s="199">
        <v>1357.11</v>
      </c>
      <c r="AO112" s="199">
        <v>0</v>
      </c>
      <c r="AP112" s="199">
        <v>0</v>
      </c>
      <c r="AQ112" s="199">
        <v>245.08</v>
      </c>
      <c r="AR112" s="199">
        <v>3133.91</v>
      </c>
      <c r="AS112" s="199">
        <v>64946.61</v>
      </c>
      <c r="AT112"/>
      <c r="AU112"/>
      <c r="AV112" t="str">
        <f t="shared" si="26"/>
        <v>34324</v>
      </c>
      <c r="AW112" s="241">
        <f t="shared" si="27"/>
        <v>64946.61</v>
      </c>
      <c r="AY112" s="167">
        <f t="shared" si="30"/>
        <v>0</v>
      </c>
      <c r="BA112" s="197">
        <v>105</v>
      </c>
      <c r="BB112" s="73" t="s">
        <v>650</v>
      </c>
      <c r="BC112" s="73" t="s">
        <v>1292</v>
      </c>
      <c r="BD112" s="56">
        <v>57803.46</v>
      </c>
    </row>
    <row r="113" spans="1:56">
      <c r="A113" s="197">
        <v>106</v>
      </c>
      <c r="B113" s="73" t="s">
        <v>454</v>
      </c>
      <c r="C113" s="73" t="s">
        <v>1293</v>
      </c>
      <c r="D113" s="168">
        <v>914.59999999999945</v>
      </c>
      <c r="E113" s="170">
        <v>15600.23</v>
      </c>
      <c r="F113" s="171">
        <f t="shared" si="31"/>
        <v>16514.829999999998</v>
      </c>
      <c r="G113" s="182"/>
      <c r="H113" s="179">
        <v>16514.829999999998</v>
      </c>
      <c r="I113" s="170">
        <v>22758.850000000002</v>
      </c>
      <c r="J113" s="171">
        <f t="shared" si="32"/>
        <v>39273.68</v>
      </c>
      <c r="K113" s="205"/>
      <c r="L113" s="171">
        <v>39273.68</v>
      </c>
      <c r="M113" s="199">
        <v>23621.97</v>
      </c>
      <c r="N113" s="171">
        <f t="shared" si="33"/>
        <v>62895.65</v>
      </c>
      <c r="O113" s="205">
        <v>1157.26</v>
      </c>
      <c r="P113" s="241">
        <v>61738.39</v>
      </c>
      <c r="Q113" s="199">
        <v>26241.140000000003</v>
      </c>
      <c r="R113" s="171">
        <f t="shared" si="34"/>
        <v>87979.53</v>
      </c>
      <c r="S113" s="205">
        <v>18469.16</v>
      </c>
      <c r="T113" s="241">
        <v>69510.37</v>
      </c>
      <c r="U113" s="241">
        <v>25061.57</v>
      </c>
      <c r="V113" s="171">
        <f t="shared" si="35"/>
        <v>94571.94</v>
      </c>
      <c r="W113" s="56">
        <v>7113.4200000000019</v>
      </c>
      <c r="X113" s="658">
        <f t="shared" si="28"/>
        <v>87458.52</v>
      </c>
      <c r="Y113" s="659">
        <v>26186.17</v>
      </c>
      <c r="Z113" s="171">
        <f t="shared" si="36"/>
        <v>113644.69</v>
      </c>
      <c r="AA113" s="56"/>
      <c r="AB113" s="241">
        <f t="shared" si="29"/>
        <v>113644.69</v>
      </c>
      <c r="AC113" s="241"/>
      <c r="AE113" s="531">
        <f t="shared" si="25"/>
        <v>0</v>
      </c>
      <c r="AG113" t="s">
        <v>454</v>
      </c>
      <c r="AH113" t="s">
        <v>1869</v>
      </c>
      <c r="AI113" s="199">
        <v>22399.06</v>
      </c>
      <c r="AJ113" s="199">
        <v>441.26</v>
      </c>
      <c r="AK113" s="199">
        <v>160.88999999999999</v>
      </c>
      <c r="AL113" s="199">
        <v>0</v>
      </c>
      <c r="AM113" s="199">
        <v>2052.35</v>
      </c>
      <c r="AN113" s="199">
        <v>613.29999999999995</v>
      </c>
      <c r="AO113" s="199">
        <v>519.30999999999995</v>
      </c>
      <c r="AP113" s="199">
        <v>0</v>
      </c>
      <c r="AQ113" s="199">
        <v>0</v>
      </c>
      <c r="AR113" s="199">
        <v>0</v>
      </c>
      <c r="AS113" s="199">
        <v>26186.17</v>
      </c>
      <c r="AT113"/>
      <c r="AU113"/>
      <c r="AV113" t="str">
        <f t="shared" si="26"/>
        <v>22204</v>
      </c>
      <c r="AW113" s="241">
        <f t="shared" si="27"/>
        <v>26186.17</v>
      </c>
      <c r="AY113" s="167">
        <f t="shared" si="30"/>
        <v>0</v>
      </c>
      <c r="BA113" s="197">
        <v>106</v>
      </c>
      <c r="BB113" s="73" t="s">
        <v>454</v>
      </c>
      <c r="BC113" s="73" t="s">
        <v>1293</v>
      </c>
      <c r="BD113" s="56">
        <v>7113.4200000000019</v>
      </c>
    </row>
    <row r="114" spans="1:56">
      <c r="A114" s="197">
        <v>107</v>
      </c>
      <c r="B114" s="73" t="s">
        <v>728</v>
      </c>
      <c r="C114" s="73" t="s">
        <v>1294</v>
      </c>
      <c r="D114" s="168">
        <v>12406.689999999991</v>
      </c>
      <c r="E114" s="170">
        <v>76151.5</v>
      </c>
      <c r="F114" s="171">
        <f t="shared" si="31"/>
        <v>88558.189999999988</v>
      </c>
      <c r="G114" s="182">
        <v>55367.26</v>
      </c>
      <c r="H114" s="179">
        <v>33190.929999999986</v>
      </c>
      <c r="I114" s="170">
        <v>107022.85</v>
      </c>
      <c r="J114" s="171">
        <f t="shared" si="32"/>
        <v>140213.78</v>
      </c>
      <c r="K114" s="205">
        <v>126390.23000000001</v>
      </c>
      <c r="L114" s="171">
        <v>13823.549999999988</v>
      </c>
      <c r="M114" s="199">
        <v>105293.4</v>
      </c>
      <c r="N114" s="171">
        <f t="shared" si="33"/>
        <v>119116.94999999998</v>
      </c>
      <c r="O114" s="205">
        <v>88663.01999999999</v>
      </c>
      <c r="P114" s="241">
        <v>30453.929999999993</v>
      </c>
      <c r="Q114" s="199">
        <v>119342.03</v>
      </c>
      <c r="R114" s="171">
        <f t="shared" si="34"/>
        <v>149795.96</v>
      </c>
      <c r="S114" s="205">
        <v>99913.11</v>
      </c>
      <c r="T114" s="241">
        <v>49882.849999999991</v>
      </c>
      <c r="U114" s="241">
        <v>120118.32</v>
      </c>
      <c r="V114" s="171">
        <f t="shared" si="35"/>
        <v>170001.16999999998</v>
      </c>
      <c r="W114" s="56">
        <v>109485.75999999999</v>
      </c>
      <c r="X114" s="658">
        <f t="shared" si="28"/>
        <v>60515.409999999989</v>
      </c>
      <c r="Y114" s="659">
        <v>126947.34999999998</v>
      </c>
      <c r="Z114" s="171">
        <f t="shared" si="36"/>
        <v>187462.75999999995</v>
      </c>
      <c r="AA114" s="56"/>
      <c r="AB114" s="241">
        <f t="shared" si="29"/>
        <v>187462.75999999995</v>
      </c>
      <c r="AC114" s="241"/>
      <c r="AE114" s="531">
        <f t="shared" si="25"/>
        <v>0</v>
      </c>
      <c r="AG114" t="s">
        <v>728</v>
      </c>
      <c r="AH114" t="s">
        <v>2010</v>
      </c>
      <c r="AI114" s="199">
        <v>81941.06</v>
      </c>
      <c r="AJ114" s="199">
        <v>2928.65</v>
      </c>
      <c r="AK114" s="199">
        <v>0</v>
      </c>
      <c r="AL114" s="199">
        <v>0</v>
      </c>
      <c r="AM114" s="199">
        <v>14024.15</v>
      </c>
      <c r="AN114" s="199">
        <v>8531.7000000000007</v>
      </c>
      <c r="AO114" s="199">
        <v>4860.1499999999996</v>
      </c>
      <c r="AP114" s="199">
        <v>8145.7</v>
      </c>
      <c r="AQ114" s="199">
        <v>441.13</v>
      </c>
      <c r="AR114" s="199">
        <v>6074.81</v>
      </c>
      <c r="AS114" s="199">
        <v>126947.34999999998</v>
      </c>
      <c r="AT114"/>
      <c r="AU114"/>
      <c r="AV114" t="str">
        <f t="shared" si="26"/>
        <v>39203</v>
      </c>
      <c r="AW114" s="241">
        <f t="shared" si="27"/>
        <v>126947.34999999998</v>
      </c>
      <c r="AY114" s="167">
        <f t="shared" si="30"/>
        <v>0</v>
      </c>
      <c r="BA114" s="197">
        <v>107</v>
      </c>
      <c r="BB114" s="73" t="s">
        <v>728</v>
      </c>
      <c r="BC114" s="73" t="s">
        <v>1294</v>
      </c>
      <c r="BD114" s="56">
        <v>109485.75999999999</v>
      </c>
    </row>
    <row r="115" spans="1:56">
      <c r="A115" s="197">
        <v>108</v>
      </c>
      <c r="B115" s="73" t="s">
        <v>346</v>
      </c>
      <c r="C115" s="73" t="s">
        <v>1295</v>
      </c>
      <c r="D115" s="168">
        <v>48157.130000000005</v>
      </c>
      <c r="E115" s="170">
        <v>1497782.76</v>
      </c>
      <c r="F115" s="171">
        <f t="shared" si="31"/>
        <v>1545939.8900000001</v>
      </c>
      <c r="G115" s="182">
        <v>925131.03</v>
      </c>
      <c r="H115" s="179">
        <v>620808.8600000001</v>
      </c>
      <c r="I115" s="170">
        <v>2194656.54</v>
      </c>
      <c r="J115" s="171">
        <f t="shared" si="32"/>
        <v>2815465.4000000004</v>
      </c>
      <c r="K115" s="205">
        <v>3013965.89</v>
      </c>
      <c r="L115" s="171">
        <v>0</v>
      </c>
      <c r="M115" s="199">
        <v>2133703.48</v>
      </c>
      <c r="N115" s="171">
        <f t="shared" si="33"/>
        <v>2133703.48</v>
      </c>
      <c r="O115" s="205">
        <v>3067904.7300000004</v>
      </c>
      <c r="P115" s="241">
        <v>0</v>
      </c>
      <c r="Q115" s="199">
        <v>2303648.75</v>
      </c>
      <c r="R115" s="171">
        <f t="shared" si="34"/>
        <v>2303648.75</v>
      </c>
      <c r="S115" s="205">
        <v>5169671.13</v>
      </c>
      <c r="T115" s="241">
        <v>0</v>
      </c>
      <c r="U115" s="241">
        <v>2363697.7799999998</v>
      </c>
      <c r="V115" s="171">
        <f t="shared" si="35"/>
        <v>2363697.7799999998</v>
      </c>
      <c r="W115" s="56">
        <v>2758997.1099999989</v>
      </c>
      <c r="X115" s="658">
        <f t="shared" si="28"/>
        <v>0</v>
      </c>
      <c r="Y115" s="659">
        <v>2518764.4</v>
      </c>
      <c r="Z115" s="171">
        <f t="shared" si="36"/>
        <v>2518764.4</v>
      </c>
      <c r="AA115" s="56"/>
      <c r="AB115" s="241">
        <f t="shared" si="29"/>
        <v>2518764.4</v>
      </c>
      <c r="AC115" s="241"/>
      <c r="AE115" s="531">
        <f t="shared" si="25"/>
        <v>0</v>
      </c>
      <c r="AG115" t="s">
        <v>346</v>
      </c>
      <c r="AH115" t="s">
        <v>1812</v>
      </c>
      <c r="AI115" s="199">
        <v>1601279.4</v>
      </c>
      <c r="AJ115" s="199">
        <v>71010.45</v>
      </c>
      <c r="AK115" s="199">
        <v>9024.51</v>
      </c>
      <c r="AL115" s="199">
        <v>66387.03</v>
      </c>
      <c r="AM115" s="199">
        <v>340411.26</v>
      </c>
      <c r="AN115" s="199">
        <v>144054.25</v>
      </c>
      <c r="AO115" s="199">
        <v>74704.84</v>
      </c>
      <c r="AP115" s="199">
        <v>195289.58</v>
      </c>
      <c r="AQ115" s="199">
        <v>9241.41</v>
      </c>
      <c r="AR115" s="199">
        <v>7361.67</v>
      </c>
      <c r="AS115" s="199">
        <v>2518764.4</v>
      </c>
      <c r="AT115"/>
      <c r="AU115"/>
      <c r="AV115" t="str">
        <f t="shared" si="26"/>
        <v>17401</v>
      </c>
      <c r="AW115" s="241">
        <f t="shared" si="27"/>
        <v>2518764.4</v>
      </c>
      <c r="AY115" s="167">
        <f t="shared" si="30"/>
        <v>0</v>
      </c>
      <c r="BA115" s="197">
        <v>108</v>
      </c>
      <c r="BB115" s="73" t="s">
        <v>346</v>
      </c>
      <c r="BC115" s="73" t="s">
        <v>1295</v>
      </c>
      <c r="BD115" s="56">
        <v>2758997.1099999989</v>
      </c>
    </row>
    <row r="116" spans="1:56">
      <c r="A116" s="197">
        <v>109</v>
      </c>
      <c r="B116" s="73" t="s">
        <v>215</v>
      </c>
      <c r="C116" s="73" t="s">
        <v>1296</v>
      </c>
      <c r="D116" s="168">
        <v>0</v>
      </c>
      <c r="E116" s="170">
        <v>117929.25000000001</v>
      </c>
      <c r="F116" s="171">
        <f t="shared" si="31"/>
        <v>117929.25000000001</v>
      </c>
      <c r="G116" s="182">
        <v>116644.08</v>
      </c>
      <c r="H116" s="179">
        <v>1285.1700000000128</v>
      </c>
      <c r="I116" s="170">
        <v>157366.15</v>
      </c>
      <c r="J116" s="171">
        <f t="shared" si="32"/>
        <v>158651.32</v>
      </c>
      <c r="K116" s="205">
        <v>183598.90000000002</v>
      </c>
      <c r="L116" s="171">
        <v>0</v>
      </c>
      <c r="M116" s="199">
        <v>170951.08999999997</v>
      </c>
      <c r="N116" s="171">
        <f t="shared" si="33"/>
        <v>170951.08999999997</v>
      </c>
      <c r="O116" s="205">
        <v>171429.02</v>
      </c>
      <c r="P116" s="241">
        <v>0</v>
      </c>
      <c r="Q116" s="199">
        <v>193424.22</v>
      </c>
      <c r="R116" s="171">
        <f t="shared" si="34"/>
        <v>193424.22</v>
      </c>
      <c r="S116" s="205">
        <v>187217.93</v>
      </c>
      <c r="T116" s="241">
        <v>6206.2900000000081</v>
      </c>
      <c r="U116" s="241">
        <v>193242.3</v>
      </c>
      <c r="V116" s="171">
        <f t="shared" si="35"/>
        <v>199448.59</v>
      </c>
      <c r="W116" s="56">
        <v>205329.86000000004</v>
      </c>
      <c r="X116" s="658">
        <f t="shared" si="28"/>
        <v>0</v>
      </c>
      <c r="Y116" s="659">
        <v>221038.05999999997</v>
      </c>
      <c r="Z116" s="171">
        <f t="shared" si="36"/>
        <v>221038.05999999997</v>
      </c>
      <c r="AA116" s="56"/>
      <c r="AB116" s="241">
        <f t="shared" si="29"/>
        <v>221038.05999999997</v>
      </c>
      <c r="AC116" s="241"/>
      <c r="AE116" s="531">
        <f t="shared" si="25"/>
        <v>0</v>
      </c>
      <c r="AG116" t="s">
        <v>215</v>
      </c>
      <c r="AH116" t="s">
        <v>1745</v>
      </c>
      <c r="AI116" s="199">
        <v>170729.21</v>
      </c>
      <c r="AJ116" s="199">
        <v>7449.19</v>
      </c>
      <c r="AK116" s="199">
        <v>1001.77</v>
      </c>
      <c r="AL116" s="199">
        <v>0</v>
      </c>
      <c r="AM116" s="199">
        <v>24611.72</v>
      </c>
      <c r="AN116" s="199">
        <v>5377.46</v>
      </c>
      <c r="AO116" s="199">
        <v>0</v>
      </c>
      <c r="AP116" s="199">
        <v>2677.36</v>
      </c>
      <c r="AQ116" s="199">
        <v>935.2</v>
      </c>
      <c r="AR116" s="199">
        <v>8256.15</v>
      </c>
      <c r="AS116" s="199">
        <v>221038.05999999997</v>
      </c>
      <c r="AT116"/>
      <c r="AU116"/>
      <c r="AV116" t="str">
        <f t="shared" si="26"/>
        <v>06098</v>
      </c>
      <c r="AW116" s="241">
        <f t="shared" si="27"/>
        <v>221038.05999999997</v>
      </c>
      <c r="AY116" s="167">
        <f t="shared" si="30"/>
        <v>0</v>
      </c>
      <c r="BA116" s="197">
        <v>109</v>
      </c>
      <c r="BB116" s="73" t="s">
        <v>215</v>
      </c>
      <c r="BC116" s="73" t="s">
        <v>1296</v>
      </c>
      <c r="BD116" s="56">
        <v>205329.86000000004</v>
      </c>
    </row>
    <row r="117" spans="1:56">
      <c r="A117" s="197">
        <v>110</v>
      </c>
      <c r="B117" s="73" t="s">
        <v>470</v>
      </c>
      <c r="C117" s="73" t="s">
        <v>1297</v>
      </c>
      <c r="D117" s="168">
        <v>122.08000000000175</v>
      </c>
      <c r="E117" s="170">
        <v>21062.17</v>
      </c>
      <c r="F117" s="171">
        <f t="shared" si="31"/>
        <v>21184.25</v>
      </c>
      <c r="G117" s="182">
        <v>21583.11</v>
      </c>
      <c r="H117" s="179">
        <v>0</v>
      </c>
      <c r="I117" s="170">
        <v>30066.17</v>
      </c>
      <c r="J117" s="171">
        <f t="shared" si="32"/>
        <v>30066.17</v>
      </c>
      <c r="K117" s="205">
        <v>38715.310000000005</v>
      </c>
      <c r="L117" s="171">
        <v>0</v>
      </c>
      <c r="M117" s="199">
        <v>31164.29</v>
      </c>
      <c r="N117" s="171">
        <f t="shared" si="33"/>
        <v>31164.29</v>
      </c>
      <c r="O117" s="205">
        <v>25587.019999999997</v>
      </c>
      <c r="P117" s="241">
        <v>5577.2700000000041</v>
      </c>
      <c r="Q117" s="199">
        <v>36971.61</v>
      </c>
      <c r="R117" s="171">
        <f t="shared" si="34"/>
        <v>42548.880000000005</v>
      </c>
      <c r="S117" s="205">
        <v>32214.300000000003</v>
      </c>
      <c r="T117" s="241">
        <v>10334.580000000002</v>
      </c>
      <c r="U117" s="241">
        <v>37463.919999999998</v>
      </c>
      <c r="V117" s="171">
        <f t="shared" si="35"/>
        <v>47798.5</v>
      </c>
      <c r="W117" s="56">
        <v>37421.040000000001</v>
      </c>
      <c r="X117" s="658">
        <f t="shared" si="28"/>
        <v>10377.459999999999</v>
      </c>
      <c r="Y117" s="659">
        <v>40022.880000000005</v>
      </c>
      <c r="Z117" s="171">
        <f t="shared" si="36"/>
        <v>50400.340000000004</v>
      </c>
      <c r="AA117" s="56"/>
      <c r="AB117" s="241">
        <f t="shared" si="29"/>
        <v>50400.340000000004</v>
      </c>
      <c r="AC117" s="241"/>
      <c r="AE117" s="531">
        <f t="shared" si="25"/>
        <v>0</v>
      </c>
      <c r="AG117" t="s">
        <v>470</v>
      </c>
      <c r="AH117" t="s">
        <v>1877</v>
      </c>
      <c r="AI117" s="199">
        <v>28585.02</v>
      </c>
      <c r="AJ117" s="199">
        <v>0</v>
      </c>
      <c r="AK117" s="199">
        <v>0</v>
      </c>
      <c r="AL117" s="199">
        <v>0</v>
      </c>
      <c r="AM117" s="199">
        <v>6021.67</v>
      </c>
      <c r="AN117" s="199">
        <v>2372.64</v>
      </c>
      <c r="AO117" s="199">
        <v>1445.95</v>
      </c>
      <c r="AP117" s="199">
        <v>0</v>
      </c>
      <c r="AQ117" s="199">
        <v>134.80000000000001</v>
      </c>
      <c r="AR117" s="199">
        <v>1462.8</v>
      </c>
      <c r="AS117" s="199">
        <v>40022.880000000005</v>
      </c>
      <c r="AT117"/>
      <c r="AU117"/>
      <c r="AV117" t="str">
        <f t="shared" si="26"/>
        <v>23404</v>
      </c>
      <c r="AW117" s="241">
        <f t="shared" si="27"/>
        <v>40022.880000000005</v>
      </c>
      <c r="AY117" s="167">
        <f t="shared" si="30"/>
        <v>0</v>
      </c>
      <c r="BA117" s="197">
        <v>110</v>
      </c>
      <c r="BB117" s="73" t="s">
        <v>470</v>
      </c>
      <c r="BC117" s="73" t="s">
        <v>1297</v>
      </c>
      <c r="BD117" s="56">
        <v>37421.040000000001</v>
      </c>
    </row>
    <row r="118" spans="1:56">
      <c r="A118" s="197">
        <v>111</v>
      </c>
      <c r="B118" s="73" t="s">
        <v>299</v>
      </c>
      <c r="C118" s="73" t="s">
        <v>1298</v>
      </c>
      <c r="D118" s="168">
        <v>5284.9500000000044</v>
      </c>
      <c r="E118" s="170">
        <v>100759.10999999999</v>
      </c>
      <c r="F118" s="171">
        <f t="shared" si="31"/>
        <v>106044.06</v>
      </c>
      <c r="G118" s="182">
        <v>90007</v>
      </c>
      <c r="H118" s="179">
        <v>16037.059999999998</v>
      </c>
      <c r="I118" s="170">
        <v>142919.77000000002</v>
      </c>
      <c r="J118" s="171">
        <f t="shared" si="32"/>
        <v>158956.83000000002</v>
      </c>
      <c r="K118" s="205">
        <v>145002.62</v>
      </c>
      <c r="L118" s="171">
        <v>13954.210000000021</v>
      </c>
      <c r="M118" s="199">
        <v>144378.49</v>
      </c>
      <c r="N118" s="171">
        <f t="shared" si="33"/>
        <v>158332.70000000001</v>
      </c>
      <c r="O118" s="205">
        <v>193769.5</v>
      </c>
      <c r="P118" s="241">
        <v>0</v>
      </c>
      <c r="Q118" s="199">
        <v>165468.27000000002</v>
      </c>
      <c r="R118" s="171">
        <f t="shared" si="34"/>
        <v>165468.27000000002</v>
      </c>
      <c r="S118" s="205">
        <v>187388.46000000005</v>
      </c>
      <c r="T118" s="241">
        <v>0</v>
      </c>
      <c r="U118" s="241">
        <v>164723.54</v>
      </c>
      <c r="V118" s="171">
        <f t="shared" si="35"/>
        <v>164723.54</v>
      </c>
      <c r="W118" s="56">
        <v>196785.08999999994</v>
      </c>
      <c r="X118" s="658">
        <f t="shared" si="28"/>
        <v>0</v>
      </c>
      <c r="Y118" s="659">
        <v>171083.05999999997</v>
      </c>
      <c r="Z118" s="171">
        <f t="shared" si="36"/>
        <v>171083.05999999997</v>
      </c>
      <c r="AA118" s="56"/>
      <c r="AB118" s="241">
        <f t="shared" si="29"/>
        <v>171083.05999999997</v>
      </c>
      <c r="AC118" s="241"/>
      <c r="AE118" s="531">
        <f t="shared" si="25"/>
        <v>0</v>
      </c>
      <c r="AG118" t="s">
        <v>299</v>
      </c>
      <c r="AH118" t="s">
        <v>1788</v>
      </c>
      <c r="AI118" s="199">
        <v>110573.57</v>
      </c>
      <c r="AJ118" s="199">
        <v>8785.9599999999991</v>
      </c>
      <c r="AK118" s="199">
        <v>2355.79</v>
      </c>
      <c r="AL118" s="199">
        <v>0</v>
      </c>
      <c r="AM118" s="199">
        <v>25707.23</v>
      </c>
      <c r="AN118" s="199">
        <v>10665.38</v>
      </c>
      <c r="AO118" s="199">
        <v>7150.08</v>
      </c>
      <c r="AP118" s="199">
        <v>3236.53</v>
      </c>
      <c r="AQ118" s="199">
        <v>678.55</v>
      </c>
      <c r="AR118" s="199">
        <v>1929.97</v>
      </c>
      <c r="AS118" s="199">
        <v>171083.05999999997</v>
      </c>
      <c r="AT118"/>
      <c r="AU118"/>
      <c r="AV118" t="str">
        <f t="shared" si="26"/>
        <v>14028</v>
      </c>
      <c r="AW118" s="241">
        <f t="shared" si="27"/>
        <v>171083.05999999997</v>
      </c>
      <c r="AY118" s="167">
        <f t="shared" si="30"/>
        <v>0</v>
      </c>
      <c r="BA118" s="197">
        <v>111</v>
      </c>
      <c r="BB118" s="73" t="s">
        <v>299</v>
      </c>
      <c r="BC118" s="73" t="s">
        <v>1298</v>
      </c>
      <c r="BD118" s="56">
        <v>196785.08999999994</v>
      </c>
    </row>
    <row r="119" spans="1:56">
      <c r="A119" s="197">
        <v>112</v>
      </c>
      <c r="B119" s="298" t="s">
        <v>2364</v>
      </c>
      <c r="C119" s="303" t="s">
        <v>2393</v>
      </c>
      <c r="D119" s="168"/>
      <c r="E119" s="170"/>
      <c r="F119" s="171"/>
      <c r="G119" s="182"/>
      <c r="H119" s="179"/>
      <c r="I119" s="170"/>
      <c r="J119" s="171"/>
      <c r="K119" s="205"/>
      <c r="L119" s="171"/>
      <c r="M119" s="199"/>
      <c r="N119" s="171"/>
      <c r="O119" s="205"/>
      <c r="P119" s="241"/>
      <c r="Q119" s="199"/>
      <c r="R119" s="171"/>
      <c r="S119" s="205">
        <v>0</v>
      </c>
      <c r="T119" s="241">
        <v>0</v>
      </c>
      <c r="U119" s="241">
        <v>20265.169999999998</v>
      </c>
      <c r="V119" s="171"/>
      <c r="W119" s="56">
        <v>23827.69</v>
      </c>
      <c r="X119" s="658">
        <f t="shared" si="28"/>
        <v>0</v>
      </c>
      <c r="Y119" s="659">
        <v>33778.189999999995</v>
      </c>
      <c r="Z119" s="171"/>
      <c r="AA119" s="56"/>
      <c r="AB119" s="241">
        <f t="shared" si="29"/>
        <v>0</v>
      </c>
      <c r="AC119" s="241"/>
      <c r="AE119" s="531">
        <f t="shared" si="25"/>
        <v>0</v>
      </c>
      <c r="AG119" t="s">
        <v>2364</v>
      </c>
      <c r="AH119" t="s">
        <v>2454</v>
      </c>
      <c r="AI119" s="199">
        <v>27093.42</v>
      </c>
      <c r="AJ119" s="199">
        <v>0</v>
      </c>
      <c r="AK119" s="199">
        <v>0</v>
      </c>
      <c r="AL119" s="199">
        <v>0</v>
      </c>
      <c r="AM119" s="199">
        <v>3953.74</v>
      </c>
      <c r="AN119" s="199">
        <v>755.51</v>
      </c>
      <c r="AO119" s="199">
        <v>659.71</v>
      </c>
      <c r="AP119" s="199">
        <v>1210.98</v>
      </c>
      <c r="AQ119" s="199">
        <v>104.83</v>
      </c>
      <c r="AR119" s="199">
        <v>0</v>
      </c>
      <c r="AS119" s="199">
        <v>33778.189999999995</v>
      </c>
      <c r="AT119"/>
      <c r="AU119"/>
      <c r="AV119" t="str">
        <f t="shared" si="26"/>
        <v>17919</v>
      </c>
      <c r="AW119" s="241">
        <f t="shared" si="27"/>
        <v>33778.189999999995</v>
      </c>
      <c r="AY119" s="167">
        <f t="shared" si="30"/>
        <v>0</v>
      </c>
      <c r="BA119" s="197">
        <v>112</v>
      </c>
      <c r="BB119" s="298" t="s">
        <v>2364</v>
      </c>
      <c r="BC119" s="303" t="s">
        <v>2393</v>
      </c>
      <c r="BD119" s="56">
        <v>23827.69</v>
      </c>
    </row>
    <row r="120" spans="1:56">
      <c r="A120" s="197">
        <v>113</v>
      </c>
      <c r="B120" s="172" t="s">
        <v>1554</v>
      </c>
      <c r="C120" s="73" t="s">
        <v>1712</v>
      </c>
      <c r="D120" s="168">
        <v>8074.01</v>
      </c>
      <c r="E120" s="170">
        <v>24853.040000000001</v>
      </c>
      <c r="F120" s="171">
        <f>+D120+E120</f>
        <v>32927.050000000003</v>
      </c>
      <c r="G120" s="182"/>
      <c r="H120" s="180">
        <v>32927.050000000003</v>
      </c>
      <c r="I120" s="170">
        <v>56523.880000000005</v>
      </c>
      <c r="J120" s="171">
        <f>+H120+I120</f>
        <v>89450.930000000008</v>
      </c>
      <c r="K120" s="205">
        <v>18167.03</v>
      </c>
      <c r="L120" s="171">
        <v>71283.900000000009</v>
      </c>
      <c r="M120" s="199">
        <v>76852.579999999987</v>
      </c>
      <c r="N120" s="171">
        <f t="shared" ref="N120:N151" si="37">+L120+M120</f>
        <v>148136.47999999998</v>
      </c>
      <c r="O120" s="205">
        <v>48203.12</v>
      </c>
      <c r="P120" s="241">
        <v>99933.359999999986</v>
      </c>
      <c r="Q120" s="199">
        <v>84652.2</v>
      </c>
      <c r="R120" s="171">
        <f t="shared" ref="R120:R151" si="38">+P120+Q120</f>
        <v>184585.56</v>
      </c>
      <c r="S120" s="205">
        <v>51833.94</v>
      </c>
      <c r="T120" s="241">
        <v>132751.62</v>
      </c>
      <c r="U120" s="241">
        <v>72810.13</v>
      </c>
      <c r="V120" s="171">
        <f t="shared" ref="V120:V151" si="39">+T120+U120</f>
        <v>205561.75</v>
      </c>
      <c r="W120" s="56">
        <v>72413.58</v>
      </c>
      <c r="X120" s="658">
        <f t="shared" si="28"/>
        <v>133148.16999999998</v>
      </c>
      <c r="Y120" s="659">
        <v>80173.52</v>
      </c>
      <c r="Z120" s="171">
        <f t="shared" ref="Z120:Z151" si="40">+X120+Y120</f>
        <v>213321.69</v>
      </c>
      <c r="AA120" s="56"/>
      <c r="AB120" s="241">
        <f t="shared" si="29"/>
        <v>213321.69</v>
      </c>
      <c r="AC120" s="241"/>
      <c r="AE120" s="531">
        <f t="shared" si="25"/>
        <v>0</v>
      </c>
      <c r="AG120" t="s">
        <v>1554</v>
      </c>
      <c r="AH120" t="s">
        <v>2021</v>
      </c>
      <c r="AI120" s="199">
        <v>60505.64</v>
      </c>
      <c r="AJ120" s="199">
        <v>0</v>
      </c>
      <c r="AK120" s="199">
        <v>0</v>
      </c>
      <c r="AL120" s="199">
        <v>0</v>
      </c>
      <c r="AM120" s="199">
        <v>9220.92</v>
      </c>
      <c r="AN120" s="199">
        <v>3766.69</v>
      </c>
      <c r="AO120" s="199">
        <v>2555.71</v>
      </c>
      <c r="AP120" s="199">
        <v>3867.91</v>
      </c>
      <c r="AQ120" s="199">
        <v>256.64999999999998</v>
      </c>
      <c r="AR120" s="199">
        <v>0</v>
      </c>
      <c r="AS120" s="199">
        <v>80173.52</v>
      </c>
      <c r="AT120"/>
      <c r="AU120"/>
      <c r="AV120" t="str">
        <f t="shared" si="26"/>
        <v>17911</v>
      </c>
      <c r="AW120" s="241">
        <f t="shared" si="27"/>
        <v>80173.52</v>
      </c>
      <c r="AY120" s="167">
        <f t="shared" si="30"/>
        <v>0</v>
      </c>
      <c r="BA120" s="197">
        <v>113</v>
      </c>
      <c r="BB120" s="172" t="s">
        <v>1554</v>
      </c>
      <c r="BC120" s="73" t="s">
        <v>1712</v>
      </c>
      <c r="BD120" s="56">
        <v>72413.58</v>
      </c>
    </row>
    <row r="121" spans="1:56">
      <c r="A121" s="197">
        <v>114</v>
      </c>
      <c r="B121" s="172" t="s">
        <v>1625</v>
      </c>
      <c r="C121" s="73" t="s">
        <v>1626</v>
      </c>
      <c r="D121" s="168"/>
      <c r="E121" s="170"/>
      <c r="F121" s="171">
        <f>+D121+E121</f>
        <v>0</v>
      </c>
      <c r="G121" s="182"/>
      <c r="H121" s="180">
        <v>0</v>
      </c>
      <c r="I121" s="170">
        <v>15807.9</v>
      </c>
      <c r="J121" s="171">
        <f>+H121+I121</f>
        <v>15807.9</v>
      </c>
      <c r="K121" s="205">
        <v>5499.26</v>
      </c>
      <c r="L121" s="171">
        <v>10308.64</v>
      </c>
      <c r="M121" s="199">
        <v>35401.279999999999</v>
      </c>
      <c r="N121" s="171">
        <f t="shared" si="37"/>
        <v>45709.919999999998</v>
      </c>
      <c r="O121" s="205">
        <v>27028.22</v>
      </c>
      <c r="P121" s="241">
        <v>18681.699999999997</v>
      </c>
      <c r="Q121" s="199">
        <v>48226.229999999996</v>
      </c>
      <c r="R121" s="171">
        <f t="shared" si="38"/>
        <v>66907.929999999993</v>
      </c>
      <c r="S121" s="205">
        <v>28515.58</v>
      </c>
      <c r="T121" s="241">
        <v>38392.349999999991</v>
      </c>
      <c r="U121" s="241">
        <v>46742.939999999995</v>
      </c>
      <c r="V121" s="171">
        <f t="shared" si="39"/>
        <v>85135.289999999979</v>
      </c>
      <c r="W121" s="56">
        <v>53843.340000000004</v>
      </c>
      <c r="X121" s="658">
        <f t="shared" si="28"/>
        <v>31291.949999999975</v>
      </c>
      <c r="Y121" s="659">
        <v>59067.93</v>
      </c>
      <c r="Z121" s="171">
        <f t="shared" si="40"/>
        <v>90359.879999999976</v>
      </c>
      <c r="AA121" s="56"/>
      <c r="AB121" s="241">
        <f t="shared" si="29"/>
        <v>90359.879999999976</v>
      </c>
      <c r="AC121" s="241"/>
      <c r="AE121" s="531">
        <f t="shared" si="25"/>
        <v>0</v>
      </c>
      <c r="AG121" t="s">
        <v>1625</v>
      </c>
      <c r="AH121" t="s">
        <v>2022</v>
      </c>
      <c r="AI121" s="199">
        <v>48048.82</v>
      </c>
      <c r="AJ121" s="199">
        <v>0</v>
      </c>
      <c r="AK121" s="199">
        <v>0</v>
      </c>
      <c r="AL121" s="199">
        <v>0</v>
      </c>
      <c r="AM121" s="199">
        <v>4666</v>
      </c>
      <c r="AN121" s="199">
        <v>2073.12</v>
      </c>
      <c r="AO121" s="199">
        <v>1651.99</v>
      </c>
      <c r="AP121" s="199">
        <v>2427.38</v>
      </c>
      <c r="AQ121" s="199">
        <v>200.62</v>
      </c>
      <c r="AR121" s="199">
        <v>0</v>
      </c>
      <c r="AS121" s="199">
        <v>59067.93</v>
      </c>
      <c r="AT121"/>
      <c r="AU121"/>
      <c r="AV121" t="str">
        <f t="shared" si="26"/>
        <v>17916</v>
      </c>
      <c r="AW121" s="241">
        <f t="shared" si="27"/>
        <v>59067.93</v>
      </c>
      <c r="AY121" s="167">
        <f t="shared" si="30"/>
        <v>0</v>
      </c>
      <c r="BA121" s="197">
        <v>114</v>
      </c>
      <c r="BB121" s="172" t="s">
        <v>1625</v>
      </c>
      <c r="BC121" s="73" t="s">
        <v>1626</v>
      </c>
      <c r="BD121" s="56">
        <v>53843.340000000004</v>
      </c>
    </row>
    <row r="122" spans="1:56">
      <c r="A122" s="197">
        <v>115</v>
      </c>
      <c r="B122" s="172" t="s">
        <v>1687</v>
      </c>
      <c r="C122" s="172" t="s">
        <v>1706</v>
      </c>
      <c r="D122" s="168"/>
      <c r="E122" s="170"/>
      <c r="F122" s="171"/>
      <c r="G122" s="182"/>
      <c r="H122" s="179"/>
      <c r="I122" s="170"/>
      <c r="J122" s="171"/>
      <c r="K122" s="205"/>
      <c r="L122" s="171">
        <v>0</v>
      </c>
      <c r="M122" s="199">
        <v>32456.47</v>
      </c>
      <c r="N122" s="171">
        <f t="shared" si="37"/>
        <v>32456.47</v>
      </c>
      <c r="O122" s="205">
        <v>28972.25</v>
      </c>
      <c r="P122" s="241">
        <v>3484.2200000000012</v>
      </c>
      <c r="Q122" s="199">
        <v>45847.979999999996</v>
      </c>
      <c r="R122" s="171">
        <f t="shared" si="38"/>
        <v>49332.2</v>
      </c>
      <c r="S122" s="205">
        <v>32999.480000000003</v>
      </c>
      <c r="T122" s="241">
        <v>16332.719999999994</v>
      </c>
      <c r="U122" s="241">
        <v>39797.53</v>
      </c>
      <c r="V122" s="171">
        <f t="shared" si="39"/>
        <v>56130.249999999993</v>
      </c>
      <c r="W122" s="56">
        <v>33697.629999999997</v>
      </c>
      <c r="X122" s="658">
        <f t="shared" si="28"/>
        <v>22432.619999999995</v>
      </c>
      <c r="Y122" s="659">
        <v>35817.81</v>
      </c>
      <c r="Z122" s="171">
        <f t="shared" si="40"/>
        <v>58250.429999999993</v>
      </c>
      <c r="AA122" s="56"/>
      <c r="AB122" s="241">
        <f t="shared" si="29"/>
        <v>58250.429999999993</v>
      </c>
      <c r="AC122" s="241"/>
      <c r="AE122" s="531">
        <f t="shared" si="25"/>
        <v>0</v>
      </c>
      <c r="AG122" t="s">
        <v>1687</v>
      </c>
      <c r="AH122" t="s">
        <v>2024</v>
      </c>
      <c r="AI122" s="199">
        <v>27294.080000000002</v>
      </c>
      <c r="AJ122" s="199">
        <v>0</v>
      </c>
      <c r="AK122" s="199">
        <v>0</v>
      </c>
      <c r="AL122" s="199">
        <v>0</v>
      </c>
      <c r="AM122" s="199">
        <v>4867.93</v>
      </c>
      <c r="AN122" s="199">
        <v>1794.45</v>
      </c>
      <c r="AO122" s="199">
        <v>1260.92</v>
      </c>
      <c r="AP122" s="199">
        <v>488.92</v>
      </c>
      <c r="AQ122" s="199">
        <v>111.51</v>
      </c>
      <c r="AR122" s="199">
        <v>0</v>
      </c>
      <c r="AS122" s="199">
        <v>35817.81</v>
      </c>
      <c r="AT122"/>
      <c r="AU122"/>
      <c r="AV122" t="str">
        <f t="shared" si="26"/>
        <v>27902</v>
      </c>
      <c r="AW122" s="241">
        <f t="shared" si="27"/>
        <v>35817.81</v>
      </c>
      <c r="AY122" s="167">
        <f t="shared" si="30"/>
        <v>0</v>
      </c>
      <c r="BA122" s="197">
        <v>115</v>
      </c>
      <c r="BB122" s="172" t="s">
        <v>1687</v>
      </c>
      <c r="BC122" s="172" t="s">
        <v>1706</v>
      </c>
      <c r="BD122" s="56">
        <v>33697.629999999997</v>
      </c>
    </row>
    <row r="123" spans="1:56">
      <c r="A123" s="197">
        <v>116</v>
      </c>
      <c r="B123" s="73" t="s">
        <v>263</v>
      </c>
      <c r="C123" s="73" t="s">
        <v>1299</v>
      </c>
      <c r="D123" s="168">
        <v>986.35000000000036</v>
      </c>
      <c r="E123" s="170">
        <v>18685.43</v>
      </c>
      <c r="F123" s="171">
        <f t="shared" ref="F123:F154" si="41">+D123+E123</f>
        <v>19671.78</v>
      </c>
      <c r="G123" s="182">
        <v>23522.12</v>
      </c>
      <c r="H123" s="179">
        <v>0</v>
      </c>
      <c r="I123" s="170">
        <v>28277.91</v>
      </c>
      <c r="J123" s="171">
        <f t="shared" ref="J123:J154" si="42">+H123+I123</f>
        <v>28277.91</v>
      </c>
      <c r="K123" s="205">
        <v>34808.25</v>
      </c>
      <c r="L123" s="171">
        <v>0</v>
      </c>
      <c r="M123" s="199">
        <v>29681.25</v>
      </c>
      <c r="N123" s="171">
        <f t="shared" si="37"/>
        <v>29681.25</v>
      </c>
      <c r="O123" s="205">
        <v>16687.509999999998</v>
      </c>
      <c r="P123" s="241">
        <v>12993.740000000002</v>
      </c>
      <c r="Q123" s="199">
        <v>30549.58</v>
      </c>
      <c r="R123" s="171">
        <f t="shared" si="38"/>
        <v>43543.320000000007</v>
      </c>
      <c r="S123" s="205">
        <v>27837.18</v>
      </c>
      <c r="T123" s="241">
        <v>15706.140000000007</v>
      </c>
      <c r="U123" s="241">
        <v>29507.91</v>
      </c>
      <c r="V123" s="171">
        <f t="shared" si="39"/>
        <v>45214.05</v>
      </c>
      <c r="W123" s="56">
        <v>61301.98</v>
      </c>
      <c r="X123" s="658">
        <f t="shared" si="28"/>
        <v>0</v>
      </c>
      <c r="Y123" s="659">
        <v>30048.100000000002</v>
      </c>
      <c r="Z123" s="171">
        <f t="shared" si="40"/>
        <v>30048.100000000002</v>
      </c>
      <c r="AA123" s="56"/>
      <c r="AB123" s="241">
        <f t="shared" si="29"/>
        <v>30048.100000000002</v>
      </c>
      <c r="AC123" s="241"/>
      <c r="AE123" s="531">
        <f t="shared" si="25"/>
        <v>0</v>
      </c>
      <c r="AG123" t="s">
        <v>263</v>
      </c>
      <c r="AH123" t="s">
        <v>1770</v>
      </c>
      <c r="AI123" s="199">
        <v>24604.07</v>
      </c>
      <c r="AJ123" s="199">
        <v>559.08000000000004</v>
      </c>
      <c r="AK123" s="199">
        <v>245.08</v>
      </c>
      <c r="AL123" s="199">
        <v>0</v>
      </c>
      <c r="AM123" s="199">
        <v>2322.37</v>
      </c>
      <c r="AN123" s="199">
        <v>1488.84</v>
      </c>
      <c r="AO123" s="199">
        <v>828.66</v>
      </c>
      <c r="AP123" s="199">
        <v>0</v>
      </c>
      <c r="AQ123" s="199">
        <v>0</v>
      </c>
      <c r="AR123" s="199">
        <v>0</v>
      </c>
      <c r="AS123" s="199">
        <v>30048.100000000002</v>
      </c>
      <c r="AT123"/>
      <c r="AU123"/>
      <c r="AV123" t="str">
        <f t="shared" si="26"/>
        <v>10070</v>
      </c>
      <c r="AW123" s="241">
        <f t="shared" si="27"/>
        <v>30048.100000000002</v>
      </c>
      <c r="AY123" s="167">
        <f t="shared" si="30"/>
        <v>0</v>
      </c>
      <c r="BA123" s="197">
        <v>116</v>
      </c>
      <c r="BB123" s="73" t="s">
        <v>263</v>
      </c>
      <c r="BC123" s="73" t="s">
        <v>1299</v>
      </c>
      <c r="BD123" s="56">
        <v>61301.98</v>
      </c>
    </row>
    <row r="124" spans="1:56">
      <c r="A124" s="197">
        <v>117</v>
      </c>
      <c r="B124" s="73" t="s">
        <v>576</v>
      </c>
      <c r="C124" s="73" t="s">
        <v>1300</v>
      </c>
      <c r="D124" s="168">
        <v>167.45000000000005</v>
      </c>
      <c r="E124" s="170">
        <v>4084.3900000000003</v>
      </c>
      <c r="F124" s="171">
        <f t="shared" si="41"/>
        <v>4251.84</v>
      </c>
      <c r="G124" s="182">
        <v>3927.77</v>
      </c>
      <c r="H124" s="179">
        <v>324.07000000000016</v>
      </c>
      <c r="I124" s="170">
        <v>6026.2199999999993</v>
      </c>
      <c r="J124" s="171">
        <f t="shared" si="42"/>
        <v>6350.2899999999991</v>
      </c>
      <c r="K124" s="205">
        <v>6350.29</v>
      </c>
      <c r="L124" s="171">
        <v>0</v>
      </c>
      <c r="M124" s="199">
        <v>6118.5700000000006</v>
      </c>
      <c r="N124" s="171">
        <f t="shared" si="37"/>
        <v>6118.5700000000006</v>
      </c>
      <c r="O124" s="205">
        <v>6118.57</v>
      </c>
      <c r="P124" s="241">
        <v>9.0949470177292824E-13</v>
      </c>
      <c r="Q124" s="199">
        <v>5499.09</v>
      </c>
      <c r="R124" s="171">
        <f t="shared" si="38"/>
        <v>5499.0900000000011</v>
      </c>
      <c r="S124" s="205">
        <v>5499.09</v>
      </c>
      <c r="T124" s="241">
        <v>9.0949470177292824E-13</v>
      </c>
      <c r="U124" s="241">
        <v>6777.36</v>
      </c>
      <c r="V124" s="171">
        <f t="shared" si="39"/>
        <v>6777.3600000000006</v>
      </c>
      <c r="W124" s="56">
        <v>6777.3600000000006</v>
      </c>
      <c r="X124" s="658">
        <f t="shared" si="28"/>
        <v>0</v>
      </c>
      <c r="Y124" s="659">
        <v>7524.0400000000009</v>
      </c>
      <c r="Z124" s="171">
        <f t="shared" si="40"/>
        <v>7524.0400000000009</v>
      </c>
      <c r="AA124" s="56"/>
      <c r="AB124" s="241">
        <f t="shared" si="29"/>
        <v>7524.0400000000009</v>
      </c>
      <c r="AC124" s="241"/>
      <c r="AE124" s="531">
        <f t="shared" si="25"/>
        <v>0</v>
      </c>
      <c r="AG124" t="s">
        <v>576</v>
      </c>
      <c r="AH124" t="s">
        <v>1929</v>
      </c>
      <c r="AI124" s="199">
        <v>6582.68</v>
      </c>
      <c r="AJ124" s="199">
        <v>0</v>
      </c>
      <c r="AK124" s="199">
        <v>0</v>
      </c>
      <c r="AL124" s="199">
        <v>0</v>
      </c>
      <c r="AM124" s="199">
        <v>670.24</v>
      </c>
      <c r="AN124" s="199">
        <v>144.6</v>
      </c>
      <c r="AO124" s="199">
        <v>126.52</v>
      </c>
      <c r="AP124" s="199">
        <v>0</v>
      </c>
      <c r="AQ124" s="199">
        <v>0</v>
      </c>
      <c r="AR124" s="199">
        <v>0</v>
      </c>
      <c r="AS124" s="199">
        <v>7524.0400000000009</v>
      </c>
      <c r="AT124"/>
      <c r="AU124"/>
      <c r="AV124" t="str">
        <f t="shared" si="26"/>
        <v>31063</v>
      </c>
      <c r="AW124" s="241">
        <f t="shared" si="27"/>
        <v>7524.0400000000009</v>
      </c>
      <c r="AY124" s="167">
        <f t="shared" si="30"/>
        <v>0</v>
      </c>
      <c r="BA124" s="197">
        <v>117</v>
      </c>
      <c r="BB124" s="73" t="s">
        <v>576</v>
      </c>
      <c r="BC124" s="73" t="s">
        <v>1300</v>
      </c>
      <c r="BD124" s="56">
        <v>6777.3600000000006</v>
      </c>
    </row>
    <row r="125" spans="1:56">
      <c r="A125" s="197">
        <v>118</v>
      </c>
      <c r="B125" s="73" t="s">
        <v>364</v>
      </c>
      <c r="C125" s="73" t="s">
        <v>1301</v>
      </c>
      <c r="D125" s="168">
        <v>49273.380000000005</v>
      </c>
      <c r="E125" s="170">
        <v>1362594.86</v>
      </c>
      <c r="F125" s="171">
        <f t="shared" si="41"/>
        <v>1411868.2400000002</v>
      </c>
      <c r="G125" s="182">
        <v>1242253.6399999999</v>
      </c>
      <c r="H125" s="179">
        <v>169614.60000000033</v>
      </c>
      <c r="I125" s="170">
        <v>1918688.67</v>
      </c>
      <c r="J125" s="171">
        <f t="shared" si="42"/>
        <v>2088303.2700000003</v>
      </c>
      <c r="K125" s="205">
        <v>1805937.33</v>
      </c>
      <c r="L125" s="171">
        <v>282365.94000000018</v>
      </c>
      <c r="M125" s="199">
        <v>1895792.86</v>
      </c>
      <c r="N125" s="171">
        <f t="shared" si="37"/>
        <v>2178158.8000000003</v>
      </c>
      <c r="O125" s="205">
        <v>1754876.5199999996</v>
      </c>
      <c r="P125" s="241">
        <v>423282.28000000073</v>
      </c>
      <c r="Q125" s="199">
        <v>2064749.8000000003</v>
      </c>
      <c r="R125" s="171">
        <f t="shared" si="38"/>
        <v>2488032.080000001</v>
      </c>
      <c r="S125" s="205">
        <v>2095183.81</v>
      </c>
      <c r="T125" s="241">
        <v>392848.27000000095</v>
      </c>
      <c r="U125" s="241">
        <v>2082691.46</v>
      </c>
      <c r="V125" s="171">
        <f t="shared" si="39"/>
        <v>2475539.7300000009</v>
      </c>
      <c r="W125" s="56">
        <v>1939894.3399999996</v>
      </c>
      <c r="X125" s="658">
        <f t="shared" si="28"/>
        <v>535645.39000000129</v>
      </c>
      <c r="Y125" s="659">
        <v>2175168.2199999997</v>
      </c>
      <c r="Z125" s="171">
        <f t="shared" si="40"/>
        <v>2710813.6100000013</v>
      </c>
      <c r="AA125" s="56"/>
      <c r="AB125" s="241">
        <f t="shared" si="29"/>
        <v>2710813.6100000013</v>
      </c>
      <c r="AC125" s="241"/>
      <c r="AE125" s="531">
        <f t="shared" si="25"/>
        <v>0</v>
      </c>
      <c r="AG125" t="s">
        <v>364</v>
      </c>
      <c r="AH125" t="s">
        <v>1822</v>
      </c>
      <c r="AI125" s="199">
        <v>1745978.9</v>
      </c>
      <c r="AJ125" s="199">
        <v>105391.44</v>
      </c>
      <c r="AK125" s="199">
        <v>5608.47</v>
      </c>
      <c r="AL125" s="199">
        <v>0</v>
      </c>
      <c r="AM125" s="199">
        <v>225836.79999999999</v>
      </c>
      <c r="AN125" s="199">
        <v>28456.23</v>
      </c>
      <c r="AO125" s="199">
        <v>0</v>
      </c>
      <c r="AP125" s="199">
        <v>44309.23</v>
      </c>
      <c r="AQ125" s="199">
        <v>9733.02</v>
      </c>
      <c r="AR125" s="199">
        <v>9854.1299999999992</v>
      </c>
      <c r="AS125" s="199">
        <v>2175168.2199999997</v>
      </c>
      <c r="AT125"/>
      <c r="AU125"/>
      <c r="AV125" t="str">
        <f t="shared" si="26"/>
        <v>17411</v>
      </c>
      <c r="AW125" s="241">
        <f t="shared" si="27"/>
        <v>2175168.2199999997</v>
      </c>
      <c r="AY125" s="167">
        <f t="shared" si="30"/>
        <v>0</v>
      </c>
      <c r="BA125" s="197">
        <v>118</v>
      </c>
      <c r="BB125" s="73" t="s">
        <v>364</v>
      </c>
      <c r="BC125" s="73" t="s">
        <v>1301</v>
      </c>
      <c r="BD125" s="56">
        <v>1939894.3399999996</v>
      </c>
    </row>
    <row r="126" spans="1:56">
      <c r="A126" s="197">
        <v>119</v>
      </c>
      <c r="B126" s="73" t="s">
        <v>273</v>
      </c>
      <c r="C126" s="73" t="s">
        <v>1302</v>
      </c>
      <c r="D126" s="168">
        <v>0</v>
      </c>
      <c r="E126" s="170">
        <v>12338.36</v>
      </c>
      <c r="F126" s="171">
        <f t="shared" si="41"/>
        <v>12338.36</v>
      </c>
      <c r="G126" s="182">
        <v>12440.51</v>
      </c>
      <c r="H126" s="179">
        <v>0</v>
      </c>
      <c r="I126" s="170">
        <v>18812.93</v>
      </c>
      <c r="J126" s="171">
        <f t="shared" si="42"/>
        <v>18812.93</v>
      </c>
      <c r="K126" s="205">
        <v>18587.68</v>
      </c>
      <c r="L126" s="171">
        <v>225.25</v>
      </c>
      <c r="M126" s="199">
        <v>18744.759999999998</v>
      </c>
      <c r="N126" s="171">
        <f t="shared" si="37"/>
        <v>18970.009999999998</v>
      </c>
      <c r="O126" s="205">
        <v>13557.96</v>
      </c>
      <c r="P126" s="241">
        <v>5412.0499999999993</v>
      </c>
      <c r="Q126" s="199">
        <v>19860.97</v>
      </c>
      <c r="R126" s="171">
        <f t="shared" si="38"/>
        <v>25273.02</v>
      </c>
      <c r="S126" s="205">
        <v>25158.25</v>
      </c>
      <c r="T126" s="241">
        <v>114.77000000000044</v>
      </c>
      <c r="U126" s="241">
        <v>19348.5</v>
      </c>
      <c r="V126" s="171">
        <f t="shared" si="39"/>
        <v>19463.27</v>
      </c>
      <c r="W126" s="56"/>
      <c r="X126" s="658">
        <f t="shared" si="28"/>
        <v>19463.27</v>
      </c>
      <c r="Y126" s="659">
        <v>20241.47</v>
      </c>
      <c r="Z126" s="171">
        <f t="shared" si="40"/>
        <v>39704.740000000005</v>
      </c>
      <c r="AA126" s="56"/>
      <c r="AB126" s="241">
        <f t="shared" si="29"/>
        <v>39704.740000000005</v>
      </c>
      <c r="AC126" s="241"/>
      <c r="AE126" s="531">
        <f t="shared" si="25"/>
        <v>0</v>
      </c>
      <c r="AG126" t="s">
        <v>273</v>
      </c>
      <c r="AH126" t="s">
        <v>1775</v>
      </c>
      <c r="AI126" s="199">
        <v>19234.349999999999</v>
      </c>
      <c r="AJ126" s="199">
        <v>349.63</v>
      </c>
      <c r="AK126" s="199">
        <v>82</v>
      </c>
      <c r="AL126" s="199">
        <v>0</v>
      </c>
      <c r="AM126" s="199">
        <v>0</v>
      </c>
      <c r="AN126" s="199">
        <v>331.06</v>
      </c>
      <c r="AO126" s="199">
        <v>219.68</v>
      </c>
      <c r="AP126" s="199">
        <v>0</v>
      </c>
      <c r="AQ126" s="199">
        <v>24.75</v>
      </c>
      <c r="AR126" s="199">
        <v>0</v>
      </c>
      <c r="AS126" s="199">
        <v>20241.47</v>
      </c>
      <c r="AT126"/>
      <c r="AU126"/>
      <c r="AV126" t="str">
        <f t="shared" si="26"/>
        <v>11056</v>
      </c>
      <c r="AW126" s="241">
        <f t="shared" si="27"/>
        <v>20241.47</v>
      </c>
      <c r="AY126" s="167">
        <f t="shared" si="30"/>
        <v>0</v>
      </c>
      <c r="BA126" s="197">
        <v>119</v>
      </c>
      <c r="BB126" s="73" t="s">
        <v>273</v>
      </c>
      <c r="BC126" s="73" t="s">
        <v>1302</v>
      </c>
      <c r="BD126" s="56"/>
    </row>
    <row r="127" spans="1:56">
      <c r="A127" s="197">
        <v>120</v>
      </c>
      <c r="B127" s="73" t="s">
        <v>239</v>
      </c>
      <c r="C127" s="73" t="s">
        <v>1303</v>
      </c>
      <c r="D127" s="168">
        <v>0</v>
      </c>
      <c r="E127" s="170">
        <v>52375.3</v>
      </c>
      <c r="F127" s="171">
        <f t="shared" si="41"/>
        <v>52375.3</v>
      </c>
      <c r="G127" s="182"/>
      <c r="H127" s="179">
        <v>52375.3</v>
      </c>
      <c r="I127" s="170">
        <v>78196.350000000006</v>
      </c>
      <c r="J127" s="171">
        <f t="shared" si="42"/>
        <v>130571.65000000001</v>
      </c>
      <c r="K127" s="205"/>
      <c r="L127" s="171">
        <v>130571.65000000001</v>
      </c>
      <c r="M127" s="199">
        <v>78793.759999999995</v>
      </c>
      <c r="N127" s="171">
        <f t="shared" si="37"/>
        <v>209365.41</v>
      </c>
      <c r="O127" s="205">
        <v>97649.38</v>
      </c>
      <c r="P127" s="241">
        <v>111716.03</v>
      </c>
      <c r="Q127" s="199">
        <v>93551.75</v>
      </c>
      <c r="R127" s="171">
        <f t="shared" si="38"/>
        <v>205267.78</v>
      </c>
      <c r="S127" s="205">
        <v>84720.45</v>
      </c>
      <c r="T127" s="241">
        <v>120547.33</v>
      </c>
      <c r="U127" s="241">
        <v>90776.569999999992</v>
      </c>
      <c r="V127" s="171">
        <f t="shared" si="39"/>
        <v>211323.9</v>
      </c>
      <c r="W127" s="56">
        <v>111414.35</v>
      </c>
      <c r="X127" s="658">
        <f t="shared" si="28"/>
        <v>99909.549999999988</v>
      </c>
      <c r="Y127" s="659">
        <v>99820.88</v>
      </c>
      <c r="Z127" s="171">
        <f t="shared" si="40"/>
        <v>199730.43</v>
      </c>
      <c r="AA127" s="56"/>
      <c r="AB127" s="241">
        <f t="shared" si="29"/>
        <v>199730.43</v>
      </c>
      <c r="AC127" s="241"/>
      <c r="AE127" s="531">
        <f t="shared" si="25"/>
        <v>0</v>
      </c>
      <c r="AG127" t="s">
        <v>239</v>
      </c>
      <c r="AH127" t="s">
        <v>1758</v>
      </c>
      <c r="AI127" s="199">
        <v>87827.48</v>
      </c>
      <c r="AJ127" s="199">
        <v>2619.25</v>
      </c>
      <c r="AK127" s="199">
        <v>462.58</v>
      </c>
      <c r="AL127" s="199">
        <v>0</v>
      </c>
      <c r="AM127" s="199">
        <v>0</v>
      </c>
      <c r="AN127" s="199">
        <v>3976.35</v>
      </c>
      <c r="AO127" s="199">
        <v>0</v>
      </c>
      <c r="AP127" s="199">
        <v>868.49</v>
      </c>
      <c r="AQ127" s="199">
        <v>0</v>
      </c>
      <c r="AR127" s="199">
        <v>4066.73</v>
      </c>
      <c r="AS127" s="199">
        <v>99820.88</v>
      </c>
      <c r="AT127"/>
      <c r="AU127"/>
      <c r="AV127" t="str">
        <f t="shared" si="26"/>
        <v>08402</v>
      </c>
      <c r="AW127" s="241">
        <f t="shared" si="27"/>
        <v>99820.88</v>
      </c>
      <c r="AY127" s="167">
        <f t="shared" si="30"/>
        <v>0</v>
      </c>
      <c r="BA127" s="197">
        <v>120</v>
      </c>
      <c r="BB127" s="73" t="s">
        <v>239</v>
      </c>
      <c r="BC127" s="73" t="s">
        <v>1303</v>
      </c>
      <c r="BD127" s="56">
        <v>111414.35</v>
      </c>
    </row>
    <row r="128" spans="1:56">
      <c r="A128" s="197">
        <v>121</v>
      </c>
      <c r="B128" s="73" t="s">
        <v>257</v>
      </c>
      <c r="C128" s="73" t="s">
        <v>1304</v>
      </c>
      <c r="D128" s="168">
        <v>116.76000000000022</v>
      </c>
      <c r="E128" s="170">
        <v>2997.93</v>
      </c>
      <c r="F128" s="171">
        <f t="shared" si="41"/>
        <v>3114.69</v>
      </c>
      <c r="G128" s="182"/>
      <c r="H128" s="179">
        <v>3114.69</v>
      </c>
      <c r="I128" s="170">
        <v>4421.53</v>
      </c>
      <c r="J128" s="171">
        <f t="shared" si="42"/>
        <v>7536.2199999999993</v>
      </c>
      <c r="K128" s="205">
        <v>6257.4</v>
      </c>
      <c r="L128" s="171">
        <v>1278.8199999999997</v>
      </c>
      <c r="M128" s="199">
        <v>4037.26</v>
      </c>
      <c r="N128" s="171">
        <f t="shared" si="37"/>
        <v>5316.08</v>
      </c>
      <c r="O128" s="205"/>
      <c r="P128" s="241">
        <v>5316.08</v>
      </c>
      <c r="Q128" s="199">
        <v>5134.91</v>
      </c>
      <c r="R128" s="171">
        <f t="shared" si="38"/>
        <v>10450.99</v>
      </c>
      <c r="S128" s="205">
        <v>0</v>
      </c>
      <c r="T128" s="241">
        <v>10450.99</v>
      </c>
      <c r="U128" s="241">
        <v>5119.9400000000005</v>
      </c>
      <c r="V128" s="171">
        <f t="shared" si="39"/>
        <v>15570.93</v>
      </c>
      <c r="W128" s="56">
        <v>7157.37</v>
      </c>
      <c r="X128" s="658">
        <f t="shared" si="28"/>
        <v>8413.5600000000013</v>
      </c>
      <c r="Y128" s="659">
        <v>5323.54</v>
      </c>
      <c r="Z128" s="171">
        <f t="shared" si="40"/>
        <v>13737.100000000002</v>
      </c>
      <c r="AA128" s="56"/>
      <c r="AB128" s="241">
        <f t="shared" si="29"/>
        <v>13737.100000000002</v>
      </c>
      <c r="AC128" s="241"/>
      <c r="AE128" s="531">
        <f t="shared" si="25"/>
        <v>0</v>
      </c>
      <c r="AG128" t="s">
        <v>257</v>
      </c>
      <c r="AH128" t="s">
        <v>1767</v>
      </c>
      <c r="AI128" s="199">
        <v>4230.62</v>
      </c>
      <c r="AJ128" s="199">
        <v>0</v>
      </c>
      <c r="AK128" s="199">
        <v>0</v>
      </c>
      <c r="AL128" s="199">
        <v>0</v>
      </c>
      <c r="AM128" s="199">
        <v>498.6</v>
      </c>
      <c r="AN128" s="199">
        <v>398.25</v>
      </c>
      <c r="AO128" s="199">
        <v>196.07</v>
      </c>
      <c r="AP128" s="199">
        <v>0</v>
      </c>
      <c r="AQ128" s="199">
        <v>0</v>
      </c>
      <c r="AR128" s="199">
        <v>0</v>
      </c>
      <c r="AS128" s="199">
        <v>5323.54</v>
      </c>
      <c r="AT128"/>
      <c r="AU128"/>
      <c r="AV128" t="str">
        <f t="shared" si="26"/>
        <v>10003</v>
      </c>
      <c r="AW128" s="241">
        <f t="shared" si="27"/>
        <v>5323.54</v>
      </c>
      <c r="AY128" s="167">
        <f t="shared" si="30"/>
        <v>0</v>
      </c>
      <c r="BA128" s="197">
        <v>121</v>
      </c>
      <c r="BB128" s="73" t="s">
        <v>257</v>
      </c>
      <c r="BC128" s="73" t="s">
        <v>1304</v>
      </c>
      <c r="BD128" s="56">
        <v>7157.37</v>
      </c>
    </row>
    <row r="129" spans="1:56">
      <c r="A129" s="197">
        <v>122</v>
      </c>
      <c r="B129" s="73" t="s">
        <v>243</v>
      </c>
      <c r="C129" s="73" t="s">
        <v>1305</v>
      </c>
      <c r="D129" s="168">
        <v>0</v>
      </c>
      <c r="E129" s="170">
        <v>321784.86000000004</v>
      </c>
      <c r="F129" s="171">
        <f t="shared" si="41"/>
        <v>321784.86000000004</v>
      </c>
      <c r="G129" s="182">
        <v>236210.02</v>
      </c>
      <c r="H129" s="179">
        <v>85574.840000000055</v>
      </c>
      <c r="I129" s="170">
        <v>405813.58</v>
      </c>
      <c r="J129" s="171">
        <f t="shared" si="42"/>
        <v>491388.42000000004</v>
      </c>
      <c r="K129" s="205">
        <v>293925.09999999998</v>
      </c>
      <c r="L129" s="171">
        <v>197463.32000000007</v>
      </c>
      <c r="M129" s="199">
        <v>450674.72</v>
      </c>
      <c r="N129" s="171">
        <f t="shared" si="37"/>
        <v>648138.04</v>
      </c>
      <c r="O129" s="205">
        <v>303100.40000000002</v>
      </c>
      <c r="P129" s="241">
        <v>345037.64</v>
      </c>
      <c r="Q129" s="199">
        <v>511771.32999999996</v>
      </c>
      <c r="R129" s="171">
        <f t="shared" si="38"/>
        <v>856808.97</v>
      </c>
      <c r="S129" s="205">
        <v>1150363.71</v>
      </c>
      <c r="T129" s="241">
        <v>0</v>
      </c>
      <c r="U129" s="241">
        <v>520177.08999999997</v>
      </c>
      <c r="V129" s="171">
        <f t="shared" si="39"/>
        <v>520177.08999999997</v>
      </c>
      <c r="W129" s="56">
        <v>1133070.08</v>
      </c>
      <c r="X129" s="658">
        <f t="shared" si="28"/>
        <v>0</v>
      </c>
      <c r="Y129" s="659">
        <v>567006.38</v>
      </c>
      <c r="Z129" s="171">
        <f t="shared" si="40"/>
        <v>567006.38</v>
      </c>
      <c r="AA129" s="56"/>
      <c r="AB129" s="241">
        <f t="shared" si="29"/>
        <v>567006.38</v>
      </c>
      <c r="AC129" s="241"/>
      <c r="AE129" s="531">
        <f t="shared" si="25"/>
        <v>0</v>
      </c>
      <c r="AG129" t="s">
        <v>243</v>
      </c>
      <c r="AH129" t="s">
        <v>1760</v>
      </c>
      <c r="AI129" s="199">
        <v>361820.61</v>
      </c>
      <c r="AJ129" s="199">
        <v>35810.160000000003</v>
      </c>
      <c r="AK129" s="199">
        <v>5982.92</v>
      </c>
      <c r="AL129" s="199">
        <v>0</v>
      </c>
      <c r="AM129" s="199">
        <v>83167.16</v>
      </c>
      <c r="AN129" s="199">
        <v>30979.1</v>
      </c>
      <c r="AO129" s="199">
        <v>21231.21</v>
      </c>
      <c r="AP129" s="199">
        <v>8113.54</v>
      </c>
      <c r="AQ129" s="199">
        <v>2149.0100000000002</v>
      </c>
      <c r="AR129" s="199">
        <v>17752.669999999998</v>
      </c>
      <c r="AS129" s="199">
        <v>567006.38</v>
      </c>
      <c r="AT129"/>
      <c r="AU129"/>
      <c r="AV129" t="str">
        <f t="shared" si="26"/>
        <v>08458</v>
      </c>
      <c r="AW129" s="241">
        <f t="shared" si="27"/>
        <v>567006.38</v>
      </c>
      <c r="AY129" s="167">
        <f t="shared" si="30"/>
        <v>0</v>
      </c>
      <c r="BA129" s="197">
        <v>122</v>
      </c>
      <c r="BB129" s="73" t="s">
        <v>243</v>
      </c>
      <c r="BC129" s="73" t="s">
        <v>1305</v>
      </c>
      <c r="BD129" s="56">
        <v>1133070.08</v>
      </c>
    </row>
    <row r="130" spans="1:56">
      <c r="A130" s="197">
        <v>123</v>
      </c>
      <c r="B130" s="73" t="s">
        <v>177</v>
      </c>
      <c r="C130" s="73" t="s">
        <v>1306</v>
      </c>
      <c r="D130" s="168">
        <v>0</v>
      </c>
      <c r="E130" s="170">
        <v>1199384.1200000001</v>
      </c>
      <c r="F130" s="171">
        <f t="shared" si="41"/>
        <v>1199384.1200000001</v>
      </c>
      <c r="G130" s="182">
        <v>1219363.01</v>
      </c>
      <c r="H130" s="179">
        <v>0</v>
      </c>
      <c r="I130" s="170">
        <v>1721624.32</v>
      </c>
      <c r="J130" s="171">
        <f t="shared" si="42"/>
        <v>1721624.32</v>
      </c>
      <c r="K130" s="205">
        <v>2173038.1300000004</v>
      </c>
      <c r="L130" s="171">
        <v>0</v>
      </c>
      <c r="M130" s="199">
        <v>1746296.17</v>
      </c>
      <c r="N130" s="171">
        <f t="shared" si="37"/>
        <v>1746296.17</v>
      </c>
      <c r="O130" s="205">
        <v>1792181.4600000002</v>
      </c>
      <c r="P130" s="241">
        <v>0</v>
      </c>
      <c r="Q130" s="199">
        <v>1937495.91</v>
      </c>
      <c r="R130" s="171">
        <f t="shared" si="38"/>
        <v>1937495.91</v>
      </c>
      <c r="S130" s="205">
        <v>1868357.1500000001</v>
      </c>
      <c r="T130" s="241">
        <v>69138.759999999776</v>
      </c>
      <c r="U130" s="241">
        <v>1992067.66</v>
      </c>
      <c r="V130" s="171">
        <f t="shared" si="39"/>
        <v>2061206.4199999997</v>
      </c>
      <c r="W130" s="56">
        <v>2001556.8600000003</v>
      </c>
      <c r="X130" s="658">
        <f t="shared" si="28"/>
        <v>59649.559999999357</v>
      </c>
      <c r="Y130" s="659">
        <v>2094837.5899999999</v>
      </c>
      <c r="Z130" s="171">
        <f t="shared" si="40"/>
        <v>2154487.1499999994</v>
      </c>
      <c r="AA130" s="56"/>
      <c r="AB130" s="241">
        <f t="shared" si="29"/>
        <v>2154487.1499999994</v>
      </c>
      <c r="AC130" s="241"/>
      <c r="AE130" s="531">
        <f t="shared" si="25"/>
        <v>0</v>
      </c>
      <c r="AG130" t="s">
        <v>177</v>
      </c>
      <c r="AH130" t="s">
        <v>1725</v>
      </c>
      <c r="AI130" s="199">
        <v>1417279.03</v>
      </c>
      <c r="AJ130" s="199">
        <v>81380.460000000006</v>
      </c>
      <c r="AK130" s="199">
        <v>11146.35</v>
      </c>
      <c r="AL130" s="199">
        <v>69269.119999999995</v>
      </c>
      <c r="AM130" s="199">
        <v>250990.47</v>
      </c>
      <c r="AN130" s="199">
        <v>108102.9</v>
      </c>
      <c r="AO130" s="199">
        <v>57713.8</v>
      </c>
      <c r="AP130" s="199">
        <v>86994.23</v>
      </c>
      <c r="AQ130" s="199">
        <v>8294.2800000000007</v>
      </c>
      <c r="AR130" s="199">
        <v>3666.95</v>
      </c>
      <c r="AS130" s="199">
        <v>2094837.5899999999</v>
      </c>
      <c r="AT130"/>
      <c r="AU130"/>
      <c r="AV130" t="str">
        <f t="shared" si="26"/>
        <v>03017</v>
      </c>
      <c r="AW130" s="241">
        <f t="shared" si="27"/>
        <v>2094837.5899999999</v>
      </c>
      <c r="AY130" s="167">
        <f t="shared" si="30"/>
        <v>0</v>
      </c>
      <c r="BA130" s="197">
        <v>123</v>
      </c>
      <c r="BB130" s="73" t="s">
        <v>177</v>
      </c>
      <c r="BC130" s="73" t="s">
        <v>1306</v>
      </c>
      <c r="BD130" s="56">
        <v>2001556.8600000003</v>
      </c>
    </row>
    <row r="131" spans="1:56">
      <c r="A131" s="197">
        <v>124</v>
      </c>
      <c r="B131" s="73" t="s">
        <v>370</v>
      </c>
      <c r="C131" s="73" t="s">
        <v>1307</v>
      </c>
      <c r="D131" s="168">
        <v>221338.32999999984</v>
      </c>
      <c r="E131" s="170">
        <v>1961263.98</v>
      </c>
      <c r="F131" s="171">
        <f t="shared" si="41"/>
        <v>2182602.3099999996</v>
      </c>
      <c r="G131" s="182">
        <v>1727220.26</v>
      </c>
      <c r="H131" s="179">
        <v>455382.04999999958</v>
      </c>
      <c r="I131" s="170">
        <v>2813234.2899999996</v>
      </c>
      <c r="J131" s="171">
        <f t="shared" si="42"/>
        <v>3268616.3399999989</v>
      </c>
      <c r="K131" s="205">
        <v>3110868.919999999</v>
      </c>
      <c r="L131" s="171">
        <v>157747.41999999993</v>
      </c>
      <c r="M131" s="199">
        <v>2790990.9</v>
      </c>
      <c r="N131" s="171">
        <f t="shared" si="37"/>
        <v>2948738.32</v>
      </c>
      <c r="O131" s="205">
        <v>3309766.86</v>
      </c>
      <c r="P131" s="241">
        <v>0</v>
      </c>
      <c r="Q131" s="199">
        <v>3079348.44</v>
      </c>
      <c r="R131" s="171">
        <f t="shared" si="38"/>
        <v>3079348.44</v>
      </c>
      <c r="S131" s="205">
        <v>3155399.1799999997</v>
      </c>
      <c r="T131" s="241">
        <v>0</v>
      </c>
      <c r="U131" s="241">
        <v>3188226.73</v>
      </c>
      <c r="V131" s="171">
        <f t="shared" si="39"/>
        <v>3188226.73</v>
      </c>
      <c r="W131" s="56">
        <v>2960438.2399999965</v>
      </c>
      <c r="X131" s="658">
        <f t="shared" si="28"/>
        <v>227788.49000000348</v>
      </c>
      <c r="Y131" s="659">
        <v>3398717.48</v>
      </c>
      <c r="Z131" s="171">
        <f t="shared" si="40"/>
        <v>3626505.9700000035</v>
      </c>
      <c r="AA131" s="56"/>
      <c r="AB131" s="241">
        <f t="shared" si="29"/>
        <v>3626505.9700000035</v>
      </c>
      <c r="AC131" s="241"/>
      <c r="AE131" s="531">
        <f t="shared" si="25"/>
        <v>0</v>
      </c>
      <c r="AG131" t="s">
        <v>370</v>
      </c>
      <c r="AH131" t="s">
        <v>1825</v>
      </c>
      <c r="AI131" s="199">
        <v>2294795.23</v>
      </c>
      <c r="AJ131" s="199">
        <v>176770.61</v>
      </c>
      <c r="AK131" s="199">
        <v>32935.06</v>
      </c>
      <c r="AL131" s="199">
        <v>0</v>
      </c>
      <c r="AM131" s="199">
        <v>423318.71</v>
      </c>
      <c r="AN131" s="199">
        <v>165181.34</v>
      </c>
      <c r="AO131" s="199">
        <v>71142.39</v>
      </c>
      <c r="AP131" s="199">
        <v>221417.83</v>
      </c>
      <c r="AQ131" s="199">
        <v>13156.31</v>
      </c>
      <c r="AR131" s="199">
        <v>0</v>
      </c>
      <c r="AS131" s="199">
        <v>3398717.48</v>
      </c>
      <c r="AT131"/>
      <c r="AU131"/>
      <c r="AV131" t="str">
        <f t="shared" si="26"/>
        <v>17415</v>
      </c>
      <c r="AW131" s="241">
        <f t="shared" si="27"/>
        <v>3398717.48</v>
      </c>
      <c r="AY131" s="167">
        <f t="shared" si="30"/>
        <v>0</v>
      </c>
      <c r="BA131" s="197">
        <v>124</v>
      </c>
      <c r="BB131" s="73" t="s">
        <v>370</v>
      </c>
      <c r="BC131" s="73" t="s">
        <v>1307</v>
      </c>
      <c r="BD131" s="56">
        <v>2960438.2399999965</v>
      </c>
    </row>
    <row r="132" spans="1:56">
      <c r="A132" s="197">
        <v>125</v>
      </c>
      <c r="B132" s="73" t="s">
        <v>638</v>
      </c>
      <c r="C132" s="73" t="s">
        <v>1308</v>
      </c>
      <c r="D132" s="168">
        <v>3763.9799999999959</v>
      </c>
      <c r="E132" s="170">
        <v>54061.7</v>
      </c>
      <c r="F132" s="171">
        <f t="shared" si="41"/>
        <v>57825.679999999993</v>
      </c>
      <c r="G132" s="182">
        <v>47991.51</v>
      </c>
      <c r="H132" s="179">
        <v>9834.169999999991</v>
      </c>
      <c r="I132" s="170">
        <v>77110.429999999993</v>
      </c>
      <c r="J132" s="171">
        <f t="shared" si="42"/>
        <v>86944.599999999977</v>
      </c>
      <c r="K132" s="205">
        <v>82242.01999999999</v>
      </c>
      <c r="L132" s="171">
        <v>4702.5799999999872</v>
      </c>
      <c r="M132" s="199">
        <v>76701.320000000007</v>
      </c>
      <c r="N132" s="171">
        <f t="shared" si="37"/>
        <v>81403.899999999994</v>
      </c>
      <c r="O132" s="205">
        <v>74829.34</v>
      </c>
      <c r="P132" s="241">
        <v>6574.5599999999977</v>
      </c>
      <c r="Q132" s="199">
        <v>88001.64</v>
      </c>
      <c r="R132" s="171">
        <f t="shared" si="38"/>
        <v>94576.2</v>
      </c>
      <c r="S132" s="205">
        <v>73319.049999999988</v>
      </c>
      <c r="T132" s="241">
        <v>21257.150000000009</v>
      </c>
      <c r="U132" s="241">
        <v>82637.209999999992</v>
      </c>
      <c r="V132" s="171">
        <f t="shared" si="39"/>
        <v>103894.36</v>
      </c>
      <c r="W132" s="56">
        <v>86056.300000000017</v>
      </c>
      <c r="X132" s="658">
        <f t="shared" si="28"/>
        <v>17838.059999999983</v>
      </c>
      <c r="Y132" s="659">
        <v>83093.23000000001</v>
      </c>
      <c r="Z132" s="171">
        <f t="shared" si="40"/>
        <v>100931.29</v>
      </c>
      <c r="AA132" s="56"/>
      <c r="AB132" s="241">
        <f t="shared" si="29"/>
        <v>100931.29</v>
      </c>
      <c r="AC132" s="241"/>
      <c r="AE132" s="531">
        <f t="shared" si="25"/>
        <v>0</v>
      </c>
      <c r="AG132" t="s">
        <v>638</v>
      </c>
      <c r="AH132" t="s">
        <v>1962</v>
      </c>
      <c r="AI132" s="199">
        <v>50956.43</v>
      </c>
      <c r="AJ132" s="199">
        <v>5091.3100000000004</v>
      </c>
      <c r="AK132" s="199">
        <v>0</v>
      </c>
      <c r="AL132" s="199">
        <v>0</v>
      </c>
      <c r="AM132" s="199">
        <v>15314.28</v>
      </c>
      <c r="AN132" s="199">
        <v>5840.08</v>
      </c>
      <c r="AO132" s="199">
        <v>3350.89</v>
      </c>
      <c r="AP132" s="199">
        <v>0</v>
      </c>
      <c r="AQ132" s="199">
        <v>474.94</v>
      </c>
      <c r="AR132" s="199">
        <v>2065.3000000000002</v>
      </c>
      <c r="AS132" s="199">
        <v>83093.23000000001</v>
      </c>
      <c r="AT132"/>
      <c r="AU132"/>
      <c r="AV132" t="str">
        <f t="shared" si="26"/>
        <v>33212</v>
      </c>
      <c r="AW132" s="241">
        <f t="shared" si="27"/>
        <v>83093.23000000001</v>
      </c>
      <c r="AY132" s="167">
        <f t="shared" si="30"/>
        <v>0</v>
      </c>
      <c r="BA132" s="197">
        <v>125</v>
      </c>
      <c r="BB132" s="73" t="s">
        <v>638</v>
      </c>
      <c r="BC132" s="73" t="s">
        <v>1308</v>
      </c>
      <c r="BD132" s="56">
        <v>86056.300000000017</v>
      </c>
    </row>
    <row r="133" spans="1:56">
      <c r="A133" s="197">
        <v>126</v>
      </c>
      <c r="B133" s="73" t="s">
        <v>181</v>
      </c>
      <c r="C133" s="73" t="s">
        <v>1309</v>
      </c>
      <c r="D133" s="168">
        <v>0</v>
      </c>
      <c r="E133" s="170">
        <v>93852.72</v>
      </c>
      <c r="F133" s="171">
        <f t="shared" si="41"/>
        <v>93852.72</v>
      </c>
      <c r="G133" s="182">
        <v>95288.44</v>
      </c>
      <c r="H133" s="179">
        <v>0</v>
      </c>
      <c r="I133" s="170">
        <v>137832.32000000001</v>
      </c>
      <c r="J133" s="171">
        <f t="shared" si="42"/>
        <v>137832.32000000001</v>
      </c>
      <c r="K133" s="205">
        <v>139040.27000000002</v>
      </c>
      <c r="L133" s="171">
        <v>0</v>
      </c>
      <c r="M133" s="199">
        <v>143557.91</v>
      </c>
      <c r="N133" s="171">
        <f t="shared" si="37"/>
        <v>143557.91</v>
      </c>
      <c r="O133" s="205">
        <v>150771</v>
      </c>
      <c r="P133" s="241">
        <v>0</v>
      </c>
      <c r="Q133" s="199">
        <v>150374.20000000001</v>
      </c>
      <c r="R133" s="171">
        <f t="shared" si="38"/>
        <v>150374.20000000001</v>
      </c>
      <c r="S133" s="205">
        <v>155006.56</v>
      </c>
      <c r="T133" s="241">
        <v>0</v>
      </c>
      <c r="U133" s="241">
        <v>159327.16</v>
      </c>
      <c r="V133" s="171">
        <f t="shared" si="39"/>
        <v>159327.16</v>
      </c>
      <c r="W133" s="56">
        <v>148158.71999999997</v>
      </c>
      <c r="X133" s="658">
        <f t="shared" si="28"/>
        <v>11168.440000000031</v>
      </c>
      <c r="Y133" s="659">
        <v>163092.13000000003</v>
      </c>
      <c r="Z133" s="171">
        <f t="shared" si="40"/>
        <v>174260.57000000007</v>
      </c>
      <c r="AA133" s="56"/>
      <c r="AB133" s="241">
        <f t="shared" si="29"/>
        <v>174260.57000000007</v>
      </c>
      <c r="AC133" s="241"/>
      <c r="AE133" s="531">
        <f t="shared" si="25"/>
        <v>0</v>
      </c>
      <c r="AG133" t="s">
        <v>181</v>
      </c>
      <c r="AH133" t="s">
        <v>1727</v>
      </c>
      <c r="AI133" s="199">
        <v>107593.88</v>
      </c>
      <c r="AJ133" s="199">
        <v>7270.41</v>
      </c>
      <c r="AK133" s="199">
        <v>1240.94</v>
      </c>
      <c r="AL133" s="199">
        <v>0</v>
      </c>
      <c r="AM133" s="199">
        <v>19885.310000000001</v>
      </c>
      <c r="AN133" s="199">
        <v>9910.01</v>
      </c>
      <c r="AO133" s="199">
        <v>6351.26</v>
      </c>
      <c r="AP133" s="199">
        <v>8586.23</v>
      </c>
      <c r="AQ133" s="199">
        <v>602.16</v>
      </c>
      <c r="AR133" s="199">
        <v>1651.93</v>
      </c>
      <c r="AS133" s="199">
        <v>163092.13000000003</v>
      </c>
      <c r="AT133"/>
      <c r="AU133"/>
      <c r="AV133" t="str">
        <f t="shared" si="26"/>
        <v>03052</v>
      </c>
      <c r="AW133" s="241">
        <f t="shared" si="27"/>
        <v>163092.13000000003</v>
      </c>
      <c r="AY133" s="167">
        <f t="shared" si="30"/>
        <v>0</v>
      </c>
      <c r="BA133" s="197">
        <v>126</v>
      </c>
      <c r="BB133" s="73" t="s">
        <v>181</v>
      </c>
      <c r="BC133" s="73" t="s">
        <v>1309</v>
      </c>
      <c r="BD133" s="56">
        <v>148158.71999999997</v>
      </c>
    </row>
    <row r="134" spans="1:56">
      <c r="A134" s="197">
        <v>127</v>
      </c>
      <c r="B134" s="73" t="s">
        <v>392</v>
      </c>
      <c r="C134" s="73" t="s">
        <v>1310</v>
      </c>
      <c r="D134" s="168">
        <v>2482.1100000000006</v>
      </c>
      <c r="E134" s="170">
        <v>41069.39</v>
      </c>
      <c r="F134" s="171">
        <f t="shared" si="41"/>
        <v>43551.5</v>
      </c>
      <c r="G134" s="182">
        <v>43106.6</v>
      </c>
      <c r="H134" s="179">
        <v>444.90000000000146</v>
      </c>
      <c r="I134" s="170">
        <v>57158.44</v>
      </c>
      <c r="J134" s="171">
        <f t="shared" si="42"/>
        <v>57603.340000000004</v>
      </c>
      <c r="K134" s="205">
        <v>34568.949999999997</v>
      </c>
      <c r="L134" s="171">
        <v>23034.390000000007</v>
      </c>
      <c r="M134" s="199">
        <v>55938.32</v>
      </c>
      <c r="N134" s="171">
        <f t="shared" si="37"/>
        <v>78972.710000000006</v>
      </c>
      <c r="O134" s="205">
        <v>35346.9</v>
      </c>
      <c r="P134" s="241">
        <v>43625.810000000005</v>
      </c>
      <c r="Q134" s="199">
        <v>60208.66</v>
      </c>
      <c r="R134" s="171">
        <f t="shared" si="38"/>
        <v>103834.47</v>
      </c>
      <c r="S134" s="205">
        <v>44422.11</v>
      </c>
      <c r="T134" s="241">
        <v>59412.36</v>
      </c>
      <c r="U134" s="241">
        <v>60816.579999999987</v>
      </c>
      <c r="V134" s="171">
        <f t="shared" si="39"/>
        <v>120228.93999999999</v>
      </c>
      <c r="W134" s="56">
        <v>50136.770000000004</v>
      </c>
      <c r="X134" s="658">
        <f t="shared" si="28"/>
        <v>70092.169999999984</v>
      </c>
      <c r="Y134" s="659">
        <v>65896.540000000008</v>
      </c>
      <c r="Z134" s="171">
        <f t="shared" si="40"/>
        <v>135988.71</v>
      </c>
      <c r="AA134" s="56"/>
      <c r="AB134" s="241">
        <f t="shared" si="29"/>
        <v>135988.71</v>
      </c>
      <c r="AC134" s="241"/>
      <c r="AE134" s="531">
        <f t="shared" si="25"/>
        <v>0</v>
      </c>
      <c r="AG134" t="s">
        <v>392</v>
      </c>
      <c r="AH134" t="s">
        <v>1838</v>
      </c>
      <c r="AI134" s="199">
        <v>46296.33</v>
      </c>
      <c r="AJ134" s="199">
        <v>2715.75</v>
      </c>
      <c r="AK134" s="199">
        <v>1410.72</v>
      </c>
      <c r="AL134" s="199">
        <v>0</v>
      </c>
      <c r="AM134" s="199">
        <v>7614.46</v>
      </c>
      <c r="AN134" s="199">
        <v>3037.41</v>
      </c>
      <c r="AO134" s="199">
        <v>1421.44</v>
      </c>
      <c r="AP134" s="199">
        <v>1115.0999999999999</v>
      </c>
      <c r="AQ134" s="199">
        <v>242.01</v>
      </c>
      <c r="AR134" s="199">
        <v>2043.32</v>
      </c>
      <c r="AS134" s="199">
        <v>65896.540000000008</v>
      </c>
      <c r="AT134"/>
      <c r="AU134"/>
      <c r="AV134" t="str">
        <f t="shared" si="26"/>
        <v>19403</v>
      </c>
      <c r="AW134" s="241">
        <f t="shared" si="27"/>
        <v>65896.540000000008</v>
      </c>
      <c r="AY134" s="167">
        <f t="shared" si="30"/>
        <v>0</v>
      </c>
      <c r="BA134" s="197">
        <v>127</v>
      </c>
      <c r="BB134" s="73" t="s">
        <v>392</v>
      </c>
      <c r="BC134" s="73" t="s">
        <v>1310</v>
      </c>
      <c r="BD134" s="56">
        <v>50136.770000000004</v>
      </c>
    </row>
    <row r="135" spans="1:56">
      <c r="A135" s="197">
        <v>128</v>
      </c>
      <c r="B135" s="73" t="s">
        <v>406</v>
      </c>
      <c r="C135" s="73" t="s">
        <v>1311</v>
      </c>
      <c r="D135" s="168">
        <v>2941.46</v>
      </c>
      <c r="E135" s="170">
        <v>12611.93</v>
      </c>
      <c r="F135" s="171">
        <f t="shared" si="41"/>
        <v>15553.39</v>
      </c>
      <c r="G135" s="182">
        <v>7588.65</v>
      </c>
      <c r="H135" s="179">
        <v>7964.74</v>
      </c>
      <c r="I135" s="170">
        <v>19060.11</v>
      </c>
      <c r="J135" s="171">
        <f t="shared" si="42"/>
        <v>27024.85</v>
      </c>
      <c r="K135" s="205">
        <v>7992.17</v>
      </c>
      <c r="L135" s="171">
        <v>19032.68</v>
      </c>
      <c r="M135" s="199">
        <v>19736.64</v>
      </c>
      <c r="N135" s="171">
        <f t="shared" si="37"/>
        <v>38769.32</v>
      </c>
      <c r="O135" s="205">
        <v>14894.45</v>
      </c>
      <c r="P135" s="241">
        <v>23874.87</v>
      </c>
      <c r="Q135" s="199">
        <v>21159.54</v>
      </c>
      <c r="R135" s="171">
        <f t="shared" si="38"/>
        <v>45034.41</v>
      </c>
      <c r="S135" s="205">
        <v>13995.61</v>
      </c>
      <c r="T135" s="241">
        <v>31038.800000000003</v>
      </c>
      <c r="U135" s="241">
        <v>20310.73</v>
      </c>
      <c r="V135" s="171">
        <f t="shared" si="39"/>
        <v>51349.53</v>
      </c>
      <c r="W135" s="56">
        <v>17883.050000000003</v>
      </c>
      <c r="X135" s="658">
        <f t="shared" si="28"/>
        <v>33466.479999999996</v>
      </c>
      <c r="Y135" s="659">
        <v>20707.330000000002</v>
      </c>
      <c r="Z135" s="171">
        <f t="shared" si="40"/>
        <v>54173.81</v>
      </c>
      <c r="AA135" s="56"/>
      <c r="AB135" s="241">
        <f t="shared" si="29"/>
        <v>54173.81</v>
      </c>
      <c r="AC135" s="241"/>
      <c r="AE135" s="531">
        <f t="shared" si="25"/>
        <v>0</v>
      </c>
      <c r="AG135" t="s">
        <v>406</v>
      </c>
      <c r="AH135" t="s">
        <v>1845</v>
      </c>
      <c r="AI135" s="199">
        <v>20199.150000000001</v>
      </c>
      <c r="AJ135" s="199">
        <v>0</v>
      </c>
      <c r="AK135" s="199">
        <v>0</v>
      </c>
      <c r="AL135" s="199">
        <v>0</v>
      </c>
      <c r="AM135" s="199">
        <v>0</v>
      </c>
      <c r="AN135" s="199">
        <v>474.72</v>
      </c>
      <c r="AO135" s="199">
        <v>0</v>
      </c>
      <c r="AP135" s="199">
        <v>0</v>
      </c>
      <c r="AQ135" s="199">
        <v>33.46</v>
      </c>
      <c r="AR135" s="199">
        <v>0</v>
      </c>
      <c r="AS135" s="199">
        <v>20707.330000000002</v>
      </c>
      <c r="AT135"/>
      <c r="AU135"/>
      <c r="AV135" t="str">
        <f t="shared" si="26"/>
        <v>20402</v>
      </c>
      <c r="AW135" s="241">
        <f t="shared" si="27"/>
        <v>20707.330000000002</v>
      </c>
      <c r="AY135" s="167">
        <f t="shared" si="30"/>
        <v>0</v>
      </c>
      <c r="BA135" s="197">
        <v>128</v>
      </c>
      <c r="BB135" s="73" t="s">
        <v>406</v>
      </c>
      <c r="BC135" s="73" t="s">
        <v>1311</v>
      </c>
      <c r="BD135" s="56">
        <v>17883.050000000003</v>
      </c>
    </row>
    <row r="136" spans="1:56">
      <c r="A136" s="197">
        <v>129</v>
      </c>
      <c r="B136" s="73" t="s">
        <v>550</v>
      </c>
      <c r="C136" s="73" t="s">
        <v>1312</v>
      </c>
      <c r="D136" s="168">
        <v>0</v>
      </c>
      <c r="E136" s="170">
        <v>47848.420000000006</v>
      </c>
      <c r="F136" s="171">
        <f t="shared" si="41"/>
        <v>47848.420000000006</v>
      </c>
      <c r="G136" s="182">
        <v>48964.98</v>
      </c>
      <c r="H136" s="179">
        <v>0</v>
      </c>
      <c r="I136" s="170">
        <v>66829.39</v>
      </c>
      <c r="J136" s="171">
        <f t="shared" si="42"/>
        <v>66829.39</v>
      </c>
      <c r="K136" s="205">
        <v>68620.08</v>
      </c>
      <c r="L136" s="171">
        <v>0</v>
      </c>
      <c r="M136" s="199">
        <v>64529.5</v>
      </c>
      <c r="N136" s="171">
        <f t="shared" si="37"/>
        <v>64529.5</v>
      </c>
      <c r="O136" s="205">
        <v>77440.569999999992</v>
      </c>
      <c r="P136" s="241">
        <v>0</v>
      </c>
      <c r="Q136" s="199">
        <v>69114.070000000007</v>
      </c>
      <c r="R136" s="171">
        <f t="shared" si="38"/>
        <v>69114.070000000007</v>
      </c>
      <c r="S136" s="205">
        <v>69114.990000000005</v>
      </c>
      <c r="T136" s="241">
        <v>0</v>
      </c>
      <c r="U136" s="241">
        <v>66043.25</v>
      </c>
      <c r="V136" s="171">
        <f t="shared" si="39"/>
        <v>66043.25</v>
      </c>
      <c r="W136" s="56">
        <v>87407.420000000013</v>
      </c>
      <c r="X136" s="658">
        <f t="shared" si="28"/>
        <v>0</v>
      </c>
      <c r="Y136" s="659">
        <v>64511.62999999999</v>
      </c>
      <c r="Z136" s="171">
        <f t="shared" si="40"/>
        <v>64511.62999999999</v>
      </c>
      <c r="AA136" s="56"/>
      <c r="AB136" s="241">
        <f t="shared" si="29"/>
        <v>64511.62999999999</v>
      </c>
      <c r="AC136" s="241"/>
      <c r="AE136" s="531">
        <f t="shared" ref="AE136:AE199" si="43">+AG136-B136</f>
        <v>0</v>
      </c>
      <c r="AG136" t="s">
        <v>550</v>
      </c>
      <c r="AH136" t="s">
        <v>1916</v>
      </c>
      <c r="AI136" s="199">
        <v>46833.27</v>
      </c>
      <c r="AJ136" s="199">
        <v>1644.31</v>
      </c>
      <c r="AK136" s="199">
        <v>569.45000000000005</v>
      </c>
      <c r="AL136" s="199">
        <v>0</v>
      </c>
      <c r="AM136" s="199">
        <v>8712.56</v>
      </c>
      <c r="AN136" s="199">
        <v>3501.5</v>
      </c>
      <c r="AO136" s="199">
        <v>2551.27</v>
      </c>
      <c r="AP136" s="199">
        <v>463.87</v>
      </c>
      <c r="AQ136" s="199">
        <v>235.4</v>
      </c>
      <c r="AR136" s="199">
        <v>0</v>
      </c>
      <c r="AS136" s="199">
        <v>64511.62999999999</v>
      </c>
      <c r="AT136"/>
      <c r="AU136"/>
      <c r="AV136" t="str">
        <f t="shared" ref="AV136:AV199" si="44">TEXT(AG136, "00000")</f>
        <v>29311</v>
      </c>
      <c r="AW136" s="241">
        <f t="shared" ref="AW136:AW199" si="45">AS136</f>
        <v>64511.62999999999</v>
      </c>
      <c r="AY136" s="167">
        <f t="shared" si="30"/>
        <v>0</v>
      </c>
      <c r="BA136" s="197">
        <v>129</v>
      </c>
      <c r="BB136" s="73" t="s">
        <v>550</v>
      </c>
      <c r="BC136" s="73" t="s">
        <v>1312</v>
      </c>
      <c r="BD136" s="56">
        <v>87407.420000000013</v>
      </c>
    </row>
    <row r="137" spans="1:56">
      <c r="A137" s="197">
        <v>130</v>
      </c>
      <c r="B137" s="73" t="s">
        <v>217</v>
      </c>
      <c r="C137" s="73" t="s">
        <v>1313</v>
      </c>
      <c r="D137" s="168">
        <v>45455.72</v>
      </c>
      <c r="E137" s="170">
        <v>105514.59999999999</v>
      </c>
      <c r="F137" s="171">
        <f t="shared" si="41"/>
        <v>150970.32</v>
      </c>
      <c r="G137" s="182">
        <v>109808.03</v>
      </c>
      <c r="H137" s="179">
        <v>41162.290000000008</v>
      </c>
      <c r="I137" s="170">
        <v>139662.26999999999</v>
      </c>
      <c r="J137" s="171">
        <f t="shared" si="42"/>
        <v>180824.56</v>
      </c>
      <c r="K137" s="205">
        <v>170184.27000000002</v>
      </c>
      <c r="L137" s="171">
        <v>10640.289999999979</v>
      </c>
      <c r="M137" s="199">
        <v>154160.63</v>
      </c>
      <c r="N137" s="171">
        <f t="shared" si="37"/>
        <v>164800.91999999998</v>
      </c>
      <c r="O137" s="205">
        <v>175380.65999999997</v>
      </c>
      <c r="P137" s="241">
        <v>0</v>
      </c>
      <c r="Q137" s="199">
        <v>174685.7</v>
      </c>
      <c r="R137" s="171">
        <f t="shared" si="38"/>
        <v>174685.7</v>
      </c>
      <c r="S137" s="205">
        <v>184546.3</v>
      </c>
      <c r="T137" s="241">
        <v>0</v>
      </c>
      <c r="U137" s="241">
        <v>192932.13</v>
      </c>
      <c r="V137" s="171">
        <f t="shared" si="39"/>
        <v>192932.13</v>
      </c>
      <c r="W137" s="56">
        <v>190694.59</v>
      </c>
      <c r="X137" s="658">
        <f t="shared" ref="X137:X200" si="46">IF(+V137-W137&lt;0,0,(+V137-W137))</f>
        <v>2237.5400000000081</v>
      </c>
      <c r="Y137" s="659">
        <v>202530.43000000002</v>
      </c>
      <c r="Z137" s="171">
        <f t="shared" si="40"/>
        <v>204767.97000000003</v>
      </c>
      <c r="AA137" s="56"/>
      <c r="AB137" s="241">
        <f t="shared" ref="AB137:AB200" si="47">IF(+Z137-AA137&lt;0,0,(+Z137-AA137))</f>
        <v>204767.97000000003</v>
      </c>
      <c r="AC137" s="241"/>
      <c r="AE137" s="531">
        <f t="shared" si="43"/>
        <v>0</v>
      </c>
      <c r="AG137" t="s">
        <v>217</v>
      </c>
      <c r="AH137" t="s">
        <v>1746</v>
      </c>
      <c r="AI137" s="199">
        <v>154835.16</v>
      </c>
      <c r="AJ137" s="199">
        <v>10867.57</v>
      </c>
      <c r="AK137" s="199">
        <v>655.42</v>
      </c>
      <c r="AL137" s="199">
        <v>0</v>
      </c>
      <c r="AM137" s="199">
        <v>28160.6</v>
      </c>
      <c r="AN137" s="199">
        <v>5684.84</v>
      </c>
      <c r="AO137" s="199">
        <v>0</v>
      </c>
      <c r="AP137" s="199">
        <v>1455.75</v>
      </c>
      <c r="AQ137" s="199">
        <v>871.09</v>
      </c>
      <c r="AR137" s="199">
        <v>0</v>
      </c>
      <c r="AS137" s="199">
        <v>202530.43000000002</v>
      </c>
      <c r="AT137"/>
      <c r="AU137"/>
      <c r="AV137" t="str">
        <f t="shared" si="44"/>
        <v>06101</v>
      </c>
      <c r="AW137" s="241">
        <f t="shared" si="45"/>
        <v>202530.43000000002</v>
      </c>
      <c r="AY137" s="167">
        <f t="shared" ref="AY137:AY200" si="48">+BB137-B137</f>
        <v>0</v>
      </c>
      <c r="BA137" s="197">
        <v>130</v>
      </c>
      <c r="BB137" s="73" t="s">
        <v>217</v>
      </c>
      <c r="BC137" s="73" t="s">
        <v>1313</v>
      </c>
      <c r="BD137" s="56">
        <v>190694.59</v>
      </c>
    </row>
    <row r="138" spans="1:56">
      <c r="A138" s="197">
        <v>131</v>
      </c>
      <c r="B138" s="73" t="s">
        <v>685</v>
      </c>
      <c r="C138" s="73" t="s">
        <v>1314</v>
      </c>
      <c r="D138" s="168">
        <v>4897.58</v>
      </c>
      <c r="E138" s="170">
        <v>12832.039999999999</v>
      </c>
      <c r="F138" s="171">
        <f t="shared" si="41"/>
        <v>17729.62</v>
      </c>
      <c r="G138" s="182">
        <v>6405.71</v>
      </c>
      <c r="H138" s="179">
        <v>11323.91</v>
      </c>
      <c r="I138" s="170">
        <v>19934.330000000002</v>
      </c>
      <c r="J138" s="171">
        <f t="shared" si="42"/>
        <v>31258.240000000002</v>
      </c>
      <c r="K138" s="205">
        <v>22802.5</v>
      </c>
      <c r="L138" s="171">
        <v>8455.7400000000016</v>
      </c>
      <c r="M138" s="199">
        <v>19923.179999999997</v>
      </c>
      <c r="N138" s="171">
        <f t="shared" si="37"/>
        <v>28378.92</v>
      </c>
      <c r="O138" s="205">
        <v>18105.73</v>
      </c>
      <c r="P138" s="241">
        <v>10273.189999999999</v>
      </c>
      <c r="Q138" s="199">
        <v>21339.62</v>
      </c>
      <c r="R138" s="171">
        <f t="shared" si="38"/>
        <v>31612.809999999998</v>
      </c>
      <c r="S138" s="205">
        <v>3660.36</v>
      </c>
      <c r="T138" s="241">
        <v>27952.449999999997</v>
      </c>
      <c r="U138" s="241">
        <v>20931.87</v>
      </c>
      <c r="V138" s="171">
        <f t="shared" si="39"/>
        <v>48884.319999999992</v>
      </c>
      <c r="W138" s="56">
        <v>5182.34</v>
      </c>
      <c r="X138" s="658">
        <f t="shared" si="46"/>
        <v>43701.979999999996</v>
      </c>
      <c r="Y138" s="659">
        <v>21786.1</v>
      </c>
      <c r="Z138" s="171">
        <f t="shared" si="40"/>
        <v>65488.079999999994</v>
      </c>
      <c r="AA138" s="56"/>
      <c r="AB138" s="241">
        <f t="shared" si="47"/>
        <v>65488.079999999994</v>
      </c>
      <c r="AC138" s="241"/>
      <c r="AE138" s="531">
        <f t="shared" si="43"/>
        <v>0</v>
      </c>
      <c r="AG138" t="s">
        <v>685</v>
      </c>
      <c r="AH138" t="s">
        <v>1988</v>
      </c>
      <c r="AI138" s="199">
        <v>19101.310000000001</v>
      </c>
      <c r="AJ138" s="199">
        <v>536.82000000000005</v>
      </c>
      <c r="AK138" s="199">
        <v>49.51</v>
      </c>
      <c r="AL138" s="199">
        <v>0</v>
      </c>
      <c r="AM138" s="199">
        <v>1253.78</v>
      </c>
      <c r="AN138" s="199">
        <v>379.03</v>
      </c>
      <c r="AO138" s="199">
        <v>156.25</v>
      </c>
      <c r="AP138" s="199">
        <v>0</v>
      </c>
      <c r="AQ138" s="199">
        <v>0</v>
      </c>
      <c r="AR138" s="199">
        <v>309.39999999999998</v>
      </c>
      <c r="AS138" s="199">
        <v>21786.1</v>
      </c>
      <c r="AT138"/>
      <c r="AU138"/>
      <c r="AV138" t="str">
        <f t="shared" si="44"/>
        <v>38126</v>
      </c>
      <c r="AW138" s="241">
        <f t="shared" si="45"/>
        <v>21786.1</v>
      </c>
      <c r="AY138" s="167">
        <f t="shared" si="48"/>
        <v>0</v>
      </c>
      <c r="BA138" s="197">
        <v>131</v>
      </c>
      <c r="BB138" s="73" t="s">
        <v>685</v>
      </c>
      <c r="BC138" s="73" t="s">
        <v>1314</v>
      </c>
      <c r="BD138" s="56">
        <v>5182.34</v>
      </c>
    </row>
    <row r="139" spans="1:56">
      <c r="A139" s="197">
        <v>132</v>
      </c>
      <c r="B139" s="73" t="s">
        <v>195</v>
      </c>
      <c r="C139" s="73" t="s">
        <v>1315</v>
      </c>
      <c r="D139" s="168">
        <v>38608.43</v>
      </c>
      <c r="E139" s="170">
        <v>92561.78</v>
      </c>
      <c r="F139" s="171">
        <f t="shared" si="41"/>
        <v>131170.21</v>
      </c>
      <c r="G139" s="182">
        <v>94647.07</v>
      </c>
      <c r="H139" s="179">
        <v>36523.139999999985</v>
      </c>
      <c r="I139" s="170">
        <v>134275.22</v>
      </c>
      <c r="J139" s="171">
        <f t="shared" si="42"/>
        <v>170798.36</v>
      </c>
      <c r="K139" s="205">
        <v>133983.47999999998</v>
      </c>
      <c r="L139" s="171">
        <v>36814.880000000005</v>
      </c>
      <c r="M139" s="199">
        <v>125866.18</v>
      </c>
      <c r="N139" s="171">
        <f t="shared" si="37"/>
        <v>162681.06</v>
      </c>
      <c r="O139" s="205">
        <v>111112.45</v>
      </c>
      <c r="P139" s="241">
        <v>51568.61</v>
      </c>
      <c r="Q139" s="199">
        <v>136293.36000000002</v>
      </c>
      <c r="R139" s="171">
        <f t="shared" si="38"/>
        <v>187861.97000000003</v>
      </c>
      <c r="S139" s="205">
        <v>187861.99999999997</v>
      </c>
      <c r="T139" s="241">
        <v>0</v>
      </c>
      <c r="U139" s="241">
        <v>139279.35</v>
      </c>
      <c r="V139" s="171">
        <f t="shared" si="39"/>
        <v>139279.35</v>
      </c>
      <c r="W139" s="56">
        <v>139279.34999999998</v>
      </c>
      <c r="X139" s="658">
        <f t="shared" si="46"/>
        <v>2.9103830456733704E-11</v>
      </c>
      <c r="Y139" s="659">
        <v>150863.54000000004</v>
      </c>
      <c r="Z139" s="171">
        <f t="shared" si="40"/>
        <v>150863.54000000007</v>
      </c>
      <c r="AA139" s="56"/>
      <c r="AB139" s="241">
        <f t="shared" si="47"/>
        <v>150863.54000000007</v>
      </c>
      <c r="AC139" s="241"/>
      <c r="AE139" s="531">
        <f t="shared" si="43"/>
        <v>0</v>
      </c>
      <c r="AG139" t="s">
        <v>195</v>
      </c>
      <c r="AH139" t="s">
        <v>1734</v>
      </c>
      <c r="AI139" s="199">
        <v>100269.67</v>
      </c>
      <c r="AJ139" s="199">
        <v>12341.1</v>
      </c>
      <c r="AK139" s="199">
        <v>1009.41</v>
      </c>
      <c r="AL139" s="199">
        <v>0</v>
      </c>
      <c r="AM139" s="199">
        <v>14932.28</v>
      </c>
      <c r="AN139" s="199">
        <v>7056.65</v>
      </c>
      <c r="AO139" s="199">
        <v>5679.63</v>
      </c>
      <c r="AP139" s="199">
        <v>9024.91</v>
      </c>
      <c r="AQ139" s="199">
        <v>549.89</v>
      </c>
      <c r="AR139" s="199">
        <v>0</v>
      </c>
      <c r="AS139" s="199">
        <v>150863.54000000004</v>
      </c>
      <c r="AT139"/>
      <c r="AU139"/>
      <c r="AV139" t="str">
        <f t="shared" si="44"/>
        <v>04129</v>
      </c>
      <c r="AW139" s="241">
        <f t="shared" si="45"/>
        <v>150863.54000000004</v>
      </c>
      <c r="AY139" s="167">
        <f t="shared" si="48"/>
        <v>0</v>
      </c>
      <c r="BA139" s="197">
        <v>132</v>
      </c>
      <c r="BB139" s="73" t="s">
        <v>195</v>
      </c>
      <c r="BC139" s="73" t="s">
        <v>1315</v>
      </c>
      <c r="BD139" s="56">
        <v>139279.34999999998</v>
      </c>
    </row>
    <row r="140" spans="1:56">
      <c r="A140" s="197">
        <v>133</v>
      </c>
      <c r="B140" s="73" t="s">
        <v>566</v>
      </c>
      <c r="C140" s="73" t="s">
        <v>1316</v>
      </c>
      <c r="D140" s="168">
        <v>0</v>
      </c>
      <c r="E140" s="170">
        <v>677651.62999999989</v>
      </c>
      <c r="F140" s="171">
        <f t="shared" si="41"/>
        <v>677651.62999999989</v>
      </c>
      <c r="G140" s="182">
        <v>747983.05</v>
      </c>
      <c r="H140" s="179">
        <v>0</v>
      </c>
      <c r="I140" s="170">
        <v>964893.79</v>
      </c>
      <c r="J140" s="171">
        <f t="shared" si="42"/>
        <v>964893.79</v>
      </c>
      <c r="K140" s="205">
        <v>1120354.73</v>
      </c>
      <c r="L140" s="171">
        <v>0</v>
      </c>
      <c r="M140" s="199">
        <v>1008288.3400000001</v>
      </c>
      <c r="N140" s="171">
        <f t="shared" si="37"/>
        <v>1008288.3400000001</v>
      </c>
      <c r="O140" s="205">
        <v>1036620.72</v>
      </c>
      <c r="P140" s="241">
        <v>0</v>
      </c>
      <c r="Q140" s="199">
        <v>1080841.6299999999</v>
      </c>
      <c r="R140" s="171">
        <f t="shared" si="38"/>
        <v>1080841.6299999999</v>
      </c>
      <c r="S140" s="205">
        <v>1124211.0499999998</v>
      </c>
      <c r="T140" s="241">
        <v>0</v>
      </c>
      <c r="U140" s="241">
        <v>1140421.96</v>
      </c>
      <c r="V140" s="171">
        <f t="shared" si="39"/>
        <v>1140421.96</v>
      </c>
      <c r="W140" s="56">
        <v>1167899.3700000003</v>
      </c>
      <c r="X140" s="658">
        <f t="shared" si="46"/>
        <v>0</v>
      </c>
      <c r="Y140" s="659">
        <v>1239013.53</v>
      </c>
      <c r="Z140" s="171">
        <f t="shared" si="40"/>
        <v>1239013.53</v>
      </c>
      <c r="AA140" s="56"/>
      <c r="AB140" s="241">
        <f t="shared" si="47"/>
        <v>1239013.53</v>
      </c>
      <c r="AC140" s="241"/>
      <c r="AE140" s="531">
        <f t="shared" si="43"/>
        <v>0</v>
      </c>
      <c r="AG140" t="s">
        <v>566</v>
      </c>
      <c r="AH140" t="s">
        <v>1924</v>
      </c>
      <c r="AI140" s="199">
        <v>930421.56</v>
      </c>
      <c r="AJ140" s="199">
        <v>46407.66</v>
      </c>
      <c r="AK140" s="199">
        <v>12686.38</v>
      </c>
      <c r="AL140" s="199">
        <v>0</v>
      </c>
      <c r="AM140" s="199">
        <v>190056.86</v>
      </c>
      <c r="AN140" s="199">
        <v>31778.3</v>
      </c>
      <c r="AO140" s="199">
        <v>0</v>
      </c>
      <c r="AP140" s="199">
        <v>22562.19</v>
      </c>
      <c r="AQ140" s="199">
        <v>5100.58</v>
      </c>
      <c r="AR140" s="199">
        <v>0</v>
      </c>
      <c r="AS140" s="199">
        <v>1239013.53</v>
      </c>
      <c r="AT140"/>
      <c r="AU140"/>
      <c r="AV140" t="str">
        <f t="shared" si="44"/>
        <v>31004</v>
      </c>
      <c r="AW140" s="241">
        <f t="shared" si="45"/>
        <v>1239013.53</v>
      </c>
      <c r="AY140" s="167">
        <f t="shared" si="48"/>
        <v>0</v>
      </c>
      <c r="BA140" s="197">
        <v>133</v>
      </c>
      <c r="BB140" s="73" t="s">
        <v>566</v>
      </c>
      <c r="BC140" s="73" t="s">
        <v>1316</v>
      </c>
      <c r="BD140" s="56">
        <v>1167899.3700000003</v>
      </c>
    </row>
    <row r="141" spans="1:56">
      <c r="A141" s="197">
        <v>134</v>
      </c>
      <c r="B141" s="73" t="s">
        <v>368</v>
      </c>
      <c r="C141" s="73" t="s">
        <v>1317</v>
      </c>
      <c r="D141" s="168">
        <v>0</v>
      </c>
      <c r="E141" s="170">
        <v>2210473.4900000002</v>
      </c>
      <c r="F141" s="171">
        <f t="shared" si="41"/>
        <v>2210473.4900000002</v>
      </c>
      <c r="G141" s="182">
        <v>2210473.4900000002</v>
      </c>
      <c r="H141" s="179">
        <v>0</v>
      </c>
      <c r="I141" s="170">
        <v>3148521.2899999996</v>
      </c>
      <c r="J141" s="171">
        <f t="shared" si="42"/>
        <v>3148521.2899999996</v>
      </c>
      <c r="K141" s="205">
        <v>3178521.2900000005</v>
      </c>
      <c r="L141" s="171">
        <v>0</v>
      </c>
      <c r="M141" s="199">
        <v>3150381.17</v>
      </c>
      <c r="N141" s="171">
        <f t="shared" si="37"/>
        <v>3150381.17</v>
      </c>
      <c r="O141" s="205">
        <v>3152160.54</v>
      </c>
      <c r="P141" s="241">
        <v>0</v>
      </c>
      <c r="Q141" s="199">
        <v>3378890.89</v>
      </c>
      <c r="R141" s="171">
        <f t="shared" si="38"/>
        <v>3378890.89</v>
      </c>
      <c r="S141" s="205">
        <v>3368677.9800000004</v>
      </c>
      <c r="T141" s="241">
        <v>10212.909999999683</v>
      </c>
      <c r="U141" s="241">
        <v>3464127.06</v>
      </c>
      <c r="V141" s="171">
        <f t="shared" si="39"/>
        <v>3474339.9699999997</v>
      </c>
      <c r="W141" s="56">
        <v>3464127.0599999996</v>
      </c>
      <c r="X141" s="658">
        <f t="shared" si="46"/>
        <v>10212.910000000149</v>
      </c>
      <c r="Y141" s="659">
        <v>3651613.5299999989</v>
      </c>
      <c r="Z141" s="171">
        <f t="shared" si="40"/>
        <v>3661826.439999999</v>
      </c>
      <c r="AA141" s="56"/>
      <c r="AB141" s="241">
        <f t="shared" si="47"/>
        <v>3661826.439999999</v>
      </c>
      <c r="AC141" s="241"/>
      <c r="AE141" s="531">
        <f t="shared" si="43"/>
        <v>0</v>
      </c>
      <c r="AG141" t="s">
        <v>368</v>
      </c>
      <c r="AH141" t="s">
        <v>1824</v>
      </c>
      <c r="AI141" s="199">
        <v>2851808.26</v>
      </c>
      <c r="AJ141" s="199">
        <v>191566.26</v>
      </c>
      <c r="AK141" s="199">
        <v>31973.5</v>
      </c>
      <c r="AL141" s="199">
        <v>63475.26</v>
      </c>
      <c r="AM141" s="199">
        <v>333353.67</v>
      </c>
      <c r="AN141" s="199">
        <v>44226.09</v>
      </c>
      <c r="AO141" s="199">
        <v>0</v>
      </c>
      <c r="AP141" s="199">
        <v>119211.09</v>
      </c>
      <c r="AQ141" s="199">
        <v>15999.4</v>
      </c>
      <c r="AR141" s="199">
        <v>0</v>
      </c>
      <c r="AS141" s="199">
        <v>3651613.5299999989</v>
      </c>
      <c r="AT141"/>
      <c r="AU141"/>
      <c r="AV141" t="str">
        <f t="shared" si="44"/>
        <v>17414</v>
      </c>
      <c r="AW141" s="241">
        <f t="shared" si="45"/>
        <v>3651613.5299999989</v>
      </c>
      <c r="AY141" s="167">
        <f t="shared" si="48"/>
        <v>0</v>
      </c>
      <c r="BA141" s="197">
        <v>134</v>
      </c>
      <c r="BB141" s="73" t="s">
        <v>368</v>
      </c>
      <c r="BC141" s="73" t="s">
        <v>1317</v>
      </c>
      <c r="BD141" s="56">
        <v>3464127.0599999996</v>
      </c>
    </row>
    <row r="142" spans="1:56">
      <c r="A142" s="197">
        <v>135</v>
      </c>
      <c r="B142" s="73" t="s">
        <v>582</v>
      </c>
      <c r="C142" s="73" t="s">
        <v>1318</v>
      </c>
      <c r="D142" s="168">
        <v>0</v>
      </c>
      <c r="E142" s="170">
        <v>183212.68</v>
      </c>
      <c r="F142" s="171">
        <f t="shared" si="41"/>
        <v>183212.68</v>
      </c>
      <c r="G142" s="182">
        <v>128900.49</v>
      </c>
      <c r="H142" s="179">
        <v>54312.189999999988</v>
      </c>
      <c r="I142" s="170">
        <v>260000.15</v>
      </c>
      <c r="J142" s="171">
        <f t="shared" si="42"/>
        <v>314312.33999999997</v>
      </c>
      <c r="K142" s="205">
        <v>110315.85999999999</v>
      </c>
      <c r="L142" s="171">
        <v>203996.47999999998</v>
      </c>
      <c r="M142" s="199">
        <v>265030.19</v>
      </c>
      <c r="N142" s="171">
        <f t="shared" si="37"/>
        <v>469026.67</v>
      </c>
      <c r="O142" s="205">
        <v>205661.28999999998</v>
      </c>
      <c r="P142" s="241">
        <v>263365.38</v>
      </c>
      <c r="Q142" s="199">
        <v>292310.61</v>
      </c>
      <c r="R142" s="171">
        <f t="shared" si="38"/>
        <v>555675.99</v>
      </c>
      <c r="S142" s="205">
        <v>378186.56</v>
      </c>
      <c r="T142" s="241">
        <v>177489.43</v>
      </c>
      <c r="U142" s="241">
        <v>301825.95999999996</v>
      </c>
      <c r="V142" s="171">
        <f t="shared" si="39"/>
        <v>479315.38999999996</v>
      </c>
      <c r="W142" s="56">
        <v>379867.68</v>
      </c>
      <c r="X142" s="658">
        <f t="shared" si="46"/>
        <v>99447.709999999963</v>
      </c>
      <c r="Y142" s="659">
        <v>325604.19000000006</v>
      </c>
      <c r="Z142" s="171">
        <f t="shared" si="40"/>
        <v>425051.9</v>
      </c>
      <c r="AA142" s="56"/>
      <c r="AB142" s="241">
        <f t="shared" si="47"/>
        <v>425051.9</v>
      </c>
      <c r="AC142" s="241"/>
      <c r="AE142" s="531">
        <f t="shared" si="43"/>
        <v>0</v>
      </c>
      <c r="AG142" t="s">
        <v>582</v>
      </c>
      <c r="AH142" t="s">
        <v>1932</v>
      </c>
      <c r="AI142" s="199">
        <v>235319.26</v>
      </c>
      <c r="AJ142" s="199">
        <v>13339.96</v>
      </c>
      <c r="AK142" s="199">
        <v>2034.62</v>
      </c>
      <c r="AL142" s="199">
        <v>0</v>
      </c>
      <c r="AM142" s="199">
        <v>49287.18</v>
      </c>
      <c r="AN142" s="199">
        <v>12773.84</v>
      </c>
      <c r="AO142" s="199">
        <v>2158.14</v>
      </c>
      <c r="AP142" s="199">
        <v>8318.6</v>
      </c>
      <c r="AQ142" s="199">
        <v>1284.94</v>
      </c>
      <c r="AR142" s="199">
        <v>1087.6500000000001</v>
      </c>
      <c r="AS142" s="199">
        <v>325604.19000000006</v>
      </c>
      <c r="AT142"/>
      <c r="AU142"/>
      <c r="AV142" t="str">
        <f t="shared" si="44"/>
        <v>31306</v>
      </c>
      <c r="AW142" s="241">
        <f t="shared" si="45"/>
        <v>325604.19000000006</v>
      </c>
      <c r="AY142" s="167">
        <f t="shared" si="48"/>
        <v>0</v>
      </c>
      <c r="BA142" s="197">
        <v>135</v>
      </c>
      <c r="BB142" s="73" t="s">
        <v>582</v>
      </c>
      <c r="BC142" s="73" t="s">
        <v>1318</v>
      </c>
      <c r="BD142" s="56">
        <v>379867.68</v>
      </c>
    </row>
    <row r="143" spans="1:56">
      <c r="A143" s="197">
        <v>136</v>
      </c>
      <c r="B143" s="73" t="s">
        <v>687</v>
      </c>
      <c r="C143" s="73" t="s">
        <v>1319</v>
      </c>
      <c r="D143" s="168">
        <v>253.01000000000022</v>
      </c>
      <c r="E143" s="170">
        <v>3949.9700000000003</v>
      </c>
      <c r="F143" s="171">
        <f t="shared" si="41"/>
        <v>4202.9800000000005</v>
      </c>
      <c r="G143" s="182">
        <v>3402.66</v>
      </c>
      <c r="H143" s="179">
        <v>800.32000000000062</v>
      </c>
      <c r="I143" s="170">
        <v>5867.87</v>
      </c>
      <c r="J143" s="171">
        <f t="shared" si="42"/>
        <v>6668.1900000000005</v>
      </c>
      <c r="K143" s="205">
        <v>6669.8099999999995</v>
      </c>
      <c r="L143" s="171">
        <v>0</v>
      </c>
      <c r="M143" s="199">
        <v>5845.29</v>
      </c>
      <c r="N143" s="171">
        <f t="shared" si="37"/>
        <v>5845.29</v>
      </c>
      <c r="O143" s="205">
        <v>6152.37</v>
      </c>
      <c r="P143" s="241">
        <v>0</v>
      </c>
      <c r="Q143" s="199">
        <v>6084.83</v>
      </c>
      <c r="R143" s="171">
        <f t="shared" si="38"/>
        <v>6084.83</v>
      </c>
      <c r="S143" s="205">
        <v>5890.33</v>
      </c>
      <c r="T143" s="241">
        <v>194.5</v>
      </c>
      <c r="U143" s="241">
        <v>5908.39</v>
      </c>
      <c r="V143" s="171">
        <f t="shared" si="39"/>
        <v>6102.89</v>
      </c>
      <c r="W143" s="56">
        <v>6191.9000000000005</v>
      </c>
      <c r="X143" s="658">
        <f t="shared" si="46"/>
        <v>0</v>
      </c>
      <c r="Y143" s="659">
        <v>6356.04</v>
      </c>
      <c r="Z143" s="171">
        <f t="shared" si="40"/>
        <v>6356.04</v>
      </c>
      <c r="AA143" s="56"/>
      <c r="AB143" s="241">
        <f t="shared" si="47"/>
        <v>6356.04</v>
      </c>
      <c r="AC143" s="241"/>
      <c r="AE143" s="531">
        <f t="shared" si="43"/>
        <v>0</v>
      </c>
      <c r="AG143" t="s">
        <v>687</v>
      </c>
      <c r="AH143" t="s">
        <v>1989</v>
      </c>
      <c r="AI143" s="199">
        <v>5636.74</v>
      </c>
      <c r="AJ143" s="199">
        <v>0</v>
      </c>
      <c r="AK143" s="199">
        <v>0</v>
      </c>
      <c r="AL143" s="199">
        <v>0</v>
      </c>
      <c r="AM143" s="199">
        <v>412.95</v>
      </c>
      <c r="AN143" s="199">
        <v>183.81</v>
      </c>
      <c r="AO143" s="199">
        <v>108.76</v>
      </c>
      <c r="AP143" s="199">
        <v>0</v>
      </c>
      <c r="AQ143" s="199">
        <v>13.78</v>
      </c>
      <c r="AR143" s="199">
        <v>0</v>
      </c>
      <c r="AS143" s="199">
        <v>6356.04</v>
      </c>
      <c r="AT143"/>
      <c r="AU143"/>
      <c r="AV143" t="str">
        <f t="shared" si="44"/>
        <v>38264</v>
      </c>
      <c r="AW143" s="241">
        <f t="shared" si="45"/>
        <v>6356.04</v>
      </c>
      <c r="AY143" s="167">
        <f t="shared" si="48"/>
        <v>0</v>
      </c>
      <c r="BA143" s="197">
        <v>136</v>
      </c>
      <c r="BB143" s="73" t="s">
        <v>687</v>
      </c>
      <c r="BC143" s="73" t="s">
        <v>1319</v>
      </c>
      <c r="BD143" s="56">
        <v>6191.9000000000005</v>
      </c>
    </row>
    <row r="144" spans="1:56">
      <c r="A144" s="197">
        <v>137</v>
      </c>
      <c r="B144" s="73" t="s">
        <v>611</v>
      </c>
      <c r="C144" s="73" t="s">
        <v>1320</v>
      </c>
      <c r="D144" s="168">
        <v>0</v>
      </c>
      <c r="E144" s="170">
        <v>34801.15</v>
      </c>
      <c r="F144" s="171">
        <f t="shared" si="41"/>
        <v>34801.15</v>
      </c>
      <c r="G144" s="182">
        <v>15389.65</v>
      </c>
      <c r="H144" s="179">
        <v>19411.5</v>
      </c>
      <c r="I144" s="170">
        <v>50257.58</v>
      </c>
      <c r="J144" s="171">
        <f t="shared" si="42"/>
        <v>69669.08</v>
      </c>
      <c r="K144" s="205">
        <v>73370.3</v>
      </c>
      <c r="L144" s="171">
        <v>0</v>
      </c>
      <c r="M144" s="199">
        <v>54229.790000000008</v>
      </c>
      <c r="N144" s="171">
        <f t="shared" si="37"/>
        <v>54229.790000000008</v>
      </c>
      <c r="O144" s="205">
        <v>55083.86</v>
      </c>
      <c r="P144" s="241">
        <v>0</v>
      </c>
      <c r="Q144" s="199">
        <v>58452.549999999996</v>
      </c>
      <c r="R144" s="171">
        <f t="shared" si="38"/>
        <v>58452.549999999996</v>
      </c>
      <c r="S144" s="205">
        <v>38739.83</v>
      </c>
      <c r="T144" s="241">
        <v>19712.719999999994</v>
      </c>
      <c r="U144" s="241">
        <v>60802.829999999994</v>
      </c>
      <c r="V144" s="171">
        <f t="shared" si="39"/>
        <v>80515.549999999988</v>
      </c>
      <c r="W144" s="56">
        <v>6846.7</v>
      </c>
      <c r="X144" s="658">
        <f t="shared" si="46"/>
        <v>73668.849999999991</v>
      </c>
      <c r="Y144" s="659">
        <v>66192.320000000007</v>
      </c>
      <c r="Z144" s="171">
        <f t="shared" si="40"/>
        <v>139861.16999999998</v>
      </c>
      <c r="AA144" s="56"/>
      <c r="AB144" s="241">
        <f t="shared" si="47"/>
        <v>139861.16999999998</v>
      </c>
      <c r="AC144" s="241"/>
      <c r="AE144" s="531">
        <f t="shared" si="43"/>
        <v>0</v>
      </c>
      <c r="AG144" t="s">
        <v>611</v>
      </c>
      <c r="AH144" t="s">
        <v>1947</v>
      </c>
      <c r="AI144" s="199">
        <v>52478.37</v>
      </c>
      <c r="AJ144" s="199">
        <v>2283.8000000000002</v>
      </c>
      <c r="AK144" s="199">
        <v>0</v>
      </c>
      <c r="AL144" s="199">
        <v>0</v>
      </c>
      <c r="AM144" s="199">
        <v>6592.97</v>
      </c>
      <c r="AN144" s="199">
        <v>2296.0500000000002</v>
      </c>
      <c r="AO144" s="199">
        <v>0</v>
      </c>
      <c r="AP144" s="199">
        <v>0</v>
      </c>
      <c r="AQ144" s="199">
        <v>255.8</v>
      </c>
      <c r="AR144" s="199">
        <v>2285.33</v>
      </c>
      <c r="AS144" s="199">
        <v>66192.320000000007</v>
      </c>
      <c r="AT144"/>
      <c r="AU144"/>
      <c r="AV144" t="str">
        <f t="shared" si="44"/>
        <v>32362</v>
      </c>
      <c r="AW144" s="241">
        <f t="shared" si="45"/>
        <v>66192.320000000007</v>
      </c>
      <c r="AY144" s="167">
        <f t="shared" si="48"/>
        <v>0</v>
      </c>
      <c r="BA144" s="197">
        <v>137</v>
      </c>
      <c r="BB144" s="73" t="s">
        <v>611</v>
      </c>
      <c r="BC144" s="73" t="s">
        <v>1320</v>
      </c>
      <c r="BD144" s="56">
        <v>6846.7</v>
      </c>
    </row>
    <row r="145" spans="1:56">
      <c r="A145" s="197">
        <v>138</v>
      </c>
      <c r="B145" s="73" t="s">
        <v>169</v>
      </c>
      <c r="C145" s="73" t="s">
        <v>1321</v>
      </c>
      <c r="D145" s="168">
        <v>558.14999999999964</v>
      </c>
      <c r="E145" s="170">
        <v>19069.79</v>
      </c>
      <c r="F145" s="171">
        <f t="shared" si="41"/>
        <v>19627.940000000002</v>
      </c>
      <c r="G145" s="182">
        <v>17991.97</v>
      </c>
      <c r="H145" s="179">
        <v>1635.9700000000012</v>
      </c>
      <c r="I145" s="170">
        <v>28392.959999999999</v>
      </c>
      <c r="J145" s="171">
        <f t="shared" si="42"/>
        <v>30028.93</v>
      </c>
      <c r="K145" s="205">
        <v>28656.620000000003</v>
      </c>
      <c r="L145" s="171">
        <v>1372.3099999999977</v>
      </c>
      <c r="M145" s="199">
        <v>28563.809999999998</v>
      </c>
      <c r="N145" s="171">
        <f t="shared" si="37"/>
        <v>29936.119999999995</v>
      </c>
      <c r="O145" s="205">
        <v>29960.089999999997</v>
      </c>
      <c r="P145" s="241">
        <v>0</v>
      </c>
      <c r="Q145" s="199">
        <v>32128</v>
      </c>
      <c r="R145" s="171">
        <f t="shared" si="38"/>
        <v>32128</v>
      </c>
      <c r="S145" s="205">
        <v>32350.979999999996</v>
      </c>
      <c r="T145" s="241">
        <v>0</v>
      </c>
      <c r="U145" s="241">
        <v>29636.07</v>
      </c>
      <c r="V145" s="171">
        <f t="shared" si="39"/>
        <v>29636.07</v>
      </c>
      <c r="W145" s="56">
        <v>31410.299999999996</v>
      </c>
      <c r="X145" s="658">
        <f t="shared" si="46"/>
        <v>0</v>
      </c>
      <c r="Y145" s="659">
        <v>29617.879999999997</v>
      </c>
      <c r="Z145" s="171">
        <f t="shared" si="40"/>
        <v>29617.879999999997</v>
      </c>
      <c r="AA145" s="56"/>
      <c r="AB145" s="241">
        <f t="shared" si="47"/>
        <v>29617.879999999997</v>
      </c>
      <c r="AC145" s="241"/>
      <c r="AE145" s="531">
        <f t="shared" si="43"/>
        <v>0</v>
      </c>
      <c r="AG145" t="s">
        <v>169</v>
      </c>
      <c r="AH145" t="s">
        <v>1721</v>
      </c>
      <c r="AI145" s="199">
        <v>23522.67</v>
      </c>
      <c r="AJ145" s="199">
        <v>1157.98</v>
      </c>
      <c r="AK145" s="199">
        <v>427.35</v>
      </c>
      <c r="AL145" s="199">
        <v>0</v>
      </c>
      <c r="AM145" s="199">
        <v>1458.7</v>
      </c>
      <c r="AN145" s="199">
        <v>1320.34</v>
      </c>
      <c r="AO145" s="199">
        <v>817.94</v>
      </c>
      <c r="AP145" s="199">
        <v>586.65</v>
      </c>
      <c r="AQ145" s="199">
        <v>75.05</v>
      </c>
      <c r="AR145" s="199">
        <v>251.2</v>
      </c>
      <c r="AS145" s="199">
        <v>29617.879999999997</v>
      </c>
      <c r="AT145"/>
      <c r="AU145"/>
      <c r="AV145" t="str">
        <f t="shared" si="44"/>
        <v>01158</v>
      </c>
      <c r="AW145" s="241">
        <f t="shared" si="45"/>
        <v>29617.879999999997</v>
      </c>
      <c r="AY145" s="167">
        <f t="shared" si="48"/>
        <v>0</v>
      </c>
      <c r="BA145" s="197">
        <v>138</v>
      </c>
      <c r="BB145" s="73" t="s">
        <v>169</v>
      </c>
      <c r="BC145" s="73" t="s">
        <v>1321</v>
      </c>
      <c r="BD145" s="56">
        <v>31410.299999999996</v>
      </c>
    </row>
    <row r="146" spans="1:56">
      <c r="A146" s="197">
        <v>139</v>
      </c>
      <c r="B146" s="73" t="s">
        <v>233</v>
      </c>
      <c r="C146" s="73" t="s">
        <v>1322</v>
      </c>
      <c r="D146" s="168">
        <v>0</v>
      </c>
      <c r="E146" s="170">
        <v>427087.6</v>
      </c>
      <c r="F146" s="171">
        <f t="shared" si="41"/>
        <v>427087.6</v>
      </c>
      <c r="G146" s="182">
        <v>423746.18</v>
      </c>
      <c r="H146" s="179">
        <v>3341.4199999999837</v>
      </c>
      <c r="I146" s="170">
        <v>587125.79</v>
      </c>
      <c r="J146" s="171">
        <f t="shared" si="42"/>
        <v>590467.21</v>
      </c>
      <c r="K146" s="205">
        <v>701968.9</v>
      </c>
      <c r="L146" s="171">
        <v>0</v>
      </c>
      <c r="M146" s="199">
        <v>592234.70000000007</v>
      </c>
      <c r="N146" s="171">
        <f t="shared" si="37"/>
        <v>592234.70000000007</v>
      </c>
      <c r="O146" s="205">
        <v>708443.97</v>
      </c>
      <c r="P146" s="241">
        <v>0</v>
      </c>
      <c r="Q146" s="199">
        <v>646232.68999999994</v>
      </c>
      <c r="R146" s="171">
        <f t="shared" si="38"/>
        <v>646232.68999999994</v>
      </c>
      <c r="S146" s="205">
        <v>765153.14999999991</v>
      </c>
      <c r="T146" s="241">
        <v>0</v>
      </c>
      <c r="U146" s="241">
        <v>664436.69999999995</v>
      </c>
      <c r="V146" s="171">
        <f t="shared" si="39"/>
        <v>664436.69999999995</v>
      </c>
      <c r="W146" s="56">
        <v>769165.02000000014</v>
      </c>
      <c r="X146" s="658">
        <f t="shared" si="46"/>
        <v>0</v>
      </c>
      <c r="Y146" s="659">
        <v>724354.98</v>
      </c>
      <c r="Z146" s="171">
        <f t="shared" si="40"/>
        <v>724354.98</v>
      </c>
      <c r="AA146" s="56"/>
      <c r="AB146" s="241">
        <f t="shared" si="47"/>
        <v>724354.98</v>
      </c>
      <c r="AC146" s="241"/>
      <c r="AE146" s="531">
        <f t="shared" si="43"/>
        <v>0</v>
      </c>
      <c r="AG146" t="s">
        <v>233</v>
      </c>
      <c r="AH146" t="s">
        <v>1755</v>
      </c>
      <c r="AI146" s="199">
        <v>488322.57</v>
      </c>
      <c r="AJ146" s="199">
        <v>29127.25</v>
      </c>
      <c r="AK146" s="199">
        <v>3968.7</v>
      </c>
      <c r="AL146" s="199">
        <v>0</v>
      </c>
      <c r="AM146" s="199">
        <v>108041.60000000001</v>
      </c>
      <c r="AN146" s="199">
        <v>38660.699999999997</v>
      </c>
      <c r="AO146" s="199">
        <v>25762.06</v>
      </c>
      <c r="AP146" s="199">
        <v>13200.39</v>
      </c>
      <c r="AQ146" s="199">
        <v>2720.34</v>
      </c>
      <c r="AR146" s="199">
        <v>14551.37</v>
      </c>
      <c r="AS146" s="199">
        <v>724354.98</v>
      </c>
      <c r="AT146"/>
      <c r="AU146"/>
      <c r="AV146" t="str">
        <f t="shared" si="44"/>
        <v>08122</v>
      </c>
      <c r="AW146" s="241">
        <f t="shared" si="45"/>
        <v>724354.98</v>
      </c>
      <c r="AY146" s="167">
        <f t="shared" si="48"/>
        <v>0</v>
      </c>
      <c r="BA146" s="197">
        <v>139</v>
      </c>
      <c r="BB146" s="73" t="s">
        <v>233</v>
      </c>
      <c r="BC146" s="73" t="s">
        <v>1322</v>
      </c>
      <c r="BD146" s="56">
        <v>769165.02000000014</v>
      </c>
    </row>
    <row r="147" spans="1:56">
      <c r="A147" s="197">
        <v>140</v>
      </c>
      <c r="B147" s="73" t="s">
        <v>628</v>
      </c>
      <c r="C147" s="73" t="s">
        <v>1323</v>
      </c>
      <c r="D147" s="168">
        <v>474.21000000000004</v>
      </c>
      <c r="E147" s="170">
        <v>7045.1799999999994</v>
      </c>
      <c r="F147" s="171">
        <f t="shared" si="41"/>
        <v>7519.3899999999994</v>
      </c>
      <c r="G147" s="182">
        <v>7887.34</v>
      </c>
      <c r="H147" s="179">
        <v>0</v>
      </c>
      <c r="I147" s="170">
        <v>10576.33</v>
      </c>
      <c r="J147" s="171">
        <f t="shared" si="42"/>
        <v>10576.33</v>
      </c>
      <c r="K147" s="205">
        <v>9071.15</v>
      </c>
      <c r="L147" s="171">
        <v>1505.1800000000003</v>
      </c>
      <c r="M147" s="199">
        <v>11958.84</v>
      </c>
      <c r="N147" s="171">
        <f t="shared" si="37"/>
        <v>13464.02</v>
      </c>
      <c r="O147" s="205">
        <v>15982.989999999998</v>
      </c>
      <c r="P147" s="241">
        <v>0</v>
      </c>
      <c r="Q147" s="199">
        <v>13010.560000000001</v>
      </c>
      <c r="R147" s="171">
        <f t="shared" si="38"/>
        <v>13010.560000000001</v>
      </c>
      <c r="S147" s="205">
        <v>14879.37</v>
      </c>
      <c r="T147" s="241">
        <v>0</v>
      </c>
      <c r="U147" s="241">
        <v>12298.34</v>
      </c>
      <c r="V147" s="171">
        <f t="shared" si="39"/>
        <v>12298.34</v>
      </c>
      <c r="W147" s="56">
        <v>13097.61</v>
      </c>
      <c r="X147" s="658">
        <f t="shared" si="46"/>
        <v>0</v>
      </c>
      <c r="Y147" s="659">
        <v>13376.74</v>
      </c>
      <c r="Z147" s="171">
        <f t="shared" si="40"/>
        <v>13376.74</v>
      </c>
      <c r="AA147" s="56"/>
      <c r="AB147" s="241">
        <f t="shared" si="47"/>
        <v>13376.74</v>
      </c>
      <c r="AC147" s="241"/>
      <c r="AE147" s="531">
        <f t="shared" si="43"/>
        <v>0</v>
      </c>
      <c r="AG147" t="s">
        <v>628</v>
      </c>
      <c r="AH147" t="s">
        <v>1956</v>
      </c>
      <c r="AI147" s="199">
        <v>9835.2000000000007</v>
      </c>
      <c r="AJ147" s="199">
        <v>0</v>
      </c>
      <c r="AK147" s="199">
        <v>0</v>
      </c>
      <c r="AL147" s="199">
        <v>0</v>
      </c>
      <c r="AM147" s="199">
        <v>1758.62</v>
      </c>
      <c r="AN147" s="199">
        <v>1223.8399999999999</v>
      </c>
      <c r="AO147" s="199">
        <v>445.73</v>
      </c>
      <c r="AP147" s="199">
        <v>0</v>
      </c>
      <c r="AQ147" s="199">
        <v>113.35</v>
      </c>
      <c r="AR147" s="199">
        <v>0</v>
      </c>
      <c r="AS147" s="199">
        <v>13376.74</v>
      </c>
      <c r="AT147"/>
      <c r="AU147"/>
      <c r="AV147" t="str">
        <f t="shared" si="44"/>
        <v>33183</v>
      </c>
      <c r="AW147" s="241">
        <f t="shared" si="45"/>
        <v>13376.74</v>
      </c>
      <c r="AY147" s="167">
        <f t="shared" si="48"/>
        <v>0</v>
      </c>
      <c r="BA147" s="197">
        <v>140</v>
      </c>
      <c r="BB147" s="73" t="s">
        <v>628</v>
      </c>
      <c r="BC147" s="73" t="s">
        <v>1323</v>
      </c>
      <c r="BD147" s="56">
        <v>13097.61</v>
      </c>
    </row>
    <row r="148" spans="1:56">
      <c r="A148" s="197">
        <v>141</v>
      </c>
      <c r="B148" s="73" t="s">
        <v>539</v>
      </c>
      <c r="C148" s="73" t="s">
        <v>1324</v>
      </c>
      <c r="D148" s="168">
        <v>3747.8200000000015</v>
      </c>
      <c r="E148" s="170">
        <v>24192.289999999997</v>
      </c>
      <c r="F148" s="171">
        <f t="shared" si="41"/>
        <v>27940.11</v>
      </c>
      <c r="G148" s="182">
        <v>23542.07</v>
      </c>
      <c r="H148" s="179">
        <v>4398.0400000000009</v>
      </c>
      <c r="I148" s="170">
        <v>33330.840000000004</v>
      </c>
      <c r="J148" s="171">
        <f t="shared" si="42"/>
        <v>37728.880000000005</v>
      </c>
      <c r="K148" s="205"/>
      <c r="L148" s="171">
        <v>37728.880000000005</v>
      </c>
      <c r="M148" s="199">
        <v>34824.949999999997</v>
      </c>
      <c r="N148" s="171">
        <f t="shared" si="37"/>
        <v>72553.83</v>
      </c>
      <c r="O148" s="205">
        <v>38336.51</v>
      </c>
      <c r="P148" s="241">
        <v>34217.32</v>
      </c>
      <c r="Q148" s="199">
        <v>36294.899999999994</v>
      </c>
      <c r="R148" s="171">
        <f t="shared" si="38"/>
        <v>70512.22</v>
      </c>
      <c r="S148" s="205">
        <v>36025.85</v>
      </c>
      <c r="T148" s="241">
        <v>34486.370000000003</v>
      </c>
      <c r="U148" s="241">
        <v>36481.96</v>
      </c>
      <c r="V148" s="171">
        <f t="shared" si="39"/>
        <v>70968.33</v>
      </c>
      <c r="W148" s="56">
        <v>44440.650000000009</v>
      </c>
      <c r="X148" s="658">
        <f t="shared" si="46"/>
        <v>26527.679999999993</v>
      </c>
      <c r="Y148" s="659">
        <v>37264.579999999994</v>
      </c>
      <c r="Z148" s="171">
        <f t="shared" si="40"/>
        <v>63792.259999999987</v>
      </c>
      <c r="AA148" s="56"/>
      <c r="AB148" s="241">
        <f t="shared" si="47"/>
        <v>63792.259999999987</v>
      </c>
      <c r="AC148" s="241"/>
      <c r="AE148" s="531">
        <f t="shared" si="43"/>
        <v>0</v>
      </c>
      <c r="AG148" t="s">
        <v>539</v>
      </c>
      <c r="AH148" t="s">
        <v>2572</v>
      </c>
      <c r="AI148" s="199">
        <v>29994.32</v>
      </c>
      <c r="AJ148" s="199">
        <v>386</v>
      </c>
      <c r="AK148" s="199">
        <v>0</v>
      </c>
      <c r="AL148" s="199">
        <v>0</v>
      </c>
      <c r="AM148" s="199">
        <v>3698.51</v>
      </c>
      <c r="AN148" s="199">
        <v>1446.2</v>
      </c>
      <c r="AO148" s="199">
        <v>1075.6400000000001</v>
      </c>
      <c r="AP148" s="199">
        <v>566.13</v>
      </c>
      <c r="AQ148" s="199">
        <v>97.78</v>
      </c>
      <c r="AR148" s="199">
        <v>0</v>
      </c>
      <c r="AS148" s="199">
        <v>37264.579999999994</v>
      </c>
      <c r="AT148"/>
      <c r="AU148"/>
      <c r="AV148" t="str">
        <f t="shared" si="44"/>
        <v>28144</v>
      </c>
      <c r="AW148" s="241">
        <f t="shared" si="45"/>
        <v>37264.579999999994</v>
      </c>
      <c r="AY148" s="167">
        <f t="shared" si="48"/>
        <v>0</v>
      </c>
      <c r="BA148" s="197">
        <v>141</v>
      </c>
      <c r="BB148" s="73" t="s">
        <v>539</v>
      </c>
      <c r="BC148" s="73" t="s">
        <v>1324</v>
      </c>
      <c r="BD148" s="56">
        <v>44440.650000000009</v>
      </c>
    </row>
    <row r="149" spans="1:56">
      <c r="A149" s="197">
        <v>142</v>
      </c>
      <c r="B149" s="174" t="s">
        <v>1627</v>
      </c>
      <c r="C149" s="175" t="s">
        <v>1628</v>
      </c>
      <c r="D149" s="168"/>
      <c r="E149" s="170"/>
      <c r="F149" s="171">
        <f t="shared" si="41"/>
        <v>0</v>
      </c>
      <c r="G149" s="182"/>
      <c r="H149" s="180">
        <v>0</v>
      </c>
      <c r="I149" s="170">
        <v>13679.67</v>
      </c>
      <c r="J149" s="171">
        <f t="shared" si="42"/>
        <v>13679.67</v>
      </c>
      <c r="K149" s="205">
        <v>13927.7</v>
      </c>
      <c r="L149" s="171">
        <v>0</v>
      </c>
      <c r="M149" s="199">
        <v>13945.5</v>
      </c>
      <c r="N149" s="171">
        <f t="shared" si="37"/>
        <v>13945.5</v>
      </c>
      <c r="O149" s="205">
        <v>14015.420000000002</v>
      </c>
      <c r="P149" s="241">
        <v>0</v>
      </c>
      <c r="Q149" s="199">
        <v>14609.08</v>
      </c>
      <c r="R149" s="171">
        <f t="shared" si="38"/>
        <v>14609.08</v>
      </c>
      <c r="S149" s="205">
        <v>14660.31</v>
      </c>
      <c r="T149" s="241">
        <v>0</v>
      </c>
      <c r="U149" s="241">
        <v>14090.960000000001</v>
      </c>
      <c r="V149" s="171">
        <f t="shared" si="39"/>
        <v>14090.960000000001</v>
      </c>
      <c r="W149" s="56">
        <v>14257.45</v>
      </c>
      <c r="X149" s="658">
        <f t="shared" si="46"/>
        <v>0</v>
      </c>
      <c r="Y149" s="659">
        <v>14417.619999999999</v>
      </c>
      <c r="Z149" s="171">
        <f t="shared" si="40"/>
        <v>14417.619999999999</v>
      </c>
      <c r="AA149" s="56"/>
      <c r="AB149" s="241">
        <f t="shared" si="47"/>
        <v>14417.619999999999</v>
      </c>
      <c r="AC149" s="241"/>
      <c r="AE149" s="531">
        <f t="shared" si="43"/>
        <v>0</v>
      </c>
      <c r="AG149" t="s">
        <v>1627</v>
      </c>
      <c r="AH149" t="s">
        <v>2027</v>
      </c>
      <c r="AI149" s="199">
        <v>13785.51</v>
      </c>
      <c r="AJ149" s="199">
        <v>0</v>
      </c>
      <c r="AK149" s="199">
        <v>0</v>
      </c>
      <c r="AL149" s="199">
        <v>0</v>
      </c>
      <c r="AM149" s="199">
        <v>272.14999999999998</v>
      </c>
      <c r="AN149" s="199">
        <v>235.89</v>
      </c>
      <c r="AO149" s="199">
        <v>124.07</v>
      </c>
      <c r="AP149" s="199">
        <v>0</v>
      </c>
      <c r="AQ149" s="199">
        <v>0</v>
      </c>
      <c r="AR149" s="199">
        <v>0</v>
      </c>
      <c r="AS149" s="199">
        <v>14417.619999999999</v>
      </c>
      <c r="AT149"/>
      <c r="AU149"/>
      <c r="AV149" t="str">
        <f t="shared" si="44"/>
        <v>32903</v>
      </c>
      <c r="AW149" s="241">
        <f t="shared" si="45"/>
        <v>14417.619999999999</v>
      </c>
      <c r="AY149" s="167">
        <f t="shared" si="48"/>
        <v>0</v>
      </c>
      <c r="BA149" s="197">
        <v>142</v>
      </c>
      <c r="BB149" s="174" t="s">
        <v>1627</v>
      </c>
      <c r="BC149" s="175" t="s">
        <v>1628</v>
      </c>
      <c r="BD149" s="56">
        <v>14257.45</v>
      </c>
    </row>
    <row r="150" spans="1:56">
      <c r="A150" s="197">
        <v>143</v>
      </c>
      <c r="B150" s="73" t="s">
        <v>1179</v>
      </c>
      <c r="C150" s="73" t="s">
        <v>1325</v>
      </c>
      <c r="D150" s="168">
        <v>15296.679999999998</v>
      </c>
      <c r="E150" s="170">
        <v>35418.61</v>
      </c>
      <c r="F150" s="171">
        <f t="shared" si="41"/>
        <v>50715.29</v>
      </c>
      <c r="G150" s="182"/>
      <c r="H150" s="179">
        <v>50715.29</v>
      </c>
      <c r="I150" s="170">
        <v>50970.239999999998</v>
      </c>
      <c r="J150" s="171">
        <f t="shared" si="42"/>
        <v>101685.53</v>
      </c>
      <c r="K150" s="205"/>
      <c r="L150" s="171">
        <v>101685.53</v>
      </c>
      <c r="M150" s="199">
        <v>51056.790000000008</v>
      </c>
      <c r="N150" s="171">
        <f t="shared" si="37"/>
        <v>152742.32</v>
      </c>
      <c r="O150" s="205">
        <v>42646.380000000005</v>
      </c>
      <c r="P150" s="241">
        <v>110095.94</v>
      </c>
      <c r="Q150" s="199">
        <v>54646.81</v>
      </c>
      <c r="R150" s="171">
        <f t="shared" si="38"/>
        <v>164742.75</v>
      </c>
      <c r="S150" s="205">
        <v>15629.11</v>
      </c>
      <c r="T150" s="241">
        <v>149113.64000000001</v>
      </c>
      <c r="U150" s="241">
        <v>53903.25</v>
      </c>
      <c r="V150" s="171">
        <f t="shared" si="39"/>
        <v>203016.89</v>
      </c>
      <c r="W150" s="56"/>
      <c r="X150" s="658">
        <f t="shared" si="46"/>
        <v>203016.89</v>
      </c>
      <c r="Y150" s="659">
        <v>56814.289999999986</v>
      </c>
      <c r="Z150" s="171">
        <f t="shared" si="40"/>
        <v>259831.18</v>
      </c>
      <c r="AA150" s="56"/>
      <c r="AB150" s="241">
        <f t="shared" si="47"/>
        <v>259831.18</v>
      </c>
      <c r="AC150" s="241"/>
      <c r="AE150" s="531">
        <f t="shared" si="43"/>
        <v>0</v>
      </c>
      <c r="AG150" t="s">
        <v>1179</v>
      </c>
      <c r="AH150" t="s">
        <v>1987</v>
      </c>
      <c r="AI150" s="199">
        <v>41835.99</v>
      </c>
      <c r="AJ150" s="199">
        <v>712.77</v>
      </c>
      <c r="AK150" s="199">
        <v>0</v>
      </c>
      <c r="AL150" s="199">
        <v>0</v>
      </c>
      <c r="AM150" s="199">
        <v>8470.81</v>
      </c>
      <c r="AN150" s="199">
        <v>3878.84</v>
      </c>
      <c r="AO150" s="199">
        <v>1915.88</v>
      </c>
      <c r="AP150" s="199">
        <v>0</v>
      </c>
      <c r="AQ150" s="199">
        <v>0</v>
      </c>
      <c r="AR150" s="199">
        <v>0</v>
      </c>
      <c r="AS150" s="199">
        <v>56814.289999999986</v>
      </c>
      <c r="AT150"/>
      <c r="AU150"/>
      <c r="AV150" t="str">
        <f t="shared" si="44"/>
        <v>37903</v>
      </c>
      <c r="AW150" s="241">
        <f t="shared" si="45"/>
        <v>56814.289999999986</v>
      </c>
      <c r="AY150" s="167">
        <f t="shared" si="48"/>
        <v>0</v>
      </c>
      <c r="BA150" s="197">
        <v>143</v>
      </c>
      <c r="BB150" s="73" t="s">
        <v>1179</v>
      </c>
      <c r="BC150" s="73" t="s">
        <v>1325</v>
      </c>
      <c r="BD150" s="56"/>
    </row>
    <row r="151" spans="1:56">
      <c r="A151" s="197">
        <v>144</v>
      </c>
      <c r="B151" s="73" t="s">
        <v>414</v>
      </c>
      <c r="C151" s="73" t="s">
        <v>1326</v>
      </c>
      <c r="D151" s="168">
        <v>0</v>
      </c>
      <c r="E151" s="170">
        <v>19155.219999999998</v>
      </c>
      <c r="F151" s="171">
        <f t="shared" si="41"/>
        <v>19155.219999999998</v>
      </c>
      <c r="G151" s="182">
        <v>3076.96</v>
      </c>
      <c r="H151" s="179">
        <v>16078.259999999998</v>
      </c>
      <c r="I151" s="170">
        <v>26581.56</v>
      </c>
      <c r="J151" s="171">
        <f t="shared" si="42"/>
        <v>42659.82</v>
      </c>
      <c r="K151" s="205">
        <v>31946.720000000001</v>
      </c>
      <c r="L151" s="171">
        <v>10713.099999999999</v>
      </c>
      <c r="M151" s="199">
        <v>26165.480000000003</v>
      </c>
      <c r="N151" s="171">
        <f t="shared" si="37"/>
        <v>36878.58</v>
      </c>
      <c r="O151" s="205">
        <v>21244.149999999998</v>
      </c>
      <c r="P151" s="241">
        <v>15634.430000000004</v>
      </c>
      <c r="Q151" s="199">
        <v>28452.86</v>
      </c>
      <c r="R151" s="171">
        <f t="shared" si="38"/>
        <v>44087.290000000008</v>
      </c>
      <c r="S151" s="205">
        <v>0</v>
      </c>
      <c r="T151" s="241">
        <v>44087.290000000008</v>
      </c>
      <c r="U151" s="241">
        <v>28158.71</v>
      </c>
      <c r="V151" s="171">
        <f t="shared" si="39"/>
        <v>72246</v>
      </c>
      <c r="W151" s="56">
        <v>12041.2</v>
      </c>
      <c r="X151" s="658">
        <f t="shared" si="46"/>
        <v>60204.800000000003</v>
      </c>
      <c r="Y151" s="659">
        <v>29562.27</v>
      </c>
      <c r="Z151" s="171">
        <f t="shared" si="40"/>
        <v>89767.07</v>
      </c>
      <c r="AA151" s="56"/>
      <c r="AB151" s="241">
        <f t="shared" si="47"/>
        <v>89767.07</v>
      </c>
      <c r="AC151" s="241"/>
      <c r="AE151" s="531">
        <f t="shared" si="43"/>
        <v>0</v>
      </c>
      <c r="AG151" t="s">
        <v>414</v>
      </c>
      <c r="AH151" t="s">
        <v>1849</v>
      </c>
      <c r="AI151" s="199">
        <v>26215.45</v>
      </c>
      <c r="AJ151" s="199">
        <v>0</v>
      </c>
      <c r="AK151" s="199">
        <v>0</v>
      </c>
      <c r="AL151" s="199">
        <v>0</v>
      </c>
      <c r="AM151" s="199">
        <v>0</v>
      </c>
      <c r="AN151" s="199">
        <v>1223.8399999999999</v>
      </c>
      <c r="AO151" s="199">
        <v>900.66</v>
      </c>
      <c r="AP151" s="199">
        <v>261.93</v>
      </c>
      <c r="AQ151" s="199">
        <v>0</v>
      </c>
      <c r="AR151" s="199">
        <v>960.39</v>
      </c>
      <c r="AS151" s="199">
        <v>29562.27</v>
      </c>
      <c r="AT151"/>
      <c r="AU151"/>
      <c r="AV151" t="str">
        <f t="shared" si="44"/>
        <v>20406</v>
      </c>
      <c r="AW151" s="241">
        <f t="shared" si="45"/>
        <v>29562.27</v>
      </c>
      <c r="AY151" s="167">
        <f t="shared" si="48"/>
        <v>0</v>
      </c>
      <c r="BA151" s="197">
        <v>144</v>
      </c>
      <c r="BB151" s="73" t="s">
        <v>414</v>
      </c>
      <c r="BC151" s="73" t="s">
        <v>1326</v>
      </c>
      <c r="BD151" s="56">
        <v>12041.2</v>
      </c>
    </row>
    <row r="152" spans="1:56">
      <c r="A152" s="197">
        <v>145</v>
      </c>
      <c r="B152" s="73" t="s">
        <v>677</v>
      </c>
      <c r="C152" s="73" t="s">
        <v>1327</v>
      </c>
      <c r="D152" s="168">
        <v>0</v>
      </c>
      <c r="E152" s="170">
        <v>212590.22999999998</v>
      </c>
      <c r="F152" s="171">
        <f t="shared" si="41"/>
        <v>212590.22999999998</v>
      </c>
      <c r="G152" s="182">
        <v>205750.32</v>
      </c>
      <c r="H152" s="179">
        <v>6839.9099999999744</v>
      </c>
      <c r="I152" s="170">
        <v>278932.16000000003</v>
      </c>
      <c r="J152" s="171">
        <f t="shared" si="42"/>
        <v>285772.07</v>
      </c>
      <c r="K152" s="205">
        <v>349748.5799999999</v>
      </c>
      <c r="L152" s="171">
        <v>0</v>
      </c>
      <c r="M152" s="199">
        <v>290188.18000000005</v>
      </c>
      <c r="N152" s="171">
        <f t="shared" ref="N152:N183" si="49">+L152+M152</f>
        <v>290188.18000000005</v>
      </c>
      <c r="O152" s="205">
        <v>267698</v>
      </c>
      <c r="P152" s="241">
        <v>22490.180000000051</v>
      </c>
      <c r="Q152" s="199">
        <v>326496.51</v>
      </c>
      <c r="R152" s="171">
        <f t="shared" ref="R152:R183" si="50">+P152+Q152</f>
        <v>348986.69000000006</v>
      </c>
      <c r="S152" s="205">
        <v>261862</v>
      </c>
      <c r="T152" s="241">
        <v>87124.690000000061</v>
      </c>
      <c r="U152" s="241">
        <v>359121.2</v>
      </c>
      <c r="V152" s="171">
        <f t="shared" ref="V152:V183" si="51">+T152+U152</f>
        <v>446245.89000000007</v>
      </c>
      <c r="W152" s="56">
        <v>386471.66</v>
      </c>
      <c r="X152" s="658">
        <f t="shared" si="46"/>
        <v>59774.230000000098</v>
      </c>
      <c r="Y152" s="659">
        <v>384174.23</v>
      </c>
      <c r="Z152" s="171">
        <f t="shared" ref="Z152:Z183" si="52">+X152+Y152</f>
        <v>443948.46000000008</v>
      </c>
      <c r="AA152" s="56"/>
      <c r="AB152" s="241">
        <f t="shared" si="47"/>
        <v>443948.46000000008</v>
      </c>
      <c r="AC152" s="241"/>
      <c r="AE152" s="531">
        <f t="shared" si="43"/>
        <v>0</v>
      </c>
      <c r="AG152" t="s">
        <v>677</v>
      </c>
      <c r="AH152" t="s">
        <v>1983</v>
      </c>
      <c r="AI152" s="199">
        <v>265907.15999999997</v>
      </c>
      <c r="AJ152" s="199">
        <v>16359.3</v>
      </c>
      <c r="AK152" s="199">
        <v>1739.55</v>
      </c>
      <c r="AL152" s="199">
        <v>0</v>
      </c>
      <c r="AM152" s="199">
        <v>58036.52</v>
      </c>
      <c r="AN152" s="199">
        <v>15679.95</v>
      </c>
      <c r="AO152" s="199">
        <v>2701.95</v>
      </c>
      <c r="AP152" s="199">
        <v>12736.1</v>
      </c>
      <c r="AQ152" s="199">
        <v>1713.81</v>
      </c>
      <c r="AR152" s="199">
        <v>9299.89</v>
      </c>
      <c r="AS152" s="199">
        <v>384174.23</v>
      </c>
      <c r="AT152"/>
      <c r="AU152"/>
      <c r="AV152" t="str">
        <f t="shared" si="44"/>
        <v>37504</v>
      </c>
      <c r="AW152" s="241">
        <f t="shared" si="45"/>
        <v>384174.23</v>
      </c>
      <c r="AY152" s="167">
        <f t="shared" si="48"/>
        <v>0</v>
      </c>
      <c r="BA152" s="197">
        <v>145</v>
      </c>
      <c r="BB152" s="73" t="s">
        <v>677</v>
      </c>
      <c r="BC152" s="73" t="s">
        <v>1327</v>
      </c>
      <c r="BD152" s="56">
        <v>386471.66</v>
      </c>
    </row>
    <row r="153" spans="1:56">
      <c r="A153" s="197">
        <v>146</v>
      </c>
      <c r="B153" s="73" t="s">
        <v>720</v>
      </c>
      <c r="C153" s="73" t="s">
        <v>1328</v>
      </c>
      <c r="D153" s="168">
        <v>0</v>
      </c>
      <c r="E153" s="170">
        <v>61154.79</v>
      </c>
      <c r="F153" s="171">
        <f t="shared" si="41"/>
        <v>61154.79</v>
      </c>
      <c r="G153" s="182">
        <v>61306.21</v>
      </c>
      <c r="H153" s="179">
        <v>0</v>
      </c>
      <c r="I153" s="170">
        <v>91882.060000000012</v>
      </c>
      <c r="J153" s="171">
        <f t="shared" si="42"/>
        <v>91882.060000000012</v>
      </c>
      <c r="K153" s="205">
        <v>69472.259999999995</v>
      </c>
      <c r="L153" s="171">
        <v>22409.800000000017</v>
      </c>
      <c r="M153" s="199">
        <v>88785.83</v>
      </c>
      <c r="N153" s="171">
        <f t="shared" si="49"/>
        <v>111195.63000000002</v>
      </c>
      <c r="O153" s="205"/>
      <c r="P153" s="241">
        <v>111195.63000000002</v>
      </c>
      <c r="Q153" s="199">
        <v>91870.43</v>
      </c>
      <c r="R153" s="171">
        <f t="shared" si="50"/>
        <v>203066.06</v>
      </c>
      <c r="S153" s="205">
        <v>67935.7</v>
      </c>
      <c r="T153" s="241">
        <v>135130.35999999999</v>
      </c>
      <c r="U153" s="241">
        <v>83690.959999999992</v>
      </c>
      <c r="V153" s="171">
        <f t="shared" si="51"/>
        <v>218821.31999999998</v>
      </c>
      <c r="W153" s="56">
        <v>59160.23000000001</v>
      </c>
      <c r="X153" s="658">
        <f t="shared" si="46"/>
        <v>159661.08999999997</v>
      </c>
      <c r="Y153" s="659">
        <v>89965.169999999984</v>
      </c>
      <c r="Z153" s="171">
        <f t="shared" si="52"/>
        <v>249626.25999999995</v>
      </c>
      <c r="AA153" s="56"/>
      <c r="AB153" s="241">
        <f t="shared" si="47"/>
        <v>249626.25999999995</v>
      </c>
      <c r="AC153" s="241"/>
      <c r="AE153" s="531">
        <f t="shared" si="43"/>
        <v>0</v>
      </c>
      <c r="AG153" t="s">
        <v>720</v>
      </c>
      <c r="AH153" t="s">
        <v>2006</v>
      </c>
      <c r="AI153" s="199">
        <v>56165.23</v>
      </c>
      <c r="AJ153" s="199">
        <v>4382.2700000000004</v>
      </c>
      <c r="AK153" s="199">
        <v>687.74</v>
      </c>
      <c r="AL153" s="199">
        <v>0</v>
      </c>
      <c r="AM153" s="199">
        <v>6086.47</v>
      </c>
      <c r="AN153" s="199">
        <v>7349.2</v>
      </c>
      <c r="AO153" s="199">
        <v>3401.96</v>
      </c>
      <c r="AP153" s="199">
        <v>7710.7</v>
      </c>
      <c r="AQ153" s="199">
        <v>309.39999999999998</v>
      </c>
      <c r="AR153" s="199">
        <v>3872.2</v>
      </c>
      <c r="AS153" s="199">
        <v>89965.169999999984</v>
      </c>
      <c r="AT153"/>
      <c r="AU153"/>
      <c r="AV153" t="str">
        <f t="shared" si="44"/>
        <v>39120</v>
      </c>
      <c r="AW153" s="241">
        <f t="shared" si="45"/>
        <v>89965.169999999984</v>
      </c>
      <c r="AY153" s="167">
        <f t="shared" si="48"/>
        <v>0</v>
      </c>
      <c r="BA153" s="197">
        <v>146</v>
      </c>
      <c r="BB153" s="73" t="s">
        <v>720</v>
      </c>
      <c r="BC153" s="73" t="s">
        <v>1328</v>
      </c>
      <c r="BD153" s="56">
        <v>59160.23000000001</v>
      </c>
    </row>
    <row r="154" spans="1:56">
      <c r="A154" s="197">
        <v>147</v>
      </c>
      <c r="B154" s="73" t="s">
        <v>253</v>
      </c>
      <c r="C154" s="73" t="s">
        <v>1329</v>
      </c>
      <c r="D154" s="168">
        <v>2717.8199999999997</v>
      </c>
      <c r="E154" s="170">
        <v>13049.989999999998</v>
      </c>
      <c r="F154" s="171">
        <f t="shared" si="41"/>
        <v>15767.809999999998</v>
      </c>
      <c r="G154" s="182">
        <v>10690.06</v>
      </c>
      <c r="H154" s="179">
        <v>5077.7499999999982</v>
      </c>
      <c r="I154" s="170">
        <v>19659.199999999997</v>
      </c>
      <c r="J154" s="171">
        <f t="shared" si="42"/>
        <v>24736.949999999997</v>
      </c>
      <c r="K154" s="205">
        <v>16962.48</v>
      </c>
      <c r="L154" s="171">
        <v>7774.4699999999975</v>
      </c>
      <c r="M154" s="199">
        <v>19822.45</v>
      </c>
      <c r="N154" s="171">
        <f t="shared" si="49"/>
        <v>27596.92</v>
      </c>
      <c r="O154" s="205">
        <v>15884.550000000001</v>
      </c>
      <c r="P154" s="241">
        <v>11712.369999999997</v>
      </c>
      <c r="Q154" s="199">
        <v>21844.89</v>
      </c>
      <c r="R154" s="171">
        <f t="shared" si="50"/>
        <v>33557.259999999995</v>
      </c>
      <c r="S154" s="205">
        <v>16147.12</v>
      </c>
      <c r="T154" s="241">
        <v>17410.139999999992</v>
      </c>
      <c r="U154" s="241">
        <v>20982.25</v>
      </c>
      <c r="V154" s="171">
        <f t="shared" si="51"/>
        <v>38392.389999999992</v>
      </c>
      <c r="W154" s="56">
        <v>17677.78</v>
      </c>
      <c r="X154" s="658">
        <f t="shared" si="46"/>
        <v>20714.609999999993</v>
      </c>
      <c r="Y154" s="659">
        <v>21791.84</v>
      </c>
      <c r="Z154" s="171">
        <f t="shared" si="52"/>
        <v>42506.45</v>
      </c>
      <c r="AA154" s="56"/>
      <c r="AB154" s="241">
        <f t="shared" si="47"/>
        <v>42506.45</v>
      </c>
      <c r="AC154" s="241"/>
      <c r="AE154" s="531">
        <f t="shared" si="43"/>
        <v>0</v>
      </c>
      <c r="AG154" t="s">
        <v>253</v>
      </c>
      <c r="AH154" t="s">
        <v>1765</v>
      </c>
      <c r="AI154" s="199">
        <v>19993.59</v>
      </c>
      <c r="AJ154" s="199">
        <v>402.85</v>
      </c>
      <c r="AK154" s="199">
        <v>131.72999999999999</v>
      </c>
      <c r="AL154" s="199">
        <v>0</v>
      </c>
      <c r="AM154" s="199">
        <v>0</v>
      </c>
      <c r="AN154" s="199">
        <v>719.91</v>
      </c>
      <c r="AO154" s="199">
        <v>448.79</v>
      </c>
      <c r="AP154" s="199">
        <v>94.97</v>
      </c>
      <c r="AQ154" s="199">
        <v>0</v>
      </c>
      <c r="AR154" s="199">
        <v>0</v>
      </c>
      <c r="AS154" s="199">
        <v>21791.84</v>
      </c>
      <c r="AT154"/>
      <c r="AU154"/>
      <c r="AV154" t="str">
        <f t="shared" si="44"/>
        <v>09207</v>
      </c>
      <c r="AW154" s="241">
        <f t="shared" si="45"/>
        <v>21791.84</v>
      </c>
      <c r="AY154" s="167">
        <f t="shared" si="48"/>
        <v>0</v>
      </c>
      <c r="BA154" s="197">
        <v>147</v>
      </c>
      <c r="BB154" s="73" t="s">
        <v>253</v>
      </c>
      <c r="BC154" s="73" t="s">
        <v>1329</v>
      </c>
      <c r="BD154" s="56">
        <v>17677.78</v>
      </c>
    </row>
    <row r="155" spans="1:56">
      <c r="A155" s="197">
        <v>148</v>
      </c>
      <c r="B155" s="73" t="s">
        <v>189</v>
      </c>
      <c r="C155" s="73" t="s">
        <v>1330</v>
      </c>
      <c r="D155" s="168">
        <v>1521.3199999999997</v>
      </c>
      <c r="E155" s="170">
        <v>44970.34</v>
      </c>
      <c r="F155" s="171">
        <f t="shared" ref="F155:F186" si="53">+D155+E155</f>
        <v>46491.659999999996</v>
      </c>
      <c r="G155" s="182">
        <v>42657.25</v>
      </c>
      <c r="H155" s="179">
        <v>3834.4099999999962</v>
      </c>
      <c r="I155" s="170">
        <v>65829.38</v>
      </c>
      <c r="J155" s="171">
        <f t="shared" ref="J155:J186" si="54">+H155+I155</f>
        <v>69663.790000000008</v>
      </c>
      <c r="K155" s="205">
        <v>69563.919999999984</v>
      </c>
      <c r="L155" s="171">
        <v>99.870000000024447</v>
      </c>
      <c r="M155" s="199">
        <v>65845.69</v>
      </c>
      <c r="N155" s="171">
        <f t="shared" si="49"/>
        <v>65945.560000000027</v>
      </c>
      <c r="O155" s="205">
        <v>67219.77</v>
      </c>
      <c r="P155" s="241">
        <v>0</v>
      </c>
      <c r="Q155" s="199">
        <v>72348.26999999999</v>
      </c>
      <c r="R155" s="171">
        <f t="shared" si="50"/>
        <v>72348.26999999999</v>
      </c>
      <c r="S155" s="205">
        <v>72384.01999999999</v>
      </c>
      <c r="T155" s="241">
        <v>0</v>
      </c>
      <c r="U155" s="241">
        <v>75654.19</v>
      </c>
      <c r="V155" s="171">
        <f t="shared" si="51"/>
        <v>75654.19</v>
      </c>
      <c r="W155" s="56">
        <v>75794.8</v>
      </c>
      <c r="X155" s="658">
        <f t="shared" si="46"/>
        <v>0</v>
      </c>
      <c r="Y155" s="659">
        <v>69843.53</v>
      </c>
      <c r="Z155" s="171">
        <f t="shared" si="52"/>
        <v>69843.53</v>
      </c>
      <c r="AA155" s="56"/>
      <c r="AB155" s="241">
        <f t="shared" si="47"/>
        <v>69843.53</v>
      </c>
      <c r="AC155" s="241"/>
      <c r="AE155" s="531">
        <f t="shared" si="43"/>
        <v>0</v>
      </c>
      <c r="AG155" t="s">
        <v>189</v>
      </c>
      <c r="AH155" t="s">
        <v>1731</v>
      </c>
      <c r="AI155" s="199">
        <v>49552.78</v>
      </c>
      <c r="AJ155" s="199">
        <v>4711.58</v>
      </c>
      <c r="AK155" s="199">
        <v>464.12</v>
      </c>
      <c r="AL155" s="199">
        <v>0</v>
      </c>
      <c r="AM155" s="199">
        <v>0</v>
      </c>
      <c r="AN155" s="199">
        <v>4184.67</v>
      </c>
      <c r="AO155" s="199">
        <v>2916.4</v>
      </c>
      <c r="AP155" s="199">
        <v>5596.92</v>
      </c>
      <c r="AQ155" s="199">
        <v>266.52</v>
      </c>
      <c r="AR155" s="199">
        <v>2150.54</v>
      </c>
      <c r="AS155" s="199">
        <v>69843.53</v>
      </c>
      <c r="AT155"/>
      <c r="AU155"/>
      <c r="AV155" t="str">
        <f t="shared" si="44"/>
        <v>04019</v>
      </c>
      <c r="AW155" s="241">
        <f t="shared" si="45"/>
        <v>69843.53</v>
      </c>
      <c r="AY155" s="167">
        <f t="shared" si="48"/>
        <v>0</v>
      </c>
      <c r="BA155" s="197">
        <v>148</v>
      </c>
      <c r="BB155" s="73" t="s">
        <v>189</v>
      </c>
      <c r="BC155" s="73" t="s">
        <v>1330</v>
      </c>
      <c r="BD155" s="56">
        <v>75794.8</v>
      </c>
    </row>
    <row r="156" spans="1:56">
      <c r="A156" s="197">
        <v>149</v>
      </c>
      <c r="B156" s="73" t="s">
        <v>464</v>
      </c>
      <c r="C156" s="73" t="s">
        <v>1331</v>
      </c>
      <c r="D156" s="168">
        <v>4940.5</v>
      </c>
      <c r="E156" s="170">
        <v>21965.48</v>
      </c>
      <c r="F156" s="171">
        <f t="shared" si="53"/>
        <v>26905.98</v>
      </c>
      <c r="G156" s="182">
        <v>10986.78</v>
      </c>
      <c r="H156" s="179">
        <v>15919.199999999999</v>
      </c>
      <c r="I156" s="170">
        <v>45461.670000000006</v>
      </c>
      <c r="J156" s="171">
        <f t="shared" si="54"/>
        <v>61380.87</v>
      </c>
      <c r="K156" s="205">
        <v>21792.539999999997</v>
      </c>
      <c r="L156" s="171">
        <v>39588.33</v>
      </c>
      <c r="M156" s="199">
        <v>41207.339999999997</v>
      </c>
      <c r="N156" s="171">
        <f t="shared" si="49"/>
        <v>80795.67</v>
      </c>
      <c r="O156" s="205">
        <v>21671.75</v>
      </c>
      <c r="P156" s="241">
        <v>59123.92</v>
      </c>
      <c r="Q156" s="199">
        <v>39018.629999999997</v>
      </c>
      <c r="R156" s="171">
        <f t="shared" si="50"/>
        <v>98142.549999999988</v>
      </c>
      <c r="S156" s="205">
        <v>30347.46</v>
      </c>
      <c r="T156" s="241">
        <v>67795.09</v>
      </c>
      <c r="U156" s="241">
        <v>40115.919999999998</v>
      </c>
      <c r="V156" s="171">
        <f t="shared" si="51"/>
        <v>107911.01</v>
      </c>
      <c r="W156" s="56">
        <v>32895.68</v>
      </c>
      <c r="X156" s="658">
        <f t="shared" si="46"/>
        <v>75015.329999999987</v>
      </c>
      <c r="Y156" s="659">
        <v>41392.33</v>
      </c>
      <c r="Z156" s="171">
        <f t="shared" si="52"/>
        <v>116407.65999999999</v>
      </c>
      <c r="AA156" s="56"/>
      <c r="AB156" s="241">
        <f t="shared" si="47"/>
        <v>116407.65999999999</v>
      </c>
      <c r="AC156" s="241"/>
      <c r="AE156" s="531">
        <f t="shared" si="43"/>
        <v>0</v>
      </c>
      <c r="AG156" t="s">
        <v>464</v>
      </c>
      <c r="AH156" t="s">
        <v>1874</v>
      </c>
      <c r="AI156" s="199">
        <v>24374.31</v>
      </c>
      <c r="AJ156" s="199">
        <v>1026.25</v>
      </c>
      <c r="AK156" s="199">
        <v>598.9</v>
      </c>
      <c r="AL156" s="199">
        <v>0</v>
      </c>
      <c r="AM156" s="199">
        <v>10796.15</v>
      </c>
      <c r="AN156" s="199">
        <v>3178.33</v>
      </c>
      <c r="AO156" s="199">
        <v>794.97</v>
      </c>
      <c r="AP156" s="199">
        <v>291.02999999999997</v>
      </c>
      <c r="AQ156" s="199">
        <v>332.39</v>
      </c>
      <c r="AR156" s="199">
        <v>0</v>
      </c>
      <c r="AS156" s="199">
        <v>41392.33</v>
      </c>
      <c r="AT156"/>
      <c r="AU156"/>
      <c r="AV156" t="str">
        <f t="shared" si="44"/>
        <v>23311</v>
      </c>
      <c r="AW156" s="241">
        <f t="shared" si="45"/>
        <v>41392.33</v>
      </c>
      <c r="AY156" s="167">
        <f t="shared" si="48"/>
        <v>0</v>
      </c>
      <c r="BA156" s="197">
        <v>149</v>
      </c>
      <c r="BB156" s="73" t="s">
        <v>464</v>
      </c>
      <c r="BC156" s="73" t="s">
        <v>1331</v>
      </c>
      <c r="BD156" s="56">
        <v>32895.68</v>
      </c>
    </row>
    <row r="157" spans="1:56">
      <c r="A157" s="197">
        <v>150</v>
      </c>
      <c r="B157" s="73" t="s">
        <v>634</v>
      </c>
      <c r="C157" s="73" t="s">
        <v>1332</v>
      </c>
      <c r="D157" s="168">
        <v>275.80999999999949</v>
      </c>
      <c r="E157" s="170">
        <v>29533.65</v>
      </c>
      <c r="F157" s="171">
        <f t="shared" si="53"/>
        <v>29809.46</v>
      </c>
      <c r="G157" s="182">
        <v>29388.1</v>
      </c>
      <c r="H157" s="179">
        <v>421.36000000000058</v>
      </c>
      <c r="I157" s="170">
        <v>39342.19</v>
      </c>
      <c r="J157" s="171">
        <f t="shared" si="54"/>
        <v>39763.550000000003</v>
      </c>
      <c r="K157" s="205">
        <v>25824.460000000003</v>
      </c>
      <c r="L157" s="171">
        <v>13939.09</v>
      </c>
      <c r="M157" s="199">
        <v>42155.519999999997</v>
      </c>
      <c r="N157" s="171">
        <f t="shared" si="49"/>
        <v>56094.61</v>
      </c>
      <c r="O157" s="205">
        <v>37336.550000000003</v>
      </c>
      <c r="P157" s="241">
        <v>18758.059999999998</v>
      </c>
      <c r="Q157" s="199">
        <v>50928.32</v>
      </c>
      <c r="R157" s="171">
        <f t="shared" si="50"/>
        <v>69686.38</v>
      </c>
      <c r="S157" s="205">
        <v>38222.39</v>
      </c>
      <c r="T157" s="241">
        <v>31463.990000000005</v>
      </c>
      <c r="U157" s="241">
        <v>50752.47</v>
      </c>
      <c r="V157" s="171">
        <f t="shared" si="51"/>
        <v>82216.460000000006</v>
      </c>
      <c r="W157" s="56">
        <v>53145.000000000007</v>
      </c>
      <c r="X157" s="658">
        <f t="shared" si="46"/>
        <v>29071.46</v>
      </c>
      <c r="Y157" s="659">
        <v>56829.35</v>
      </c>
      <c r="Z157" s="171">
        <f t="shared" si="52"/>
        <v>85900.81</v>
      </c>
      <c r="AA157" s="56"/>
      <c r="AB157" s="241">
        <f t="shared" si="47"/>
        <v>85900.81</v>
      </c>
      <c r="AC157" s="241"/>
      <c r="AE157" s="531">
        <f t="shared" si="43"/>
        <v>0</v>
      </c>
      <c r="AG157" t="s">
        <v>634</v>
      </c>
      <c r="AH157" t="s">
        <v>1960</v>
      </c>
      <c r="AI157" s="199">
        <v>39910.58</v>
      </c>
      <c r="AJ157" s="199">
        <v>2096.9299999999998</v>
      </c>
      <c r="AK157" s="199">
        <v>0</v>
      </c>
      <c r="AL157" s="199">
        <v>0</v>
      </c>
      <c r="AM157" s="199">
        <v>8771.5300000000007</v>
      </c>
      <c r="AN157" s="199">
        <v>3815.53</v>
      </c>
      <c r="AO157" s="199">
        <v>2234.7800000000002</v>
      </c>
      <c r="AP157" s="199">
        <v>0</v>
      </c>
      <c r="AQ157" s="199">
        <v>0</v>
      </c>
      <c r="AR157" s="199">
        <v>0</v>
      </c>
      <c r="AS157" s="199">
        <v>56829.35</v>
      </c>
      <c r="AT157"/>
      <c r="AU157"/>
      <c r="AV157" t="str">
        <f t="shared" si="44"/>
        <v>33207</v>
      </c>
      <c r="AW157" s="241">
        <f t="shared" si="45"/>
        <v>56829.35</v>
      </c>
      <c r="AY157" s="167">
        <f t="shared" si="48"/>
        <v>0</v>
      </c>
      <c r="BA157" s="197">
        <v>150</v>
      </c>
      <c r="BB157" s="73" t="s">
        <v>634</v>
      </c>
      <c r="BC157" s="73" t="s">
        <v>1332</v>
      </c>
      <c r="BD157" s="56">
        <v>53145.000000000007</v>
      </c>
    </row>
    <row r="158" spans="1:56">
      <c r="A158" s="197">
        <v>151</v>
      </c>
      <c r="B158" s="73" t="s">
        <v>574</v>
      </c>
      <c r="C158" s="73" t="s">
        <v>1333</v>
      </c>
      <c r="D158" s="168">
        <v>0</v>
      </c>
      <c r="E158" s="170">
        <v>787163.36</v>
      </c>
      <c r="F158" s="171">
        <f t="shared" si="53"/>
        <v>787163.36</v>
      </c>
      <c r="G158" s="182">
        <v>808920.92</v>
      </c>
      <c r="H158" s="179">
        <v>0</v>
      </c>
      <c r="I158" s="170">
        <v>1085715.31</v>
      </c>
      <c r="J158" s="171">
        <f t="shared" si="54"/>
        <v>1085715.31</v>
      </c>
      <c r="K158" s="205">
        <v>1257385.4700000002</v>
      </c>
      <c r="L158" s="171">
        <v>0</v>
      </c>
      <c r="M158" s="199">
        <v>1074763.9900000002</v>
      </c>
      <c r="N158" s="171">
        <f t="shared" si="49"/>
        <v>1074763.9900000002</v>
      </c>
      <c r="O158" s="205">
        <v>1130548.9000000001</v>
      </c>
      <c r="P158" s="241">
        <v>0</v>
      </c>
      <c r="Q158" s="199">
        <v>1173975.73</v>
      </c>
      <c r="R158" s="171">
        <f t="shared" si="50"/>
        <v>1173975.73</v>
      </c>
      <c r="S158" s="205">
        <v>1226907.4100000001</v>
      </c>
      <c r="T158" s="241">
        <v>0</v>
      </c>
      <c r="U158" s="241">
        <v>1191812.83</v>
      </c>
      <c r="V158" s="171">
        <f t="shared" si="51"/>
        <v>1191812.83</v>
      </c>
      <c r="W158" s="56">
        <v>1232384.2099999993</v>
      </c>
      <c r="X158" s="658">
        <f t="shared" si="46"/>
        <v>0</v>
      </c>
      <c r="Y158" s="659">
        <v>1223643.18</v>
      </c>
      <c r="Z158" s="171">
        <f t="shared" si="52"/>
        <v>1223643.18</v>
      </c>
      <c r="AA158" s="56"/>
      <c r="AB158" s="241">
        <f t="shared" si="47"/>
        <v>1223643.18</v>
      </c>
      <c r="AC158" s="241"/>
      <c r="AE158" s="531">
        <f t="shared" si="43"/>
        <v>0</v>
      </c>
      <c r="AG158" t="s">
        <v>574</v>
      </c>
      <c r="AH158" t="s">
        <v>1928</v>
      </c>
      <c r="AI158" s="199">
        <v>828471.47</v>
      </c>
      <c r="AJ158" s="199">
        <v>62840.85</v>
      </c>
      <c r="AK158" s="199">
        <v>18873.22</v>
      </c>
      <c r="AL158" s="199">
        <v>0</v>
      </c>
      <c r="AM158" s="199">
        <v>183259.17</v>
      </c>
      <c r="AN158" s="199">
        <v>55177.33</v>
      </c>
      <c r="AO158" s="199">
        <v>31837.94</v>
      </c>
      <c r="AP158" s="199">
        <v>38379.040000000001</v>
      </c>
      <c r="AQ158" s="199">
        <v>4804.16</v>
      </c>
      <c r="AR158" s="199">
        <v>0</v>
      </c>
      <c r="AS158" s="199">
        <v>1223643.18</v>
      </c>
      <c r="AT158"/>
      <c r="AU158"/>
      <c r="AV158" t="str">
        <f t="shared" si="44"/>
        <v>31025</v>
      </c>
      <c r="AW158" s="241">
        <f t="shared" si="45"/>
        <v>1223643.18</v>
      </c>
      <c r="AY158" s="167">
        <f t="shared" si="48"/>
        <v>0</v>
      </c>
      <c r="BA158" s="197">
        <v>151</v>
      </c>
      <c r="BB158" s="73" t="s">
        <v>574</v>
      </c>
      <c r="BC158" s="73" t="s">
        <v>1333</v>
      </c>
      <c r="BD158" s="56">
        <v>1232384.2099999993</v>
      </c>
    </row>
    <row r="159" spans="1:56">
      <c r="A159" s="197">
        <v>152</v>
      </c>
      <c r="B159" s="73" t="s">
        <v>303</v>
      </c>
      <c r="C159" s="73" t="s">
        <v>1334</v>
      </c>
      <c r="D159" s="168">
        <v>1336.9500000000007</v>
      </c>
      <c r="E159" s="170">
        <v>22432.28</v>
      </c>
      <c r="F159" s="171">
        <f t="shared" si="53"/>
        <v>23769.23</v>
      </c>
      <c r="G159" s="182">
        <v>12240.05</v>
      </c>
      <c r="H159" s="179">
        <v>11529.18</v>
      </c>
      <c r="I159" s="170">
        <v>29702.440000000002</v>
      </c>
      <c r="J159" s="171">
        <f t="shared" si="54"/>
        <v>41231.620000000003</v>
      </c>
      <c r="K159" s="205">
        <v>41231.630000000005</v>
      </c>
      <c r="L159" s="171">
        <v>0</v>
      </c>
      <c r="M159" s="199">
        <v>29185.3</v>
      </c>
      <c r="N159" s="171">
        <f t="shared" si="49"/>
        <v>29185.3</v>
      </c>
      <c r="O159" s="205">
        <v>29265.040000000001</v>
      </c>
      <c r="P159" s="241">
        <v>0</v>
      </c>
      <c r="Q159" s="199">
        <v>33737.32</v>
      </c>
      <c r="R159" s="171">
        <f t="shared" si="50"/>
        <v>33737.32</v>
      </c>
      <c r="S159" s="205">
        <v>33823.879999999997</v>
      </c>
      <c r="T159" s="241">
        <v>0</v>
      </c>
      <c r="U159" s="241">
        <v>36816.57</v>
      </c>
      <c r="V159" s="171">
        <f t="shared" si="51"/>
        <v>36816.57</v>
      </c>
      <c r="W159" s="56">
        <v>36904.36</v>
      </c>
      <c r="X159" s="658">
        <f t="shared" si="46"/>
        <v>0</v>
      </c>
      <c r="Y159" s="659">
        <v>38605.210000000006</v>
      </c>
      <c r="Z159" s="171">
        <f t="shared" si="52"/>
        <v>38605.210000000006</v>
      </c>
      <c r="AA159" s="56"/>
      <c r="AB159" s="241">
        <f t="shared" si="47"/>
        <v>38605.210000000006</v>
      </c>
      <c r="AC159" s="241"/>
      <c r="AE159" s="531">
        <f t="shared" si="43"/>
        <v>0</v>
      </c>
      <c r="AG159" t="s">
        <v>303</v>
      </c>
      <c r="AH159" t="s">
        <v>1790</v>
      </c>
      <c r="AI159" s="199">
        <v>29107.33</v>
      </c>
      <c r="AJ159" s="199">
        <v>0</v>
      </c>
      <c r="AK159" s="199">
        <v>0</v>
      </c>
      <c r="AL159" s="199">
        <v>0</v>
      </c>
      <c r="AM159" s="199">
        <v>5941.22</v>
      </c>
      <c r="AN159" s="199">
        <v>1959.08</v>
      </c>
      <c r="AO159" s="199">
        <v>1433.69</v>
      </c>
      <c r="AP159" s="199">
        <v>27.57</v>
      </c>
      <c r="AQ159" s="199">
        <v>136.32</v>
      </c>
      <c r="AR159" s="199">
        <v>0</v>
      </c>
      <c r="AS159" s="199">
        <v>38605.210000000006</v>
      </c>
      <c r="AT159"/>
      <c r="AU159"/>
      <c r="AV159" t="str">
        <f t="shared" si="44"/>
        <v>14065</v>
      </c>
      <c r="AW159" s="241">
        <f t="shared" si="45"/>
        <v>38605.210000000006</v>
      </c>
      <c r="AY159" s="167">
        <f t="shared" si="48"/>
        <v>0</v>
      </c>
      <c r="BA159" s="197">
        <v>152</v>
      </c>
      <c r="BB159" s="73" t="s">
        <v>303</v>
      </c>
      <c r="BC159" s="73" t="s">
        <v>1334</v>
      </c>
      <c r="BD159" s="56">
        <v>36904.36</v>
      </c>
    </row>
    <row r="160" spans="1:56">
      <c r="A160" s="197">
        <v>153</v>
      </c>
      <c r="B160" s="73" t="s">
        <v>602</v>
      </c>
      <c r="C160" s="73" t="s">
        <v>1335</v>
      </c>
      <c r="D160" s="168">
        <v>0</v>
      </c>
      <c r="E160" s="170">
        <v>630551.75</v>
      </c>
      <c r="F160" s="171">
        <f t="shared" si="53"/>
        <v>630551.75</v>
      </c>
      <c r="G160" s="182">
        <v>648725.42000000004</v>
      </c>
      <c r="H160" s="179">
        <v>0</v>
      </c>
      <c r="I160" s="170">
        <v>885935.2</v>
      </c>
      <c r="J160" s="171">
        <f t="shared" si="54"/>
        <v>885935.2</v>
      </c>
      <c r="K160" s="205">
        <v>952201.13</v>
      </c>
      <c r="L160" s="171">
        <v>0</v>
      </c>
      <c r="M160" s="199">
        <v>886620.65999999992</v>
      </c>
      <c r="N160" s="171">
        <f t="shared" si="49"/>
        <v>886620.65999999992</v>
      </c>
      <c r="O160" s="205">
        <v>731335.04</v>
      </c>
      <c r="P160" s="241">
        <v>155285.61999999988</v>
      </c>
      <c r="Q160" s="199">
        <v>955389.28</v>
      </c>
      <c r="R160" s="171">
        <f t="shared" si="50"/>
        <v>1110674.8999999999</v>
      </c>
      <c r="S160" s="205">
        <v>1105888.57</v>
      </c>
      <c r="T160" s="241">
        <v>4786.3299999998417</v>
      </c>
      <c r="U160" s="241">
        <v>991374.97</v>
      </c>
      <c r="V160" s="171">
        <f t="shared" si="51"/>
        <v>996161.29999999981</v>
      </c>
      <c r="W160" s="56">
        <v>1156714.5100000002</v>
      </c>
      <c r="X160" s="658">
        <f t="shared" si="46"/>
        <v>0</v>
      </c>
      <c r="Y160" s="659">
        <v>1073406.28</v>
      </c>
      <c r="Z160" s="171">
        <f t="shared" si="52"/>
        <v>1073406.28</v>
      </c>
      <c r="AA160" s="56"/>
      <c r="AB160" s="241">
        <f t="shared" si="47"/>
        <v>1073406.28</v>
      </c>
      <c r="AC160" s="241"/>
      <c r="AE160" s="531">
        <f t="shared" si="43"/>
        <v>0</v>
      </c>
      <c r="AG160" t="s">
        <v>602</v>
      </c>
      <c r="AH160" t="s">
        <v>1942</v>
      </c>
      <c r="AI160" s="199">
        <v>753853.29</v>
      </c>
      <c r="AJ160" s="199">
        <v>44970.17</v>
      </c>
      <c r="AK160" s="199">
        <v>29752.31</v>
      </c>
      <c r="AL160" s="199">
        <v>0</v>
      </c>
      <c r="AM160" s="199">
        <v>177595.1</v>
      </c>
      <c r="AN160" s="199">
        <v>32078.080000000002</v>
      </c>
      <c r="AO160" s="199">
        <v>3074.47</v>
      </c>
      <c r="AP160" s="199">
        <v>11303.87</v>
      </c>
      <c r="AQ160" s="199">
        <v>4694.55</v>
      </c>
      <c r="AR160" s="199">
        <v>16084.44</v>
      </c>
      <c r="AS160" s="199">
        <v>1073406.28</v>
      </c>
      <c r="AT160"/>
      <c r="AU160"/>
      <c r="AV160" t="str">
        <f t="shared" si="44"/>
        <v>32354</v>
      </c>
      <c r="AW160" s="241">
        <f t="shared" si="45"/>
        <v>1073406.28</v>
      </c>
      <c r="AY160" s="167">
        <f t="shared" si="48"/>
        <v>0</v>
      </c>
      <c r="BA160" s="197">
        <v>153</v>
      </c>
      <c r="BB160" s="73" t="s">
        <v>602</v>
      </c>
      <c r="BC160" s="73" t="s">
        <v>1335</v>
      </c>
      <c r="BD160" s="56">
        <v>1156714.5100000002</v>
      </c>
    </row>
    <row r="161" spans="1:56">
      <c r="A161" s="197">
        <v>154</v>
      </c>
      <c r="B161" s="73" t="s">
        <v>600</v>
      </c>
      <c r="C161" s="73" t="s">
        <v>1336</v>
      </c>
      <c r="D161" s="168">
        <v>0</v>
      </c>
      <c r="E161" s="170">
        <v>109134.96999999999</v>
      </c>
      <c r="F161" s="171">
        <f t="shared" si="53"/>
        <v>109134.96999999999</v>
      </c>
      <c r="G161" s="182">
        <v>110246.93</v>
      </c>
      <c r="H161" s="179">
        <v>0</v>
      </c>
      <c r="I161" s="170">
        <v>140992.13</v>
      </c>
      <c r="J161" s="171">
        <f t="shared" si="54"/>
        <v>140992.13</v>
      </c>
      <c r="K161" s="205">
        <v>159120.30999999997</v>
      </c>
      <c r="L161" s="171">
        <v>0</v>
      </c>
      <c r="M161" s="199">
        <v>155611.13</v>
      </c>
      <c r="N161" s="171">
        <f t="shared" si="49"/>
        <v>155611.13</v>
      </c>
      <c r="O161" s="205">
        <v>151350.82999999999</v>
      </c>
      <c r="P161" s="241">
        <v>4260.3000000000175</v>
      </c>
      <c r="Q161" s="199">
        <v>170920.27000000002</v>
      </c>
      <c r="R161" s="171">
        <f t="shared" si="50"/>
        <v>175180.57000000004</v>
      </c>
      <c r="S161" s="205">
        <v>136749.85999999999</v>
      </c>
      <c r="T161" s="241">
        <v>38430.71000000005</v>
      </c>
      <c r="U161" s="241">
        <v>169847.85</v>
      </c>
      <c r="V161" s="171">
        <f t="shared" si="51"/>
        <v>208278.56000000006</v>
      </c>
      <c r="W161" s="56">
        <v>193909.10000000003</v>
      </c>
      <c r="X161" s="658">
        <f t="shared" si="46"/>
        <v>14369.460000000021</v>
      </c>
      <c r="Y161" s="659">
        <v>184856.99999999997</v>
      </c>
      <c r="Z161" s="171">
        <f t="shared" si="52"/>
        <v>199226.46</v>
      </c>
      <c r="AA161" s="56"/>
      <c r="AB161" s="241">
        <f t="shared" si="47"/>
        <v>199226.46</v>
      </c>
      <c r="AC161" s="241"/>
      <c r="AE161" s="531">
        <f t="shared" si="43"/>
        <v>0</v>
      </c>
      <c r="AG161" t="s">
        <v>600</v>
      </c>
      <c r="AH161" t="s">
        <v>1941</v>
      </c>
      <c r="AI161" s="199">
        <v>136965.17000000001</v>
      </c>
      <c r="AJ161" s="199">
        <v>9446.14</v>
      </c>
      <c r="AK161" s="199">
        <v>0</v>
      </c>
      <c r="AL161" s="199">
        <v>0</v>
      </c>
      <c r="AM161" s="199">
        <v>26198.02</v>
      </c>
      <c r="AN161" s="199">
        <v>6558.84</v>
      </c>
      <c r="AO161" s="199">
        <v>2075.4899999999998</v>
      </c>
      <c r="AP161" s="199">
        <v>600.44000000000005</v>
      </c>
      <c r="AQ161" s="199">
        <v>752.08</v>
      </c>
      <c r="AR161" s="199">
        <v>2260.8200000000002</v>
      </c>
      <c r="AS161" s="199">
        <v>184856.99999999997</v>
      </c>
      <c r="AT161"/>
      <c r="AU161"/>
      <c r="AV161" t="str">
        <f t="shared" si="44"/>
        <v>32326</v>
      </c>
      <c r="AW161" s="241">
        <f t="shared" si="45"/>
        <v>184856.99999999997</v>
      </c>
      <c r="AY161" s="167">
        <f t="shared" si="48"/>
        <v>0</v>
      </c>
      <c r="BA161" s="197">
        <v>154</v>
      </c>
      <c r="BB161" s="73" t="s">
        <v>600</v>
      </c>
      <c r="BC161" s="73" t="s">
        <v>1336</v>
      </c>
      <c r="BD161" s="56">
        <v>193909.10000000003</v>
      </c>
    </row>
    <row r="162" spans="1:56">
      <c r="A162" s="197">
        <v>155</v>
      </c>
      <c r="B162" s="73" t="s">
        <v>344</v>
      </c>
      <c r="C162" s="73" t="s">
        <v>1337</v>
      </c>
      <c r="D162" s="168">
        <v>0</v>
      </c>
      <c r="E162" s="170">
        <v>287521.94</v>
      </c>
      <c r="F162" s="171">
        <f t="shared" si="53"/>
        <v>287521.94</v>
      </c>
      <c r="G162" s="182">
        <v>312104.83</v>
      </c>
      <c r="H162" s="179">
        <v>0</v>
      </c>
      <c r="I162" s="170">
        <v>392615.18999999994</v>
      </c>
      <c r="J162" s="171">
        <f t="shared" si="54"/>
        <v>392615.18999999994</v>
      </c>
      <c r="K162" s="205">
        <v>489482.36000000004</v>
      </c>
      <c r="L162" s="171">
        <v>0</v>
      </c>
      <c r="M162" s="199">
        <v>394850.47000000003</v>
      </c>
      <c r="N162" s="171">
        <f t="shared" si="49"/>
        <v>394850.47000000003</v>
      </c>
      <c r="O162" s="205">
        <v>470185.65</v>
      </c>
      <c r="P162" s="241">
        <v>0</v>
      </c>
      <c r="Q162" s="199">
        <v>425775.37</v>
      </c>
      <c r="R162" s="171">
        <f t="shared" si="50"/>
        <v>425775.37</v>
      </c>
      <c r="S162" s="205">
        <v>469781.07</v>
      </c>
      <c r="T162" s="241">
        <v>0</v>
      </c>
      <c r="U162" s="241">
        <v>434207.62999999995</v>
      </c>
      <c r="V162" s="171">
        <f t="shared" si="51"/>
        <v>434207.62999999995</v>
      </c>
      <c r="W162" s="56">
        <v>461525.83000000025</v>
      </c>
      <c r="X162" s="658">
        <f t="shared" si="46"/>
        <v>0</v>
      </c>
      <c r="Y162" s="659">
        <v>458735.77999999997</v>
      </c>
      <c r="Z162" s="171">
        <f t="shared" si="52"/>
        <v>458735.77999999997</v>
      </c>
      <c r="AA162" s="56"/>
      <c r="AB162" s="241">
        <f t="shared" si="47"/>
        <v>458735.77999999997</v>
      </c>
      <c r="AC162" s="241"/>
      <c r="AE162" s="531">
        <f t="shared" si="43"/>
        <v>0</v>
      </c>
      <c r="AG162" t="s">
        <v>344</v>
      </c>
      <c r="AH162" t="s">
        <v>1811</v>
      </c>
      <c r="AI162" s="199">
        <v>366397.48</v>
      </c>
      <c r="AJ162" s="199">
        <v>31566.83</v>
      </c>
      <c r="AK162" s="199">
        <v>1764.06</v>
      </c>
      <c r="AL162" s="199">
        <v>0</v>
      </c>
      <c r="AM162" s="199">
        <v>48921.919999999998</v>
      </c>
      <c r="AN162" s="199">
        <v>2628.01</v>
      </c>
      <c r="AO162" s="199">
        <v>0</v>
      </c>
      <c r="AP162" s="199">
        <v>5398.81</v>
      </c>
      <c r="AQ162" s="199">
        <v>2058.67</v>
      </c>
      <c r="AR162" s="199">
        <v>0</v>
      </c>
      <c r="AS162" s="199">
        <v>458735.77999999997</v>
      </c>
      <c r="AT162"/>
      <c r="AU162"/>
      <c r="AV162" t="str">
        <f t="shared" si="44"/>
        <v>17400</v>
      </c>
      <c r="AW162" s="241">
        <f t="shared" si="45"/>
        <v>458735.77999999997</v>
      </c>
      <c r="AY162" s="167">
        <f t="shared" si="48"/>
        <v>0</v>
      </c>
      <c r="BA162" s="197">
        <v>155</v>
      </c>
      <c r="BB162" s="73" t="s">
        <v>344</v>
      </c>
      <c r="BC162" s="73" t="s">
        <v>1337</v>
      </c>
      <c r="BD162" s="56">
        <v>461525.83000000025</v>
      </c>
    </row>
    <row r="163" spans="1:56">
      <c r="A163" s="197">
        <v>156</v>
      </c>
      <c r="B163" s="73" t="s">
        <v>679</v>
      </c>
      <c r="C163" s="73" t="s">
        <v>1338</v>
      </c>
      <c r="D163" s="168">
        <v>46305.26</v>
      </c>
      <c r="E163" s="170">
        <v>99282.540000000008</v>
      </c>
      <c r="F163" s="171">
        <f t="shared" si="53"/>
        <v>145587.80000000002</v>
      </c>
      <c r="G163" s="182">
        <v>106732.26</v>
      </c>
      <c r="H163" s="179">
        <v>38855.540000000023</v>
      </c>
      <c r="I163" s="170">
        <v>136804.71</v>
      </c>
      <c r="J163" s="171">
        <f t="shared" si="54"/>
        <v>175660.25</v>
      </c>
      <c r="K163" s="205">
        <v>232451.43000000002</v>
      </c>
      <c r="L163" s="171">
        <v>0</v>
      </c>
      <c r="M163" s="199">
        <v>145837.89000000001</v>
      </c>
      <c r="N163" s="171">
        <f t="shared" si="49"/>
        <v>145837.89000000001</v>
      </c>
      <c r="O163" s="205">
        <v>254680.81</v>
      </c>
      <c r="P163" s="241">
        <v>0</v>
      </c>
      <c r="Q163" s="199">
        <v>161092.31</v>
      </c>
      <c r="R163" s="171">
        <f t="shared" si="50"/>
        <v>161092.31</v>
      </c>
      <c r="S163" s="205">
        <v>265223.33</v>
      </c>
      <c r="T163" s="241">
        <v>0</v>
      </c>
      <c r="U163" s="241">
        <v>177146.85</v>
      </c>
      <c r="V163" s="171">
        <f t="shared" si="51"/>
        <v>177146.85</v>
      </c>
      <c r="W163" s="56">
        <v>277430.99000000011</v>
      </c>
      <c r="X163" s="658">
        <f t="shared" si="46"/>
        <v>0</v>
      </c>
      <c r="Y163" s="659">
        <v>202277.68999999997</v>
      </c>
      <c r="Z163" s="171">
        <f t="shared" si="52"/>
        <v>202277.68999999997</v>
      </c>
      <c r="AA163" s="56"/>
      <c r="AB163" s="241">
        <f t="shared" si="47"/>
        <v>202277.68999999997</v>
      </c>
      <c r="AC163" s="241"/>
      <c r="AE163" s="531">
        <f t="shared" si="43"/>
        <v>0</v>
      </c>
      <c r="AG163" t="s">
        <v>679</v>
      </c>
      <c r="AH163" t="s">
        <v>1984</v>
      </c>
      <c r="AI163" s="199">
        <v>142792.15</v>
      </c>
      <c r="AJ163" s="199">
        <v>6549.89</v>
      </c>
      <c r="AK163" s="199">
        <v>0</v>
      </c>
      <c r="AL163" s="199">
        <v>0</v>
      </c>
      <c r="AM163" s="199">
        <v>27374.240000000002</v>
      </c>
      <c r="AN163" s="199">
        <v>8044.12</v>
      </c>
      <c r="AO163" s="199">
        <v>3803.33</v>
      </c>
      <c r="AP163" s="199">
        <v>7381.93</v>
      </c>
      <c r="AQ163" s="199">
        <v>904.09</v>
      </c>
      <c r="AR163" s="199">
        <v>5427.94</v>
      </c>
      <c r="AS163" s="199">
        <v>202277.68999999997</v>
      </c>
      <c r="AT163"/>
      <c r="AU163"/>
      <c r="AV163" t="str">
        <f t="shared" si="44"/>
        <v>37505</v>
      </c>
      <c r="AW163" s="241">
        <f t="shared" si="45"/>
        <v>202277.68999999997</v>
      </c>
      <c r="AY163" s="167">
        <f t="shared" si="48"/>
        <v>0</v>
      </c>
      <c r="BA163" s="197">
        <v>156</v>
      </c>
      <c r="BB163" s="73" t="s">
        <v>679</v>
      </c>
      <c r="BC163" s="73" t="s">
        <v>1338</v>
      </c>
      <c r="BD163" s="56">
        <v>277430.99000000011</v>
      </c>
    </row>
    <row r="164" spans="1:56">
      <c r="A164" s="197">
        <v>157</v>
      </c>
      <c r="B164" s="73" t="s">
        <v>482</v>
      </c>
      <c r="C164" s="73" t="s">
        <v>1339</v>
      </c>
      <c r="D164" s="168">
        <v>0</v>
      </c>
      <c r="E164" s="170">
        <v>37364.629999999997</v>
      </c>
      <c r="F164" s="171">
        <f t="shared" si="53"/>
        <v>37364.629999999997</v>
      </c>
      <c r="G164" s="182">
        <v>46779.05</v>
      </c>
      <c r="H164" s="179">
        <v>0</v>
      </c>
      <c r="I164" s="170">
        <v>54484.91</v>
      </c>
      <c r="J164" s="171">
        <f t="shared" si="54"/>
        <v>54484.91</v>
      </c>
      <c r="K164" s="205">
        <v>76404.41</v>
      </c>
      <c r="L164" s="171">
        <v>0</v>
      </c>
      <c r="M164" s="199">
        <v>58423.51</v>
      </c>
      <c r="N164" s="171">
        <f t="shared" si="49"/>
        <v>58423.51</v>
      </c>
      <c r="O164" s="205">
        <v>78628.350000000006</v>
      </c>
      <c r="P164" s="241">
        <v>0</v>
      </c>
      <c r="Q164" s="199">
        <v>65407.33</v>
      </c>
      <c r="R164" s="171">
        <f t="shared" si="50"/>
        <v>65407.33</v>
      </c>
      <c r="S164" s="205">
        <v>93795.69</v>
      </c>
      <c r="T164" s="241">
        <v>0</v>
      </c>
      <c r="U164" s="241">
        <v>66405.180000000008</v>
      </c>
      <c r="V164" s="171">
        <f t="shared" si="51"/>
        <v>66405.180000000008</v>
      </c>
      <c r="W164" s="56">
        <v>92324.27</v>
      </c>
      <c r="X164" s="658">
        <f t="shared" si="46"/>
        <v>0</v>
      </c>
      <c r="Y164" s="659">
        <v>69630.61</v>
      </c>
      <c r="Z164" s="171">
        <f t="shared" si="52"/>
        <v>69630.61</v>
      </c>
      <c r="AA164" s="56"/>
      <c r="AB164" s="241">
        <f t="shared" si="47"/>
        <v>69630.61</v>
      </c>
      <c r="AC164" s="241"/>
      <c r="AE164" s="531">
        <f t="shared" si="43"/>
        <v>0</v>
      </c>
      <c r="AG164" t="s">
        <v>482</v>
      </c>
      <c r="AH164" t="s">
        <v>1882</v>
      </c>
      <c r="AI164" s="199">
        <v>60830.86</v>
      </c>
      <c r="AJ164" s="199">
        <v>3889.04</v>
      </c>
      <c r="AK164" s="199">
        <v>928.22</v>
      </c>
      <c r="AL164" s="199">
        <v>0</v>
      </c>
      <c r="AM164" s="199">
        <v>0</v>
      </c>
      <c r="AN164" s="199">
        <v>2852.07</v>
      </c>
      <c r="AO164" s="199">
        <v>170.03</v>
      </c>
      <c r="AP164" s="199">
        <v>623.41</v>
      </c>
      <c r="AQ164" s="199">
        <v>336.98</v>
      </c>
      <c r="AR164" s="199">
        <v>0</v>
      </c>
      <c r="AS164" s="199">
        <v>69630.61</v>
      </c>
      <c r="AT164"/>
      <c r="AU164"/>
      <c r="AV164" t="str">
        <f t="shared" si="44"/>
        <v>24350</v>
      </c>
      <c r="AW164" s="241">
        <f t="shared" si="45"/>
        <v>69630.61</v>
      </c>
      <c r="AY164" s="167">
        <f t="shared" si="48"/>
        <v>0</v>
      </c>
      <c r="BA164" s="197">
        <v>157</v>
      </c>
      <c r="BB164" s="73" t="s">
        <v>482</v>
      </c>
      <c r="BC164" s="73" t="s">
        <v>1339</v>
      </c>
      <c r="BD164" s="56">
        <v>92324.27</v>
      </c>
    </row>
    <row r="165" spans="1:56">
      <c r="A165" s="197">
        <v>158</v>
      </c>
      <c r="B165" s="73" t="s">
        <v>560</v>
      </c>
      <c r="C165" s="73" t="s">
        <v>1340</v>
      </c>
      <c r="D165" s="168">
        <v>5742.67</v>
      </c>
      <c r="E165" s="170">
        <v>11765.5</v>
      </c>
      <c r="F165" s="171">
        <f t="shared" si="53"/>
        <v>17508.169999999998</v>
      </c>
      <c r="G165" s="182"/>
      <c r="H165" s="179">
        <v>17508.169999999998</v>
      </c>
      <c r="I165" s="170">
        <v>17985.120000000003</v>
      </c>
      <c r="J165" s="171">
        <f t="shared" si="54"/>
        <v>35493.29</v>
      </c>
      <c r="K165" s="205"/>
      <c r="L165" s="171">
        <v>35493.29</v>
      </c>
      <c r="M165" s="199">
        <v>18110.79</v>
      </c>
      <c r="N165" s="171">
        <f t="shared" si="49"/>
        <v>53604.08</v>
      </c>
      <c r="O165" s="205"/>
      <c r="P165" s="241">
        <v>53604.08</v>
      </c>
      <c r="Q165" s="199">
        <v>19263.18</v>
      </c>
      <c r="R165" s="171">
        <f t="shared" si="50"/>
        <v>72867.260000000009</v>
      </c>
      <c r="S165" s="205">
        <v>17244.59</v>
      </c>
      <c r="T165" s="241">
        <v>55622.670000000013</v>
      </c>
      <c r="U165" s="241">
        <v>19199.190000000002</v>
      </c>
      <c r="V165" s="171">
        <f t="shared" si="51"/>
        <v>74821.860000000015</v>
      </c>
      <c r="W165" s="56">
        <v>11171.2</v>
      </c>
      <c r="X165" s="658">
        <f t="shared" si="46"/>
        <v>63650.660000000018</v>
      </c>
      <c r="Y165" s="659">
        <v>19966.009999999998</v>
      </c>
      <c r="Z165" s="171">
        <f t="shared" si="52"/>
        <v>83616.670000000013</v>
      </c>
      <c r="AA165" s="56"/>
      <c r="AB165" s="241">
        <f t="shared" si="47"/>
        <v>83616.670000000013</v>
      </c>
      <c r="AC165" s="241"/>
      <c r="AE165" s="531">
        <f t="shared" si="43"/>
        <v>0</v>
      </c>
      <c r="AG165" t="s">
        <v>560</v>
      </c>
      <c r="AH165" t="s">
        <v>1921</v>
      </c>
      <c r="AI165" s="199">
        <v>19396.21</v>
      </c>
      <c r="AJ165" s="199">
        <v>27.57</v>
      </c>
      <c r="AK165" s="199">
        <v>0</v>
      </c>
      <c r="AL165" s="199">
        <v>0</v>
      </c>
      <c r="AM165" s="199">
        <v>0</v>
      </c>
      <c r="AN165" s="199">
        <v>340.04</v>
      </c>
      <c r="AO165" s="199">
        <v>202.19</v>
      </c>
      <c r="AP165" s="199">
        <v>0</v>
      </c>
      <c r="AQ165" s="199">
        <v>0</v>
      </c>
      <c r="AR165" s="199">
        <v>0</v>
      </c>
      <c r="AS165" s="199">
        <v>19966.009999999998</v>
      </c>
      <c r="AT165"/>
      <c r="AU165"/>
      <c r="AV165" t="str">
        <f t="shared" si="44"/>
        <v>30031</v>
      </c>
      <c r="AW165" s="241">
        <f t="shared" si="45"/>
        <v>19966.009999999998</v>
      </c>
      <c r="AY165" s="167">
        <f t="shared" si="48"/>
        <v>0</v>
      </c>
      <c r="BA165" s="197">
        <v>158</v>
      </c>
      <c r="BB165" s="73" t="s">
        <v>560</v>
      </c>
      <c r="BC165" s="73" t="s">
        <v>1340</v>
      </c>
      <c r="BD165" s="56">
        <v>11171.2</v>
      </c>
    </row>
    <row r="166" spans="1:56">
      <c r="A166" s="197">
        <v>159</v>
      </c>
      <c r="B166" s="73" t="s">
        <v>578</v>
      </c>
      <c r="C166" s="73" t="s">
        <v>1341</v>
      </c>
      <c r="D166" s="168">
        <v>0</v>
      </c>
      <c r="E166" s="170">
        <v>412061.2</v>
      </c>
      <c r="F166" s="171">
        <f t="shared" si="53"/>
        <v>412061.2</v>
      </c>
      <c r="G166" s="182">
        <v>412061.2</v>
      </c>
      <c r="H166" s="179">
        <v>0</v>
      </c>
      <c r="I166" s="170">
        <v>559439.15</v>
      </c>
      <c r="J166" s="171">
        <f t="shared" si="54"/>
        <v>559439.15</v>
      </c>
      <c r="K166" s="205">
        <v>559345.38</v>
      </c>
      <c r="L166" s="171">
        <v>93.770000000018626</v>
      </c>
      <c r="M166" s="199">
        <v>546604.54</v>
      </c>
      <c r="N166" s="171">
        <f t="shared" si="49"/>
        <v>546698.31000000006</v>
      </c>
      <c r="O166" s="205">
        <v>567070.34</v>
      </c>
      <c r="P166" s="241">
        <v>0</v>
      </c>
      <c r="Q166" s="199">
        <v>574723.44000000006</v>
      </c>
      <c r="R166" s="171">
        <f t="shared" si="50"/>
        <v>574723.44000000006</v>
      </c>
      <c r="S166" s="205">
        <v>615778.58000000007</v>
      </c>
      <c r="T166" s="241">
        <v>0</v>
      </c>
      <c r="U166" s="241">
        <v>584414.21</v>
      </c>
      <c r="V166" s="171">
        <f t="shared" si="51"/>
        <v>584414.21</v>
      </c>
      <c r="W166" s="56">
        <v>636726.76000000024</v>
      </c>
      <c r="X166" s="658">
        <f t="shared" si="46"/>
        <v>0</v>
      </c>
      <c r="Y166" s="659">
        <v>627836.83000000007</v>
      </c>
      <c r="Z166" s="171">
        <f t="shared" si="52"/>
        <v>627836.83000000007</v>
      </c>
      <c r="AA166" s="56"/>
      <c r="AB166" s="241">
        <f t="shared" si="47"/>
        <v>627836.83000000007</v>
      </c>
      <c r="AC166" s="241"/>
      <c r="AE166" s="531">
        <f t="shared" si="43"/>
        <v>0</v>
      </c>
      <c r="AG166" t="s">
        <v>578</v>
      </c>
      <c r="AH166" t="s">
        <v>1930</v>
      </c>
      <c r="AI166" s="199">
        <v>429507.64</v>
      </c>
      <c r="AJ166" s="199">
        <v>35622.71</v>
      </c>
      <c r="AK166" s="199">
        <v>7030.92</v>
      </c>
      <c r="AL166" s="199">
        <v>0</v>
      </c>
      <c r="AM166" s="199">
        <v>97100.27</v>
      </c>
      <c r="AN166" s="199">
        <v>21672.93</v>
      </c>
      <c r="AO166" s="199">
        <v>3208.2</v>
      </c>
      <c r="AP166" s="199">
        <v>24147.31</v>
      </c>
      <c r="AQ166" s="199">
        <v>2913.58</v>
      </c>
      <c r="AR166" s="199">
        <v>6633.27</v>
      </c>
      <c r="AS166" s="199">
        <v>627836.83000000007</v>
      </c>
      <c r="AT166"/>
      <c r="AU166"/>
      <c r="AV166" t="str">
        <f t="shared" si="44"/>
        <v>31103</v>
      </c>
      <c r="AW166" s="241">
        <f t="shared" si="45"/>
        <v>627836.83000000007</v>
      </c>
      <c r="AY166" s="167">
        <f t="shared" si="48"/>
        <v>0</v>
      </c>
      <c r="BA166" s="197">
        <v>159</v>
      </c>
      <c r="BB166" s="73" t="s">
        <v>578</v>
      </c>
      <c r="BC166" s="73" t="s">
        <v>1341</v>
      </c>
      <c r="BD166" s="56">
        <v>636726.76000000024</v>
      </c>
    </row>
    <row r="167" spans="1:56">
      <c r="A167" s="197">
        <v>160</v>
      </c>
      <c r="B167" s="73" t="s">
        <v>305</v>
      </c>
      <c r="C167" s="73" t="s">
        <v>1342</v>
      </c>
      <c r="D167" s="168">
        <v>4177.2800000000061</v>
      </c>
      <c r="E167" s="170">
        <v>88486.040000000008</v>
      </c>
      <c r="F167" s="171">
        <f t="shared" si="53"/>
        <v>92663.32</v>
      </c>
      <c r="G167" s="182">
        <v>96892.31</v>
      </c>
      <c r="H167" s="179">
        <v>0</v>
      </c>
      <c r="I167" s="170">
        <v>123921.54</v>
      </c>
      <c r="J167" s="171">
        <f t="shared" si="54"/>
        <v>123921.54</v>
      </c>
      <c r="K167" s="205">
        <v>182088.69</v>
      </c>
      <c r="L167" s="171">
        <v>0</v>
      </c>
      <c r="M167" s="199">
        <v>125254.57999999999</v>
      </c>
      <c r="N167" s="171">
        <f t="shared" si="49"/>
        <v>125254.57999999999</v>
      </c>
      <c r="O167" s="205">
        <v>161704.56</v>
      </c>
      <c r="P167" s="241">
        <v>0</v>
      </c>
      <c r="Q167" s="199">
        <v>140510.74</v>
      </c>
      <c r="R167" s="171">
        <f t="shared" si="50"/>
        <v>140510.74</v>
      </c>
      <c r="S167" s="205">
        <v>193719.98</v>
      </c>
      <c r="T167" s="241">
        <v>0</v>
      </c>
      <c r="U167" s="241">
        <v>144944.43</v>
      </c>
      <c r="V167" s="171">
        <f t="shared" si="51"/>
        <v>144944.43</v>
      </c>
      <c r="W167" s="56">
        <v>174309.47999999998</v>
      </c>
      <c r="X167" s="658">
        <f t="shared" si="46"/>
        <v>0</v>
      </c>
      <c r="Y167" s="659">
        <v>158329.28000000003</v>
      </c>
      <c r="Z167" s="171">
        <f t="shared" si="52"/>
        <v>158329.28000000003</v>
      </c>
      <c r="AA167" s="56"/>
      <c r="AB167" s="241">
        <f t="shared" si="47"/>
        <v>158329.28000000003</v>
      </c>
      <c r="AC167" s="241"/>
      <c r="AE167" s="531">
        <f t="shared" si="43"/>
        <v>0</v>
      </c>
      <c r="AG167" t="s">
        <v>305</v>
      </c>
      <c r="AH167" t="s">
        <v>1791</v>
      </c>
      <c r="AI167" s="199">
        <v>106897.74</v>
      </c>
      <c r="AJ167" s="199">
        <v>12092.4</v>
      </c>
      <c r="AK167" s="199">
        <v>2510.5500000000002</v>
      </c>
      <c r="AL167" s="199">
        <v>0</v>
      </c>
      <c r="AM167" s="199">
        <v>23961.98</v>
      </c>
      <c r="AN167" s="199">
        <v>5642.38</v>
      </c>
      <c r="AO167" s="199">
        <v>0</v>
      </c>
      <c r="AP167" s="199">
        <v>998.81</v>
      </c>
      <c r="AQ167" s="199">
        <v>653.13</v>
      </c>
      <c r="AR167" s="199">
        <v>5572.29</v>
      </c>
      <c r="AS167" s="199">
        <v>158329.28000000003</v>
      </c>
      <c r="AT167"/>
      <c r="AU167"/>
      <c r="AV167" t="str">
        <f t="shared" si="44"/>
        <v>14066</v>
      </c>
      <c r="AW167" s="241">
        <f t="shared" si="45"/>
        <v>158329.28000000003</v>
      </c>
      <c r="AY167" s="167">
        <f t="shared" si="48"/>
        <v>0</v>
      </c>
      <c r="BA167" s="197">
        <v>160</v>
      </c>
      <c r="BB167" s="73" t="s">
        <v>305</v>
      </c>
      <c r="BC167" s="73" t="s">
        <v>1342</v>
      </c>
      <c r="BD167" s="56">
        <v>174309.47999999998</v>
      </c>
    </row>
    <row r="168" spans="1:56">
      <c r="A168" s="197">
        <v>161</v>
      </c>
      <c r="B168" s="73" t="s">
        <v>422</v>
      </c>
      <c r="C168" s="73" t="s">
        <v>1343</v>
      </c>
      <c r="D168" s="168">
        <v>1375.7399999999998</v>
      </c>
      <c r="E168" s="170">
        <v>26387.54</v>
      </c>
      <c r="F168" s="171">
        <f t="shared" si="53"/>
        <v>27763.279999999999</v>
      </c>
      <c r="G168" s="182">
        <v>21697.360000000001</v>
      </c>
      <c r="H168" s="179">
        <v>6065.9199999999983</v>
      </c>
      <c r="I168" s="170">
        <v>37519.370000000003</v>
      </c>
      <c r="J168" s="171">
        <f t="shared" si="54"/>
        <v>43585.29</v>
      </c>
      <c r="K168" s="205">
        <v>39280.230000000003</v>
      </c>
      <c r="L168" s="171">
        <v>4305.0599999999977</v>
      </c>
      <c r="M168" s="199">
        <v>42933.340000000004</v>
      </c>
      <c r="N168" s="171">
        <f t="shared" si="49"/>
        <v>47238.400000000001</v>
      </c>
      <c r="O168" s="205">
        <v>42716.95</v>
      </c>
      <c r="P168" s="241">
        <v>4521.4500000000044</v>
      </c>
      <c r="Q168" s="199">
        <v>50113.02</v>
      </c>
      <c r="R168" s="171">
        <f t="shared" si="50"/>
        <v>54634.47</v>
      </c>
      <c r="S168" s="205">
        <v>55635.630000000005</v>
      </c>
      <c r="T168" s="241">
        <v>0</v>
      </c>
      <c r="U168" s="241">
        <v>49444.759999999995</v>
      </c>
      <c r="V168" s="171">
        <f t="shared" si="51"/>
        <v>49444.759999999995</v>
      </c>
      <c r="W168" s="56">
        <v>49444.760000000009</v>
      </c>
      <c r="X168" s="658">
        <f t="shared" si="46"/>
        <v>0</v>
      </c>
      <c r="Y168" s="659">
        <v>55687.049999999996</v>
      </c>
      <c r="Z168" s="171">
        <f t="shared" si="52"/>
        <v>55687.049999999996</v>
      </c>
      <c r="AA168" s="56"/>
      <c r="AB168" s="241">
        <f t="shared" si="47"/>
        <v>55687.049999999996</v>
      </c>
      <c r="AC168" s="241"/>
      <c r="AE168" s="531">
        <f t="shared" si="43"/>
        <v>0</v>
      </c>
      <c r="AG168" t="s">
        <v>422</v>
      </c>
      <c r="AH168" t="s">
        <v>1853</v>
      </c>
      <c r="AI168" s="199">
        <v>29995.73</v>
      </c>
      <c r="AJ168" s="199">
        <v>8533.24</v>
      </c>
      <c r="AK168" s="199">
        <v>3677.66</v>
      </c>
      <c r="AL168" s="199">
        <v>0</v>
      </c>
      <c r="AM168" s="199">
        <v>6687.23</v>
      </c>
      <c r="AN168" s="199">
        <v>2372.64</v>
      </c>
      <c r="AO168" s="199">
        <v>1952.95</v>
      </c>
      <c r="AP168" s="199">
        <v>0</v>
      </c>
      <c r="AQ168" s="199">
        <v>182.27</v>
      </c>
      <c r="AR168" s="199">
        <v>2285.33</v>
      </c>
      <c r="AS168" s="199">
        <v>55687.049999999996</v>
      </c>
      <c r="AT168"/>
      <c r="AU168"/>
      <c r="AV168" t="str">
        <f t="shared" si="44"/>
        <v>21214</v>
      </c>
      <c r="AW168" s="241">
        <f t="shared" si="45"/>
        <v>55687.049999999996</v>
      </c>
      <c r="AY168" s="167">
        <f t="shared" si="48"/>
        <v>0</v>
      </c>
      <c r="BA168" s="197">
        <v>161</v>
      </c>
      <c r="BB168" s="73" t="s">
        <v>422</v>
      </c>
      <c r="BC168" s="73" t="s">
        <v>1343</v>
      </c>
      <c r="BD168" s="56">
        <v>49444.760000000009</v>
      </c>
    </row>
    <row r="169" spans="1:56">
      <c r="A169" s="197">
        <v>162</v>
      </c>
      <c r="B169" s="73" t="s">
        <v>289</v>
      </c>
      <c r="C169" s="73" t="s">
        <v>1344</v>
      </c>
      <c r="D169" s="168">
        <v>91109.920000000013</v>
      </c>
      <c r="E169" s="170">
        <v>587216.43999999994</v>
      </c>
      <c r="F169" s="171">
        <f t="shared" si="53"/>
        <v>678326.36</v>
      </c>
      <c r="G169" s="182">
        <v>395684.08</v>
      </c>
      <c r="H169" s="179">
        <v>282642.27999999997</v>
      </c>
      <c r="I169" s="170">
        <v>836257.8899999999</v>
      </c>
      <c r="J169" s="171">
        <f t="shared" si="54"/>
        <v>1118900.17</v>
      </c>
      <c r="K169" s="205">
        <v>788265.67</v>
      </c>
      <c r="L169" s="171">
        <v>330634.49999999988</v>
      </c>
      <c r="M169" s="199">
        <v>847676.63</v>
      </c>
      <c r="N169" s="171">
        <f t="shared" si="49"/>
        <v>1178311.1299999999</v>
      </c>
      <c r="O169" s="205">
        <v>921263.11</v>
      </c>
      <c r="P169" s="241">
        <v>257048.0199999999</v>
      </c>
      <c r="Q169" s="199">
        <v>927474.69</v>
      </c>
      <c r="R169" s="171">
        <f t="shared" si="50"/>
        <v>1184522.71</v>
      </c>
      <c r="S169" s="205">
        <v>1087245.5699999998</v>
      </c>
      <c r="T169" s="241">
        <v>97277.14000000013</v>
      </c>
      <c r="U169" s="241">
        <v>944313.54</v>
      </c>
      <c r="V169" s="171">
        <f t="shared" si="51"/>
        <v>1041590.6800000002</v>
      </c>
      <c r="W169" s="56">
        <v>1519793.02</v>
      </c>
      <c r="X169" s="658">
        <f t="shared" si="46"/>
        <v>0</v>
      </c>
      <c r="Y169" s="659">
        <v>958065.30000000016</v>
      </c>
      <c r="Z169" s="171">
        <f t="shared" si="52"/>
        <v>958065.30000000016</v>
      </c>
      <c r="AA169" s="56"/>
      <c r="AB169" s="241">
        <f t="shared" si="47"/>
        <v>958065.30000000016</v>
      </c>
      <c r="AC169" s="241"/>
      <c r="AE169" s="531">
        <f t="shared" si="43"/>
        <v>0</v>
      </c>
      <c r="AG169" t="s">
        <v>289</v>
      </c>
      <c r="AH169" t="s">
        <v>1783</v>
      </c>
      <c r="AI169" s="199">
        <v>616526.27</v>
      </c>
      <c r="AJ169" s="199">
        <v>44689.56</v>
      </c>
      <c r="AK169" s="199">
        <v>3477.02</v>
      </c>
      <c r="AL169" s="199">
        <v>30415.43</v>
      </c>
      <c r="AM169" s="199">
        <v>141623.1</v>
      </c>
      <c r="AN169" s="199">
        <v>53431.1</v>
      </c>
      <c r="AO169" s="199">
        <v>33890.910000000003</v>
      </c>
      <c r="AP169" s="199">
        <v>30291.360000000001</v>
      </c>
      <c r="AQ169" s="199">
        <v>3720.55</v>
      </c>
      <c r="AR169" s="199">
        <v>0</v>
      </c>
      <c r="AS169" s="199">
        <v>958065.30000000016</v>
      </c>
      <c r="AT169"/>
      <c r="AU169"/>
      <c r="AV169" t="str">
        <f t="shared" si="44"/>
        <v>13161</v>
      </c>
      <c r="AW169" s="241">
        <f t="shared" si="45"/>
        <v>958065.30000000016</v>
      </c>
      <c r="AY169" s="167">
        <f t="shared" si="48"/>
        <v>0</v>
      </c>
      <c r="BA169" s="197">
        <v>162</v>
      </c>
      <c r="BB169" s="73" t="s">
        <v>289</v>
      </c>
      <c r="BC169" s="73" t="s">
        <v>1344</v>
      </c>
      <c r="BD169" s="56">
        <v>1519793.02</v>
      </c>
    </row>
    <row r="170" spans="1:56">
      <c r="A170" s="197">
        <v>163</v>
      </c>
      <c r="B170" s="73" t="s">
        <v>420</v>
      </c>
      <c r="C170" s="73" t="s">
        <v>1345</v>
      </c>
      <c r="D170" s="168">
        <v>1751.2099999999991</v>
      </c>
      <c r="E170" s="170">
        <v>39822.659999999996</v>
      </c>
      <c r="F170" s="171">
        <f t="shared" si="53"/>
        <v>41573.869999999995</v>
      </c>
      <c r="G170" s="182"/>
      <c r="H170" s="179">
        <v>41573.869999999995</v>
      </c>
      <c r="I170" s="170">
        <v>58944.479999999996</v>
      </c>
      <c r="J170" s="171">
        <f t="shared" si="54"/>
        <v>100518.34999999999</v>
      </c>
      <c r="K170" s="205">
        <v>79170.399999999994</v>
      </c>
      <c r="L170" s="171">
        <v>21347.949999999997</v>
      </c>
      <c r="M170" s="199">
        <v>58443.850000000006</v>
      </c>
      <c r="N170" s="171">
        <f t="shared" si="49"/>
        <v>79791.8</v>
      </c>
      <c r="O170" s="205">
        <v>79136.55</v>
      </c>
      <c r="P170" s="241">
        <v>655.25</v>
      </c>
      <c r="Q170" s="199">
        <v>65165.549999999996</v>
      </c>
      <c r="R170" s="171">
        <f t="shared" si="50"/>
        <v>65820.799999999988</v>
      </c>
      <c r="S170" s="205">
        <v>74215.490000000005</v>
      </c>
      <c r="T170" s="241">
        <v>0</v>
      </c>
      <c r="U170" s="241">
        <v>68914.959999999992</v>
      </c>
      <c r="V170" s="171">
        <f t="shared" si="51"/>
        <v>68914.959999999992</v>
      </c>
      <c r="W170" s="56">
        <v>87958.78</v>
      </c>
      <c r="X170" s="658">
        <f t="shared" si="46"/>
        <v>0</v>
      </c>
      <c r="Y170" s="659">
        <v>77287.89</v>
      </c>
      <c r="Z170" s="171">
        <f t="shared" si="52"/>
        <v>77287.89</v>
      </c>
      <c r="AA170" s="56"/>
      <c r="AB170" s="241">
        <f t="shared" si="47"/>
        <v>77287.89</v>
      </c>
      <c r="AC170" s="241"/>
      <c r="AE170" s="531">
        <f t="shared" si="43"/>
        <v>0</v>
      </c>
      <c r="AG170" t="s">
        <v>420</v>
      </c>
      <c r="AH170" t="s">
        <v>1852</v>
      </c>
      <c r="AI170" s="199">
        <v>50842.49</v>
      </c>
      <c r="AJ170" s="199">
        <v>3408.08</v>
      </c>
      <c r="AK170" s="199">
        <v>1390.8</v>
      </c>
      <c r="AL170" s="199">
        <v>0</v>
      </c>
      <c r="AM170" s="199">
        <v>10075.879999999999</v>
      </c>
      <c r="AN170" s="199">
        <v>3691.45</v>
      </c>
      <c r="AO170" s="199">
        <v>2786.21</v>
      </c>
      <c r="AP170" s="199">
        <v>1712.46</v>
      </c>
      <c r="AQ170" s="199">
        <v>272.64999999999998</v>
      </c>
      <c r="AR170" s="199">
        <v>3107.87</v>
      </c>
      <c r="AS170" s="199">
        <v>77287.89</v>
      </c>
      <c r="AT170"/>
      <c r="AU170"/>
      <c r="AV170" t="str">
        <f t="shared" si="44"/>
        <v>21206</v>
      </c>
      <c r="AW170" s="241">
        <f t="shared" si="45"/>
        <v>77287.89</v>
      </c>
      <c r="AY170" s="167">
        <f t="shared" si="48"/>
        <v>0</v>
      </c>
      <c r="BA170" s="197">
        <v>163</v>
      </c>
      <c r="BB170" s="73" t="s">
        <v>420</v>
      </c>
      <c r="BC170" s="73" t="s">
        <v>1345</v>
      </c>
      <c r="BD170" s="56">
        <v>87958.78</v>
      </c>
    </row>
    <row r="171" spans="1:56">
      <c r="A171" s="197">
        <v>164</v>
      </c>
      <c r="B171" s="73" t="s">
        <v>737</v>
      </c>
      <c r="C171" s="73" t="s">
        <v>1346</v>
      </c>
      <c r="D171" s="168">
        <v>6381.3899999999994</v>
      </c>
      <c r="E171" s="170">
        <v>62411</v>
      </c>
      <c r="F171" s="171">
        <f t="shared" si="53"/>
        <v>68792.39</v>
      </c>
      <c r="G171" s="182">
        <v>44379.64</v>
      </c>
      <c r="H171" s="180">
        <v>24412.75</v>
      </c>
      <c r="I171" s="170">
        <v>82710.649999999994</v>
      </c>
      <c r="J171" s="171">
        <f t="shared" si="54"/>
        <v>107123.4</v>
      </c>
      <c r="K171" s="205">
        <v>91062</v>
      </c>
      <c r="L171" s="171">
        <v>16061.399999999994</v>
      </c>
      <c r="M171" s="199">
        <v>83884.489999999991</v>
      </c>
      <c r="N171" s="171">
        <f t="shared" si="49"/>
        <v>99945.889999999985</v>
      </c>
      <c r="O171" s="205">
        <v>87901.430000000008</v>
      </c>
      <c r="P171" s="241">
        <v>12044.459999999977</v>
      </c>
      <c r="Q171" s="199">
        <v>97046.069999999992</v>
      </c>
      <c r="R171" s="171">
        <f t="shared" si="50"/>
        <v>109090.52999999997</v>
      </c>
      <c r="S171" s="205">
        <v>101974.83</v>
      </c>
      <c r="T171" s="241">
        <v>7115.699999999968</v>
      </c>
      <c r="U171" s="241">
        <v>99115.1</v>
      </c>
      <c r="V171" s="171">
        <f t="shared" si="51"/>
        <v>106230.79999999997</v>
      </c>
      <c r="W171" s="56">
        <v>105288.5</v>
      </c>
      <c r="X171" s="658">
        <f t="shared" si="46"/>
        <v>942.29999999997381</v>
      </c>
      <c r="Y171" s="659">
        <v>99295.64</v>
      </c>
      <c r="Z171" s="171">
        <f t="shared" si="52"/>
        <v>100237.93999999997</v>
      </c>
      <c r="AA171" s="56"/>
      <c r="AB171" s="241">
        <f t="shared" si="47"/>
        <v>100237.93999999997</v>
      </c>
      <c r="AC171" s="241"/>
      <c r="AE171" s="531">
        <f t="shared" si="43"/>
        <v>0</v>
      </c>
      <c r="AG171" t="s">
        <v>737</v>
      </c>
      <c r="AH171" t="s">
        <v>2015</v>
      </c>
      <c r="AI171" s="199">
        <v>66571.75</v>
      </c>
      <c r="AJ171" s="199">
        <v>5719.46</v>
      </c>
      <c r="AK171" s="199">
        <v>0</v>
      </c>
      <c r="AL171" s="199">
        <v>0</v>
      </c>
      <c r="AM171" s="199">
        <v>11105.14</v>
      </c>
      <c r="AN171" s="199">
        <v>8491.8700000000008</v>
      </c>
      <c r="AO171" s="199">
        <v>3912.03</v>
      </c>
      <c r="AP171" s="199">
        <v>3130.84</v>
      </c>
      <c r="AQ171" s="199">
        <v>364.55</v>
      </c>
      <c r="AR171" s="199">
        <v>0</v>
      </c>
      <c r="AS171" s="199">
        <v>99295.64</v>
      </c>
      <c r="AT171"/>
      <c r="AU171"/>
      <c r="AV171" t="str">
        <f t="shared" si="44"/>
        <v>39209</v>
      </c>
      <c r="AW171" s="241">
        <f t="shared" si="45"/>
        <v>99295.64</v>
      </c>
      <c r="AY171" s="167">
        <f t="shared" si="48"/>
        <v>0</v>
      </c>
      <c r="BA171" s="197">
        <v>164</v>
      </c>
      <c r="BB171" s="73" t="s">
        <v>737</v>
      </c>
      <c r="BC171" s="73" t="s">
        <v>1346</v>
      </c>
      <c r="BD171" s="56">
        <v>105288.5</v>
      </c>
    </row>
    <row r="172" spans="1:56">
      <c r="A172" s="197">
        <v>165</v>
      </c>
      <c r="B172" s="73" t="s">
        <v>683</v>
      </c>
      <c r="C172" s="73" t="s">
        <v>1347</v>
      </c>
      <c r="D172" s="168">
        <v>64193.17</v>
      </c>
      <c r="E172" s="170">
        <v>127983.13999999998</v>
      </c>
      <c r="F172" s="171">
        <f t="shared" si="53"/>
        <v>192176.31</v>
      </c>
      <c r="G172" s="182">
        <v>89724.23</v>
      </c>
      <c r="H172" s="179">
        <v>102452.08</v>
      </c>
      <c r="I172" s="170">
        <v>156697.65999999997</v>
      </c>
      <c r="J172" s="171">
        <f t="shared" si="54"/>
        <v>259149.74</v>
      </c>
      <c r="K172" s="205">
        <v>137400.75</v>
      </c>
      <c r="L172" s="171">
        <v>121748.98999999999</v>
      </c>
      <c r="M172" s="199">
        <v>165342.56</v>
      </c>
      <c r="N172" s="171">
        <f t="shared" si="49"/>
        <v>287091.55</v>
      </c>
      <c r="O172" s="205"/>
      <c r="P172" s="241">
        <v>287091.55</v>
      </c>
      <c r="Q172" s="199">
        <v>182009.48</v>
      </c>
      <c r="R172" s="171">
        <f t="shared" si="50"/>
        <v>469101.03</v>
      </c>
      <c r="S172" s="205">
        <v>105780.71</v>
      </c>
      <c r="T172" s="241">
        <v>363320.32000000001</v>
      </c>
      <c r="U172" s="241">
        <v>178840.65999999997</v>
      </c>
      <c r="V172" s="171">
        <f t="shared" si="51"/>
        <v>542160.98</v>
      </c>
      <c r="W172" s="56">
        <v>100139.88</v>
      </c>
      <c r="X172" s="658">
        <f t="shared" si="46"/>
        <v>442021.1</v>
      </c>
      <c r="Y172" s="659">
        <v>178478.87</v>
      </c>
      <c r="Z172" s="171">
        <f t="shared" si="52"/>
        <v>620499.97</v>
      </c>
      <c r="AA172" s="56"/>
      <c r="AB172" s="241">
        <f t="shared" si="47"/>
        <v>620499.97</v>
      </c>
      <c r="AC172" s="241"/>
      <c r="AE172" s="531">
        <f t="shared" si="43"/>
        <v>0</v>
      </c>
      <c r="AG172" t="s">
        <v>683</v>
      </c>
      <c r="AH172" t="s">
        <v>1986</v>
      </c>
      <c r="AI172" s="199">
        <v>127542.37</v>
      </c>
      <c r="AJ172" s="199">
        <v>7244.62</v>
      </c>
      <c r="AK172" s="199">
        <v>415.64</v>
      </c>
      <c r="AL172" s="199">
        <v>0</v>
      </c>
      <c r="AM172" s="199">
        <v>27533.56</v>
      </c>
      <c r="AN172" s="199">
        <v>8689.65</v>
      </c>
      <c r="AO172" s="199">
        <v>3818.77</v>
      </c>
      <c r="AP172" s="199">
        <v>2510.13</v>
      </c>
      <c r="AQ172" s="199">
        <v>724.13</v>
      </c>
      <c r="AR172" s="199">
        <v>0</v>
      </c>
      <c r="AS172" s="199">
        <v>178478.87</v>
      </c>
      <c r="AT172"/>
      <c r="AU172"/>
      <c r="AV172" t="str">
        <f t="shared" si="44"/>
        <v>37507</v>
      </c>
      <c r="AW172" s="241">
        <f t="shared" si="45"/>
        <v>178478.87</v>
      </c>
      <c r="AY172" s="167">
        <f t="shared" si="48"/>
        <v>0</v>
      </c>
      <c r="BA172" s="197">
        <v>165</v>
      </c>
      <c r="BB172" s="73" t="s">
        <v>683</v>
      </c>
      <c r="BC172" s="73" t="s">
        <v>1347</v>
      </c>
      <c r="BD172" s="56">
        <v>100139.88</v>
      </c>
    </row>
    <row r="173" spans="1:56">
      <c r="A173" s="197">
        <v>166</v>
      </c>
      <c r="B173" s="73" t="s">
        <v>558</v>
      </c>
      <c r="C173" s="73" t="s">
        <v>1348</v>
      </c>
      <c r="D173" s="168">
        <v>527.58999999999992</v>
      </c>
      <c r="E173" s="170">
        <v>3980.25</v>
      </c>
      <c r="F173" s="171">
        <f t="shared" si="53"/>
        <v>4507.84</v>
      </c>
      <c r="G173" s="182">
        <v>5119.32</v>
      </c>
      <c r="H173" s="179">
        <v>0</v>
      </c>
      <c r="I173" s="170">
        <v>6183.3600000000006</v>
      </c>
      <c r="J173" s="171">
        <f t="shared" si="54"/>
        <v>6183.3600000000006</v>
      </c>
      <c r="K173" s="205">
        <v>7578.5599999999995</v>
      </c>
      <c r="L173" s="171">
        <v>0</v>
      </c>
      <c r="M173" s="199">
        <v>5821.81</v>
      </c>
      <c r="N173" s="171">
        <f t="shared" si="49"/>
        <v>5821.81</v>
      </c>
      <c r="O173" s="205">
        <v>9035.92</v>
      </c>
      <c r="P173" s="241">
        <v>0</v>
      </c>
      <c r="Q173" s="199">
        <v>7188.2999999999993</v>
      </c>
      <c r="R173" s="171">
        <f t="shared" si="50"/>
        <v>7188.2999999999993</v>
      </c>
      <c r="S173" s="205">
        <v>8820.8100000000013</v>
      </c>
      <c r="T173" s="241">
        <v>0</v>
      </c>
      <c r="U173" s="241">
        <v>7100.55</v>
      </c>
      <c r="V173" s="171">
        <f t="shared" si="51"/>
        <v>7100.55</v>
      </c>
      <c r="W173" s="56">
        <v>8626</v>
      </c>
      <c r="X173" s="658">
        <f t="shared" si="46"/>
        <v>0</v>
      </c>
      <c r="Y173" s="659">
        <v>8707.51</v>
      </c>
      <c r="Z173" s="171">
        <f t="shared" si="52"/>
        <v>8707.51</v>
      </c>
      <c r="AA173" s="56"/>
      <c r="AB173" s="241">
        <f t="shared" si="47"/>
        <v>8707.51</v>
      </c>
      <c r="AC173" s="241"/>
      <c r="AE173" s="531">
        <f t="shared" si="43"/>
        <v>0</v>
      </c>
      <c r="AG173" t="s">
        <v>558</v>
      </c>
      <c r="AH173" t="s">
        <v>1920</v>
      </c>
      <c r="AI173" s="199">
        <v>8462.34</v>
      </c>
      <c r="AJ173" s="199">
        <v>0</v>
      </c>
      <c r="AK173" s="199">
        <v>0</v>
      </c>
      <c r="AL173" s="199">
        <v>0</v>
      </c>
      <c r="AM173" s="199">
        <v>0</v>
      </c>
      <c r="AN173" s="199">
        <v>245.17</v>
      </c>
      <c r="AO173" s="199">
        <v>0</v>
      </c>
      <c r="AP173" s="199">
        <v>0</v>
      </c>
      <c r="AQ173" s="199">
        <v>0</v>
      </c>
      <c r="AR173" s="199">
        <v>0</v>
      </c>
      <c r="AS173" s="199">
        <v>8707.51</v>
      </c>
      <c r="AT173"/>
      <c r="AU173"/>
      <c r="AV173" t="str">
        <f t="shared" si="44"/>
        <v>30029</v>
      </c>
      <c r="AW173" s="241">
        <f t="shared" si="45"/>
        <v>8707.51</v>
      </c>
      <c r="AY173" s="167">
        <f t="shared" si="48"/>
        <v>0</v>
      </c>
      <c r="BA173" s="197">
        <v>166</v>
      </c>
      <c r="BB173" s="73" t="s">
        <v>558</v>
      </c>
      <c r="BC173" s="73" t="s">
        <v>1348</v>
      </c>
      <c r="BD173" s="56">
        <v>8626</v>
      </c>
    </row>
    <row r="174" spans="1:56">
      <c r="A174" s="197">
        <v>167</v>
      </c>
      <c r="B174" s="73" t="s">
        <v>554</v>
      </c>
      <c r="C174" s="73" t="s">
        <v>1349</v>
      </c>
      <c r="D174" s="168">
        <v>31080.649999999965</v>
      </c>
      <c r="E174" s="170">
        <v>505955.81999999995</v>
      </c>
      <c r="F174" s="171">
        <f t="shared" si="53"/>
        <v>537036.47</v>
      </c>
      <c r="G174" s="182">
        <v>562000</v>
      </c>
      <c r="H174" s="179">
        <v>0</v>
      </c>
      <c r="I174" s="170">
        <v>717232.13</v>
      </c>
      <c r="J174" s="171">
        <f t="shared" si="54"/>
        <v>717232.13</v>
      </c>
      <c r="K174" s="205">
        <v>700446.13</v>
      </c>
      <c r="L174" s="171">
        <v>16786</v>
      </c>
      <c r="M174" s="199">
        <v>718316.92999999993</v>
      </c>
      <c r="N174" s="171">
        <f t="shared" si="49"/>
        <v>735102.92999999993</v>
      </c>
      <c r="O174" s="205">
        <v>813576.2</v>
      </c>
      <c r="P174" s="241">
        <v>0</v>
      </c>
      <c r="Q174" s="199">
        <v>797212.2</v>
      </c>
      <c r="R174" s="171">
        <f t="shared" si="50"/>
        <v>797212.2</v>
      </c>
      <c r="S174" s="205">
        <v>797213</v>
      </c>
      <c r="T174" s="241">
        <v>0</v>
      </c>
      <c r="U174" s="241">
        <v>804636.49</v>
      </c>
      <c r="V174" s="171">
        <f t="shared" si="51"/>
        <v>804636.49</v>
      </c>
      <c r="W174" s="56">
        <v>805250.28</v>
      </c>
      <c r="X174" s="658">
        <f t="shared" si="46"/>
        <v>0</v>
      </c>
      <c r="Y174" s="659">
        <v>849255.95</v>
      </c>
      <c r="Z174" s="171">
        <f t="shared" si="52"/>
        <v>849255.95</v>
      </c>
      <c r="AA174" s="56"/>
      <c r="AB174" s="241">
        <f t="shared" si="47"/>
        <v>849255.95</v>
      </c>
      <c r="AC174" s="241"/>
      <c r="AE174" s="531">
        <f t="shared" si="43"/>
        <v>0</v>
      </c>
      <c r="AG174" t="s">
        <v>554</v>
      </c>
      <c r="AH174" t="s">
        <v>1918</v>
      </c>
      <c r="AI174" s="199">
        <v>499279.28</v>
      </c>
      <c r="AJ174" s="199">
        <v>45691.43</v>
      </c>
      <c r="AK174" s="199">
        <v>2365.71</v>
      </c>
      <c r="AL174" s="199">
        <v>38348.949999999997</v>
      </c>
      <c r="AM174" s="199">
        <v>116131.06</v>
      </c>
      <c r="AN174" s="199">
        <v>47434.400000000001</v>
      </c>
      <c r="AO174" s="199">
        <v>30400.91</v>
      </c>
      <c r="AP174" s="199">
        <v>49975.11</v>
      </c>
      <c r="AQ174" s="199">
        <v>3165.16</v>
      </c>
      <c r="AR174" s="199">
        <v>16463.939999999999</v>
      </c>
      <c r="AS174" s="199">
        <v>849255.95</v>
      </c>
      <c r="AT174"/>
      <c r="AU174"/>
      <c r="AV174" t="str">
        <f t="shared" si="44"/>
        <v>29320</v>
      </c>
      <c r="AW174" s="241">
        <f t="shared" si="45"/>
        <v>849255.95</v>
      </c>
      <c r="AY174" s="167">
        <f t="shared" si="48"/>
        <v>0</v>
      </c>
      <c r="BA174" s="197">
        <v>167</v>
      </c>
      <c r="BB174" s="73" t="s">
        <v>554</v>
      </c>
      <c r="BC174" s="73" t="s">
        <v>1349</v>
      </c>
      <c r="BD174" s="56">
        <v>805250.28</v>
      </c>
    </row>
    <row r="175" spans="1:56">
      <c r="A175" s="197">
        <v>168</v>
      </c>
      <c r="B175" s="73" t="s">
        <v>1177</v>
      </c>
      <c r="C175" s="73" t="s">
        <v>1350</v>
      </c>
      <c r="D175" s="168">
        <v>19286.320000000003</v>
      </c>
      <c r="E175" s="170">
        <v>39385.530000000006</v>
      </c>
      <c r="F175" s="171">
        <f t="shared" si="53"/>
        <v>58671.850000000006</v>
      </c>
      <c r="G175" s="182"/>
      <c r="H175" s="179">
        <v>58671.850000000006</v>
      </c>
      <c r="I175" s="170">
        <v>63119.53</v>
      </c>
      <c r="J175" s="171">
        <f t="shared" si="54"/>
        <v>121791.38</v>
      </c>
      <c r="K175" s="205"/>
      <c r="L175" s="171">
        <v>121791.38</v>
      </c>
      <c r="M175" s="199">
        <v>61604.89</v>
      </c>
      <c r="N175" s="171">
        <f t="shared" si="49"/>
        <v>183396.27000000002</v>
      </c>
      <c r="O175" s="205"/>
      <c r="P175" s="241">
        <v>183396.27000000002</v>
      </c>
      <c r="Q175" s="199">
        <v>75030.709999999992</v>
      </c>
      <c r="R175" s="171">
        <f t="shared" si="50"/>
        <v>258426.98</v>
      </c>
      <c r="S175" s="205">
        <v>161715.98000000001</v>
      </c>
      <c r="T175" s="241">
        <v>96711</v>
      </c>
      <c r="U175" s="241">
        <v>72589.05</v>
      </c>
      <c r="V175" s="171">
        <f t="shared" si="51"/>
        <v>169300.05</v>
      </c>
      <c r="W175" s="56"/>
      <c r="X175" s="658">
        <f t="shared" si="46"/>
        <v>169300.05</v>
      </c>
      <c r="Y175" s="659">
        <v>65177.740000000005</v>
      </c>
      <c r="Z175" s="171">
        <f t="shared" si="52"/>
        <v>234477.78999999998</v>
      </c>
      <c r="AA175" s="56"/>
      <c r="AB175" s="241">
        <f t="shared" si="47"/>
        <v>234477.78999999998</v>
      </c>
      <c r="AC175" s="241"/>
      <c r="AE175" s="531">
        <f t="shared" si="43"/>
        <v>0</v>
      </c>
      <c r="AG175" t="s">
        <v>1177</v>
      </c>
      <c r="AH175" t="s">
        <v>1827</v>
      </c>
      <c r="AI175" s="199">
        <v>47926.76</v>
      </c>
      <c r="AJ175" s="199">
        <v>2115.25</v>
      </c>
      <c r="AK175" s="199">
        <v>0</v>
      </c>
      <c r="AL175" s="199">
        <v>0</v>
      </c>
      <c r="AM175" s="199">
        <v>8066.03</v>
      </c>
      <c r="AN175" s="199">
        <v>4390.04</v>
      </c>
      <c r="AO175" s="199">
        <v>2679.66</v>
      </c>
      <c r="AP175" s="199">
        <v>0</v>
      </c>
      <c r="AQ175" s="199">
        <v>0</v>
      </c>
      <c r="AR175" s="199">
        <v>0</v>
      </c>
      <c r="AS175" s="199">
        <v>65177.740000000005</v>
      </c>
      <c r="AT175"/>
      <c r="AU175"/>
      <c r="AV175" t="str">
        <f t="shared" si="44"/>
        <v>17903</v>
      </c>
      <c r="AW175" s="241">
        <f t="shared" si="45"/>
        <v>65177.740000000005</v>
      </c>
      <c r="AY175" s="167">
        <f t="shared" si="48"/>
        <v>0</v>
      </c>
      <c r="BA175" s="197">
        <v>168</v>
      </c>
      <c r="BB175" s="73" t="s">
        <v>1177</v>
      </c>
      <c r="BC175" s="73" t="s">
        <v>1350</v>
      </c>
      <c r="BD175" s="56"/>
    </row>
    <row r="176" spans="1:56">
      <c r="A176" s="197">
        <v>169</v>
      </c>
      <c r="B176" s="73" t="s">
        <v>568</v>
      </c>
      <c r="C176" s="73" t="s">
        <v>1351</v>
      </c>
      <c r="D176" s="168">
        <v>66577.35000000021</v>
      </c>
      <c r="E176" s="170">
        <v>1290030.76</v>
      </c>
      <c r="F176" s="171">
        <f t="shared" si="53"/>
        <v>1356608.1100000003</v>
      </c>
      <c r="G176" s="182">
        <v>1601181.16</v>
      </c>
      <c r="H176" s="179">
        <v>0</v>
      </c>
      <c r="I176" s="170">
        <v>1804422.9099999997</v>
      </c>
      <c r="J176" s="171">
        <f t="shared" si="54"/>
        <v>1804422.9099999997</v>
      </c>
      <c r="K176" s="205">
        <v>2290394.02</v>
      </c>
      <c r="L176" s="171">
        <v>0</v>
      </c>
      <c r="M176" s="199">
        <v>1788368.2399999998</v>
      </c>
      <c r="N176" s="171">
        <f t="shared" si="49"/>
        <v>1788368.2399999998</v>
      </c>
      <c r="O176" s="205">
        <v>2266130.71</v>
      </c>
      <c r="P176" s="241">
        <v>0</v>
      </c>
      <c r="Q176" s="199">
        <v>1926330.01</v>
      </c>
      <c r="R176" s="171">
        <f t="shared" si="50"/>
        <v>1926330.01</v>
      </c>
      <c r="S176" s="205">
        <v>2156591.41</v>
      </c>
      <c r="T176" s="241">
        <v>0</v>
      </c>
      <c r="U176" s="241">
        <v>1969463.99</v>
      </c>
      <c r="V176" s="171">
        <f t="shared" si="51"/>
        <v>1969463.99</v>
      </c>
      <c r="W176" s="56">
        <v>2169455.1100000003</v>
      </c>
      <c r="X176" s="658">
        <f t="shared" si="46"/>
        <v>0</v>
      </c>
      <c r="Y176" s="659">
        <v>2079644.7099999995</v>
      </c>
      <c r="Z176" s="171">
        <f t="shared" si="52"/>
        <v>2079644.7099999995</v>
      </c>
      <c r="AA176" s="56"/>
      <c r="AB176" s="241">
        <f t="shared" si="47"/>
        <v>2079644.7099999995</v>
      </c>
      <c r="AC176" s="241"/>
      <c r="AE176" s="531">
        <f t="shared" si="43"/>
        <v>0</v>
      </c>
      <c r="AG176" t="s">
        <v>568</v>
      </c>
      <c r="AH176" t="s">
        <v>1925</v>
      </c>
      <c r="AI176" s="199">
        <v>1405407.84</v>
      </c>
      <c r="AJ176" s="199">
        <v>53335.56</v>
      </c>
      <c r="AK176" s="199">
        <v>18500.89</v>
      </c>
      <c r="AL176" s="199">
        <v>71364.7</v>
      </c>
      <c r="AM176" s="199">
        <v>271052.69</v>
      </c>
      <c r="AN176" s="199">
        <v>87758.12</v>
      </c>
      <c r="AO176" s="199">
        <v>43810.38</v>
      </c>
      <c r="AP176" s="199">
        <v>120503.39</v>
      </c>
      <c r="AQ176" s="199">
        <v>7911.14</v>
      </c>
      <c r="AR176" s="199">
        <v>0</v>
      </c>
      <c r="AS176" s="199">
        <v>2079644.7099999995</v>
      </c>
      <c r="AT176"/>
      <c r="AU176"/>
      <c r="AV176" t="str">
        <f t="shared" si="44"/>
        <v>31006</v>
      </c>
      <c r="AW176" s="241">
        <f t="shared" si="45"/>
        <v>2079644.7099999995</v>
      </c>
      <c r="AY176" s="167">
        <f t="shared" si="48"/>
        <v>0</v>
      </c>
      <c r="BA176" s="197">
        <v>169</v>
      </c>
      <c r="BB176" s="73" t="s">
        <v>568</v>
      </c>
      <c r="BC176" s="73" t="s">
        <v>1351</v>
      </c>
      <c r="BD176" s="56">
        <v>2169455.1100000003</v>
      </c>
    </row>
    <row r="177" spans="1:56">
      <c r="A177" s="197">
        <v>170</v>
      </c>
      <c r="B177" s="73" t="s">
        <v>713</v>
      </c>
      <c r="C177" s="73" t="s">
        <v>1352</v>
      </c>
      <c r="D177" s="168">
        <v>0</v>
      </c>
      <c r="E177" s="170">
        <v>77364.179999999993</v>
      </c>
      <c r="F177" s="171">
        <f t="shared" si="53"/>
        <v>77364.179999999993</v>
      </c>
      <c r="G177" s="182">
        <v>99011.42</v>
      </c>
      <c r="H177" s="179">
        <v>0</v>
      </c>
      <c r="I177" s="170">
        <v>111392.91999999998</v>
      </c>
      <c r="J177" s="171">
        <f t="shared" si="54"/>
        <v>111392.91999999998</v>
      </c>
      <c r="K177" s="205">
        <v>128067.54000000001</v>
      </c>
      <c r="L177" s="171">
        <v>0</v>
      </c>
      <c r="M177" s="199">
        <v>115183.67000000001</v>
      </c>
      <c r="N177" s="171">
        <f t="shared" si="49"/>
        <v>115183.67000000001</v>
      </c>
      <c r="O177" s="205">
        <v>85058.569999999992</v>
      </c>
      <c r="P177" s="241">
        <v>30125.10000000002</v>
      </c>
      <c r="Q177" s="199">
        <v>131937.76</v>
      </c>
      <c r="R177" s="171">
        <f t="shared" si="50"/>
        <v>162062.86000000004</v>
      </c>
      <c r="S177" s="205">
        <v>123082.02</v>
      </c>
      <c r="T177" s="241">
        <v>38980.84000000004</v>
      </c>
      <c r="U177" s="241">
        <v>136319.87</v>
      </c>
      <c r="V177" s="171">
        <f t="shared" si="51"/>
        <v>175300.71000000002</v>
      </c>
      <c r="W177" s="56">
        <v>127157.02000000002</v>
      </c>
      <c r="X177" s="658">
        <f t="shared" si="46"/>
        <v>48143.69</v>
      </c>
      <c r="Y177" s="659">
        <v>143895.66999999998</v>
      </c>
      <c r="Z177" s="171">
        <f t="shared" si="52"/>
        <v>192039.36</v>
      </c>
      <c r="AA177" s="56"/>
      <c r="AB177" s="241">
        <f t="shared" si="47"/>
        <v>192039.36</v>
      </c>
      <c r="AC177" s="241"/>
      <c r="AE177" s="531">
        <f t="shared" si="43"/>
        <v>0</v>
      </c>
      <c r="AG177" t="s">
        <v>713</v>
      </c>
      <c r="AH177" t="s">
        <v>2002</v>
      </c>
      <c r="AI177" s="199">
        <v>91563.36</v>
      </c>
      <c r="AJ177" s="199">
        <v>9170.42</v>
      </c>
      <c r="AK177" s="199">
        <v>5446.81</v>
      </c>
      <c r="AL177" s="199">
        <v>0</v>
      </c>
      <c r="AM177" s="199">
        <v>19074.009999999998</v>
      </c>
      <c r="AN177" s="199">
        <v>6839.14</v>
      </c>
      <c r="AO177" s="199">
        <v>5820.55</v>
      </c>
      <c r="AP177" s="199">
        <v>1870.23</v>
      </c>
      <c r="AQ177" s="199">
        <v>557.54999999999995</v>
      </c>
      <c r="AR177" s="199">
        <v>3553.6</v>
      </c>
      <c r="AS177" s="199">
        <v>143895.66999999998</v>
      </c>
      <c r="AT177"/>
      <c r="AU177"/>
      <c r="AV177" t="str">
        <f t="shared" si="44"/>
        <v>39003</v>
      </c>
      <c r="AW177" s="241">
        <f t="shared" si="45"/>
        <v>143895.66999999998</v>
      </c>
      <c r="AY177" s="167">
        <f t="shared" si="48"/>
        <v>0</v>
      </c>
      <c r="BA177" s="197">
        <v>170</v>
      </c>
      <c r="BB177" s="73" t="s">
        <v>713</v>
      </c>
      <c r="BC177" s="73" t="s">
        <v>1352</v>
      </c>
      <c r="BD177" s="56">
        <v>127157.02000000002</v>
      </c>
    </row>
    <row r="178" spans="1:56">
      <c r="A178" s="197">
        <v>171</v>
      </c>
      <c r="B178" s="73" t="s">
        <v>416</v>
      </c>
      <c r="C178" s="73" t="s">
        <v>1353</v>
      </c>
      <c r="D178" s="168">
        <v>0</v>
      </c>
      <c r="E178" s="170">
        <v>50675.420000000006</v>
      </c>
      <c r="F178" s="171">
        <f t="shared" si="53"/>
        <v>50675.420000000006</v>
      </c>
      <c r="G178" s="182">
        <v>45760.45</v>
      </c>
      <c r="H178" s="179">
        <v>4914.9700000000084</v>
      </c>
      <c r="I178" s="170">
        <v>69865.209999999992</v>
      </c>
      <c r="J178" s="171">
        <f t="shared" si="54"/>
        <v>74780.179999999993</v>
      </c>
      <c r="K178" s="205">
        <v>78456.86</v>
      </c>
      <c r="L178" s="171">
        <v>0</v>
      </c>
      <c r="M178" s="199">
        <v>70153.91</v>
      </c>
      <c r="N178" s="171">
        <f t="shared" si="49"/>
        <v>70153.91</v>
      </c>
      <c r="O178" s="205">
        <v>80041.510000000009</v>
      </c>
      <c r="P178" s="241">
        <v>0</v>
      </c>
      <c r="Q178" s="199">
        <v>77354.400000000009</v>
      </c>
      <c r="R178" s="171">
        <f t="shared" si="50"/>
        <v>77354.400000000009</v>
      </c>
      <c r="S178" s="205">
        <v>85766.75999999998</v>
      </c>
      <c r="T178" s="241">
        <v>0</v>
      </c>
      <c r="U178" s="241">
        <v>79224.509999999995</v>
      </c>
      <c r="V178" s="171">
        <f t="shared" si="51"/>
        <v>79224.509999999995</v>
      </c>
      <c r="W178" s="56">
        <v>74624.339999999982</v>
      </c>
      <c r="X178" s="658">
        <f t="shared" si="46"/>
        <v>4600.1700000000128</v>
      </c>
      <c r="Y178" s="659">
        <v>86976.219999999987</v>
      </c>
      <c r="Z178" s="171">
        <f t="shared" si="52"/>
        <v>91576.39</v>
      </c>
      <c r="AA178" s="56"/>
      <c r="AB178" s="241">
        <f t="shared" si="47"/>
        <v>91576.39</v>
      </c>
      <c r="AC178" s="241"/>
      <c r="AE178" s="531">
        <f t="shared" si="43"/>
        <v>0</v>
      </c>
      <c r="AG178" t="s">
        <v>416</v>
      </c>
      <c r="AH178" t="s">
        <v>1850</v>
      </c>
      <c r="AI178" s="199">
        <v>55439.199999999997</v>
      </c>
      <c r="AJ178" s="199">
        <v>10509.15</v>
      </c>
      <c r="AK178" s="199">
        <v>3522.96</v>
      </c>
      <c r="AL178" s="199">
        <v>0</v>
      </c>
      <c r="AM178" s="199">
        <v>11198.81</v>
      </c>
      <c r="AN178" s="199">
        <v>3679.2</v>
      </c>
      <c r="AO178" s="199">
        <v>1752.29</v>
      </c>
      <c r="AP178" s="199">
        <v>513.13</v>
      </c>
      <c r="AQ178" s="199">
        <v>361.48</v>
      </c>
      <c r="AR178" s="199">
        <v>0</v>
      </c>
      <c r="AS178" s="199">
        <v>86976.219999999987</v>
      </c>
      <c r="AT178"/>
      <c r="AU178"/>
      <c r="AV178" t="str">
        <f t="shared" si="44"/>
        <v>21014</v>
      </c>
      <c r="AW178" s="241">
        <f t="shared" si="45"/>
        <v>86976.219999999987</v>
      </c>
      <c r="AY178" s="167">
        <f t="shared" si="48"/>
        <v>0</v>
      </c>
      <c r="BA178" s="197">
        <v>171</v>
      </c>
      <c r="BB178" s="73" t="s">
        <v>416</v>
      </c>
      <c r="BC178" s="73" t="s">
        <v>1353</v>
      </c>
      <c r="BD178" s="56">
        <v>74624.339999999982</v>
      </c>
    </row>
    <row r="179" spans="1:56">
      <c r="A179" s="197">
        <v>172</v>
      </c>
      <c r="B179" s="73" t="s">
        <v>494</v>
      </c>
      <c r="C179" s="73" t="s">
        <v>1354</v>
      </c>
      <c r="D179" s="168">
        <v>0</v>
      </c>
      <c r="E179" s="170">
        <v>23763.13</v>
      </c>
      <c r="F179" s="171">
        <f t="shared" si="53"/>
        <v>23763.13</v>
      </c>
      <c r="G179" s="182">
        <v>27150.07</v>
      </c>
      <c r="H179" s="179">
        <v>0</v>
      </c>
      <c r="I179" s="170">
        <v>34656.840000000004</v>
      </c>
      <c r="J179" s="171">
        <f t="shared" si="54"/>
        <v>34656.840000000004</v>
      </c>
      <c r="K179" s="205">
        <v>42033.17</v>
      </c>
      <c r="L179" s="171">
        <v>0</v>
      </c>
      <c r="M179" s="199">
        <v>33984.5</v>
      </c>
      <c r="N179" s="171">
        <f t="shared" si="49"/>
        <v>33984.5</v>
      </c>
      <c r="O179" s="205">
        <v>42158.979999999996</v>
      </c>
      <c r="P179" s="241">
        <v>0</v>
      </c>
      <c r="Q179" s="199">
        <v>37218.92</v>
      </c>
      <c r="R179" s="171">
        <f t="shared" si="50"/>
        <v>37218.92</v>
      </c>
      <c r="S179" s="205">
        <v>36344.130000000005</v>
      </c>
      <c r="T179" s="241">
        <v>874.7899999999936</v>
      </c>
      <c r="U179" s="241">
        <v>36384.870000000003</v>
      </c>
      <c r="V179" s="171">
        <f t="shared" si="51"/>
        <v>37259.659999999996</v>
      </c>
      <c r="W179" s="56">
        <v>35748.22</v>
      </c>
      <c r="X179" s="658">
        <f t="shared" si="46"/>
        <v>1511.4399999999951</v>
      </c>
      <c r="Y179" s="659">
        <v>37282.119999999995</v>
      </c>
      <c r="Z179" s="171">
        <f t="shared" si="52"/>
        <v>38793.55999999999</v>
      </c>
      <c r="AA179" s="56"/>
      <c r="AB179" s="241">
        <f t="shared" si="47"/>
        <v>38793.55999999999</v>
      </c>
      <c r="AC179" s="241"/>
      <c r="AE179" s="531">
        <f t="shared" si="43"/>
        <v>0</v>
      </c>
      <c r="AG179" t="s">
        <v>494</v>
      </c>
      <c r="AH179" t="s">
        <v>1888</v>
      </c>
      <c r="AI179" s="199">
        <v>32127.39</v>
      </c>
      <c r="AJ179" s="199">
        <v>1212.8800000000001</v>
      </c>
      <c r="AK179" s="199">
        <v>518.25</v>
      </c>
      <c r="AL179" s="199">
        <v>0</v>
      </c>
      <c r="AM179" s="199">
        <v>0</v>
      </c>
      <c r="AN179" s="199">
        <v>1630.58</v>
      </c>
      <c r="AO179" s="199">
        <v>1407.81</v>
      </c>
      <c r="AP179" s="199">
        <v>244.43</v>
      </c>
      <c r="AQ179" s="199">
        <v>140.78</v>
      </c>
      <c r="AR179" s="199">
        <v>0</v>
      </c>
      <c r="AS179" s="199">
        <v>37282.119999999995</v>
      </c>
      <c r="AT179"/>
      <c r="AU179"/>
      <c r="AV179" t="str">
        <f t="shared" si="44"/>
        <v>25155</v>
      </c>
      <c r="AW179" s="241">
        <f t="shared" si="45"/>
        <v>37282.119999999995</v>
      </c>
      <c r="AY179" s="167">
        <f t="shared" si="48"/>
        <v>0</v>
      </c>
      <c r="BA179" s="197">
        <v>172</v>
      </c>
      <c r="BB179" s="73" t="s">
        <v>494</v>
      </c>
      <c r="BC179" s="73" t="s">
        <v>1354</v>
      </c>
      <c r="BD179" s="56">
        <v>35748.22</v>
      </c>
    </row>
    <row r="180" spans="1:56">
      <c r="A180" s="197">
        <v>173</v>
      </c>
      <c r="B180" s="73" t="s">
        <v>472</v>
      </c>
      <c r="C180" s="73" t="s">
        <v>1355</v>
      </c>
      <c r="D180" s="168">
        <v>5054.08</v>
      </c>
      <c r="E180" s="170">
        <v>10071.43</v>
      </c>
      <c r="F180" s="171">
        <f t="shared" si="53"/>
        <v>15125.51</v>
      </c>
      <c r="G180" s="182">
        <v>9604.19</v>
      </c>
      <c r="H180" s="179">
        <v>5521.32</v>
      </c>
      <c r="I180" s="170">
        <v>14507.57</v>
      </c>
      <c r="J180" s="171">
        <f t="shared" si="54"/>
        <v>20028.89</v>
      </c>
      <c r="K180" s="205">
        <v>8635.36</v>
      </c>
      <c r="L180" s="171">
        <v>11393.529999999999</v>
      </c>
      <c r="M180" s="199">
        <v>14635.68</v>
      </c>
      <c r="N180" s="171">
        <f t="shared" si="49"/>
        <v>26029.21</v>
      </c>
      <c r="O180" s="205">
        <v>17414.349999999999</v>
      </c>
      <c r="P180" s="241">
        <v>8614.86</v>
      </c>
      <c r="Q180" s="199">
        <v>15497.66</v>
      </c>
      <c r="R180" s="171">
        <f t="shared" si="50"/>
        <v>24112.52</v>
      </c>
      <c r="S180" s="205">
        <v>17113.5</v>
      </c>
      <c r="T180" s="241">
        <v>6999.02</v>
      </c>
      <c r="U180" s="241">
        <v>27877.94</v>
      </c>
      <c r="V180" s="171">
        <f t="shared" si="51"/>
        <v>34876.959999999999</v>
      </c>
      <c r="W180" s="56">
        <v>21881.120000000003</v>
      </c>
      <c r="X180" s="658">
        <f t="shared" si="46"/>
        <v>12995.839999999997</v>
      </c>
      <c r="Y180" s="659">
        <v>29776.44</v>
      </c>
      <c r="Z180" s="171">
        <f t="shared" si="52"/>
        <v>42772.28</v>
      </c>
      <c r="AA180" s="56"/>
      <c r="AB180" s="241">
        <f t="shared" si="47"/>
        <v>42772.28</v>
      </c>
      <c r="AC180" s="241"/>
      <c r="AE180" s="531">
        <f t="shared" si="43"/>
        <v>0</v>
      </c>
      <c r="AG180" t="s">
        <v>472</v>
      </c>
      <c r="AH180" t="s">
        <v>2455</v>
      </c>
      <c r="AI180" s="199">
        <v>22828.81</v>
      </c>
      <c r="AJ180" s="199">
        <v>217.5</v>
      </c>
      <c r="AK180" s="199">
        <v>822.53</v>
      </c>
      <c r="AL180" s="199">
        <v>0</v>
      </c>
      <c r="AM180" s="199">
        <v>3476.75</v>
      </c>
      <c r="AN180" s="199">
        <v>1229.98</v>
      </c>
      <c r="AO180" s="199">
        <v>563.66999999999996</v>
      </c>
      <c r="AP180" s="199">
        <v>0</v>
      </c>
      <c r="AQ180" s="199">
        <v>0</v>
      </c>
      <c r="AR180" s="199">
        <v>637.20000000000005</v>
      </c>
      <c r="AS180" s="199">
        <v>29776.44</v>
      </c>
      <c r="AT180"/>
      <c r="AU180"/>
      <c r="AV180" t="str">
        <f t="shared" si="44"/>
        <v>24014</v>
      </c>
      <c r="AW180" s="241">
        <f t="shared" si="45"/>
        <v>29776.44</v>
      </c>
      <c r="AY180" s="167">
        <f t="shared" si="48"/>
        <v>0</v>
      </c>
      <c r="BA180" s="197">
        <v>173</v>
      </c>
      <c r="BB180" s="73" t="s">
        <v>472</v>
      </c>
      <c r="BC180" s="73" t="s">
        <v>1355</v>
      </c>
      <c r="BD180" s="56">
        <v>21881.120000000003</v>
      </c>
    </row>
    <row r="181" spans="1:56">
      <c r="A181" s="197">
        <v>174</v>
      </c>
      <c r="B181" s="73" t="s">
        <v>499</v>
      </c>
      <c r="C181" s="73" t="s">
        <v>1356</v>
      </c>
      <c r="D181" s="168">
        <v>5235.09</v>
      </c>
      <c r="E181" s="170">
        <v>69453.56</v>
      </c>
      <c r="F181" s="171">
        <f t="shared" si="53"/>
        <v>74688.649999999994</v>
      </c>
      <c r="G181" s="182">
        <v>96156.45</v>
      </c>
      <c r="H181" s="179">
        <v>0</v>
      </c>
      <c r="I181" s="170">
        <v>89974.62</v>
      </c>
      <c r="J181" s="171">
        <f t="shared" si="54"/>
        <v>89974.62</v>
      </c>
      <c r="K181" s="205">
        <v>100325.13</v>
      </c>
      <c r="L181" s="171">
        <v>0</v>
      </c>
      <c r="M181" s="199">
        <v>88870.31</v>
      </c>
      <c r="N181" s="171">
        <f t="shared" si="49"/>
        <v>88870.31</v>
      </c>
      <c r="O181" s="205">
        <v>106609.1</v>
      </c>
      <c r="P181" s="241">
        <v>0</v>
      </c>
      <c r="Q181" s="199">
        <v>100789.17000000001</v>
      </c>
      <c r="R181" s="171">
        <f t="shared" si="50"/>
        <v>100789.17000000001</v>
      </c>
      <c r="S181" s="205">
        <v>127533.22</v>
      </c>
      <c r="T181" s="241">
        <v>0</v>
      </c>
      <c r="U181" s="241">
        <v>108456.7</v>
      </c>
      <c r="V181" s="171">
        <f t="shared" si="51"/>
        <v>108456.7</v>
      </c>
      <c r="W181" s="56">
        <v>123845.48999999999</v>
      </c>
      <c r="X181" s="658">
        <f t="shared" si="46"/>
        <v>0</v>
      </c>
      <c r="Y181" s="659">
        <v>115157.68000000001</v>
      </c>
      <c r="Z181" s="171">
        <f t="shared" si="52"/>
        <v>115157.68000000001</v>
      </c>
      <c r="AA181" s="56"/>
      <c r="AB181" s="241">
        <f t="shared" si="47"/>
        <v>115157.68000000001</v>
      </c>
      <c r="AC181" s="241"/>
      <c r="AE181" s="531">
        <f t="shared" si="43"/>
        <v>0</v>
      </c>
      <c r="AG181" t="s">
        <v>499</v>
      </c>
      <c r="AH181" t="s">
        <v>1891</v>
      </c>
      <c r="AI181" s="199">
        <v>72684.86</v>
      </c>
      <c r="AJ181" s="199">
        <v>8056.86</v>
      </c>
      <c r="AK181" s="199">
        <v>2512.02</v>
      </c>
      <c r="AL181" s="199">
        <v>0</v>
      </c>
      <c r="AM181" s="199">
        <v>19475.54</v>
      </c>
      <c r="AN181" s="199">
        <v>6996.91</v>
      </c>
      <c r="AO181" s="199">
        <v>4918.3599999999997</v>
      </c>
      <c r="AP181" s="199">
        <v>0</v>
      </c>
      <c r="AQ181" s="199">
        <v>513.13</v>
      </c>
      <c r="AR181" s="199">
        <v>0</v>
      </c>
      <c r="AS181" s="199">
        <v>115157.68000000001</v>
      </c>
      <c r="AT181"/>
      <c r="AU181"/>
      <c r="AV181" t="str">
        <f t="shared" si="44"/>
        <v>26056</v>
      </c>
      <c r="AW181" s="241">
        <f t="shared" si="45"/>
        <v>115157.68000000001</v>
      </c>
      <c r="AY181" s="167">
        <f t="shared" si="48"/>
        <v>0</v>
      </c>
      <c r="BA181" s="197">
        <v>174</v>
      </c>
      <c r="BB181" s="73" t="s">
        <v>499</v>
      </c>
      <c r="BC181" s="73" t="s">
        <v>1356</v>
      </c>
      <c r="BD181" s="56">
        <v>123845.48999999999</v>
      </c>
    </row>
    <row r="182" spans="1:56">
      <c r="A182" s="197">
        <v>175</v>
      </c>
      <c r="B182" s="73" t="s">
        <v>598</v>
      </c>
      <c r="C182" s="73" t="s">
        <v>1357</v>
      </c>
      <c r="D182" s="168">
        <v>0</v>
      </c>
      <c r="E182" s="170">
        <v>81635.77</v>
      </c>
      <c r="F182" s="171">
        <f t="shared" si="53"/>
        <v>81635.77</v>
      </c>
      <c r="G182" s="182">
        <v>92793.91</v>
      </c>
      <c r="H182" s="179">
        <v>0</v>
      </c>
      <c r="I182" s="170">
        <v>112635.20000000001</v>
      </c>
      <c r="J182" s="171">
        <f t="shared" si="54"/>
        <v>112635.20000000001</v>
      </c>
      <c r="K182" s="205">
        <v>137057.70000000001</v>
      </c>
      <c r="L182" s="171">
        <v>0</v>
      </c>
      <c r="M182" s="199">
        <v>114731.11</v>
      </c>
      <c r="N182" s="171">
        <f t="shared" si="49"/>
        <v>114731.11</v>
      </c>
      <c r="O182" s="205">
        <v>119563.45000000001</v>
      </c>
      <c r="P182" s="241">
        <v>0</v>
      </c>
      <c r="Q182" s="199">
        <v>127269.39</v>
      </c>
      <c r="R182" s="171">
        <f t="shared" si="50"/>
        <v>127269.39</v>
      </c>
      <c r="S182" s="205">
        <v>127796.31</v>
      </c>
      <c r="T182" s="241">
        <v>0</v>
      </c>
      <c r="U182" s="241">
        <v>138317.06</v>
      </c>
      <c r="V182" s="171">
        <f t="shared" si="51"/>
        <v>138317.06</v>
      </c>
      <c r="W182" s="56">
        <v>163114.15999999992</v>
      </c>
      <c r="X182" s="658">
        <f t="shared" si="46"/>
        <v>0</v>
      </c>
      <c r="Y182" s="659">
        <v>143492.15999999997</v>
      </c>
      <c r="Z182" s="171">
        <f t="shared" si="52"/>
        <v>143492.15999999997</v>
      </c>
      <c r="AA182" s="56"/>
      <c r="AB182" s="241">
        <f t="shared" si="47"/>
        <v>143492.15999999997</v>
      </c>
      <c r="AC182" s="241"/>
      <c r="AE182" s="531">
        <f t="shared" si="43"/>
        <v>0</v>
      </c>
      <c r="AG182" t="s">
        <v>598</v>
      </c>
      <c r="AH182" t="s">
        <v>1940</v>
      </c>
      <c r="AI182" s="199">
        <v>103490.33</v>
      </c>
      <c r="AJ182" s="199">
        <v>8713.67</v>
      </c>
      <c r="AK182" s="199">
        <v>460.37</v>
      </c>
      <c r="AL182" s="199">
        <v>0</v>
      </c>
      <c r="AM182" s="199">
        <v>19788.36</v>
      </c>
      <c r="AN182" s="199">
        <v>4713.67</v>
      </c>
      <c r="AO182" s="199">
        <v>0</v>
      </c>
      <c r="AP182" s="199">
        <v>329.74</v>
      </c>
      <c r="AQ182" s="199">
        <v>626.04999999999995</v>
      </c>
      <c r="AR182" s="199">
        <v>5369.97</v>
      </c>
      <c r="AS182" s="199">
        <v>143492.15999999997</v>
      </c>
      <c r="AT182"/>
      <c r="AU182"/>
      <c r="AV182" t="str">
        <f t="shared" si="44"/>
        <v>32325</v>
      </c>
      <c r="AW182" s="241">
        <f t="shared" si="45"/>
        <v>143492.15999999997</v>
      </c>
      <c r="AY182" s="167">
        <f t="shared" si="48"/>
        <v>0</v>
      </c>
      <c r="BA182" s="197">
        <v>175</v>
      </c>
      <c r="BB182" s="73" t="s">
        <v>598</v>
      </c>
      <c r="BC182" s="73" t="s">
        <v>1357</v>
      </c>
      <c r="BD182" s="56">
        <v>163114.15999999992</v>
      </c>
    </row>
    <row r="183" spans="1:56">
      <c r="A183" s="197">
        <v>176</v>
      </c>
      <c r="B183" s="73" t="s">
        <v>681</v>
      </c>
      <c r="C183" s="73" t="s">
        <v>1358</v>
      </c>
      <c r="D183" s="168">
        <v>11136.169999999998</v>
      </c>
      <c r="E183" s="170">
        <v>134429.70000000001</v>
      </c>
      <c r="F183" s="171">
        <f t="shared" si="53"/>
        <v>145565.87</v>
      </c>
      <c r="G183" s="182">
        <v>145565.87</v>
      </c>
      <c r="H183" s="179">
        <v>0</v>
      </c>
      <c r="I183" s="170">
        <v>194562.43</v>
      </c>
      <c r="J183" s="171">
        <f t="shared" si="54"/>
        <v>194562.43</v>
      </c>
      <c r="K183" s="205">
        <v>204434.27</v>
      </c>
      <c r="L183" s="171">
        <v>0</v>
      </c>
      <c r="M183" s="199">
        <v>189818.66999999998</v>
      </c>
      <c r="N183" s="171">
        <f t="shared" si="49"/>
        <v>189818.66999999998</v>
      </c>
      <c r="O183" s="205">
        <v>232371.99000000002</v>
      </c>
      <c r="P183" s="241">
        <v>0</v>
      </c>
      <c r="Q183" s="199">
        <v>214712.57999999996</v>
      </c>
      <c r="R183" s="171">
        <f t="shared" si="50"/>
        <v>214712.57999999996</v>
      </c>
      <c r="S183" s="205">
        <v>238720.16</v>
      </c>
      <c r="T183" s="241">
        <v>0</v>
      </c>
      <c r="U183" s="241">
        <v>223870.35</v>
      </c>
      <c r="V183" s="171">
        <f t="shared" si="51"/>
        <v>223870.35</v>
      </c>
      <c r="W183" s="56">
        <v>243375.54999999996</v>
      </c>
      <c r="X183" s="658">
        <f t="shared" si="46"/>
        <v>0</v>
      </c>
      <c r="Y183" s="659">
        <v>250462.63999999996</v>
      </c>
      <c r="Z183" s="171">
        <f t="shared" si="52"/>
        <v>250462.63999999996</v>
      </c>
      <c r="AA183" s="56"/>
      <c r="AB183" s="241">
        <f t="shared" si="47"/>
        <v>250462.63999999996</v>
      </c>
      <c r="AC183" s="241"/>
      <c r="AE183" s="531">
        <f t="shared" si="43"/>
        <v>0</v>
      </c>
      <c r="AG183" t="s">
        <v>681</v>
      </c>
      <c r="AH183" t="s">
        <v>1985</v>
      </c>
      <c r="AI183" s="199">
        <v>165333.9</v>
      </c>
      <c r="AJ183" s="199">
        <v>11808.64</v>
      </c>
      <c r="AK183" s="199">
        <v>1305.4000000000001</v>
      </c>
      <c r="AL183" s="199">
        <v>0</v>
      </c>
      <c r="AM183" s="199">
        <v>36614.76</v>
      </c>
      <c r="AN183" s="199">
        <v>10129.81</v>
      </c>
      <c r="AO183" s="199">
        <v>9179.99</v>
      </c>
      <c r="AP183" s="199">
        <v>7908.68</v>
      </c>
      <c r="AQ183" s="199">
        <v>902.74</v>
      </c>
      <c r="AR183" s="199">
        <v>7278.72</v>
      </c>
      <c r="AS183" s="199">
        <v>250462.63999999996</v>
      </c>
      <c r="AT183"/>
      <c r="AU183"/>
      <c r="AV183" t="str">
        <f t="shared" si="44"/>
        <v>37506</v>
      </c>
      <c r="AW183" s="241">
        <f t="shared" si="45"/>
        <v>250462.63999999996</v>
      </c>
      <c r="AY183" s="167">
        <f t="shared" si="48"/>
        <v>0</v>
      </c>
      <c r="BA183" s="197">
        <v>176</v>
      </c>
      <c r="BB183" s="73" t="s">
        <v>681</v>
      </c>
      <c r="BC183" s="73" t="s">
        <v>1358</v>
      </c>
      <c r="BD183" s="56">
        <v>243375.54999999996</v>
      </c>
    </row>
    <row r="184" spans="1:56">
      <c r="A184" s="197">
        <v>177</v>
      </c>
      <c r="B184" s="73" t="s">
        <v>301</v>
      </c>
      <c r="C184" s="73" t="s">
        <v>1359</v>
      </c>
      <c r="D184" s="168">
        <v>2831.7000000000007</v>
      </c>
      <c r="E184" s="170">
        <v>49364.789999999994</v>
      </c>
      <c r="F184" s="171">
        <f t="shared" si="53"/>
        <v>52196.489999999991</v>
      </c>
      <c r="G184" s="182">
        <v>27534.080000000002</v>
      </c>
      <c r="H184" s="179">
        <v>24662.409999999989</v>
      </c>
      <c r="I184" s="170">
        <v>76068.58</v>
      </c>
      <c r="J184" s="171">
        <f t="shared" si="54"/>
        <v>100730.98999999999</v>
      </c>
      <c r="K184" s="205">
        <v>59643.23</v>
      </c>
      <c r="L184" s="171">
        <v>41087.759999999987</v>
      </c>
      <c r="M184" s="199">
        <v>74388.38</v>
      </c>
      <c r="N184" s="171">
        <f t="shared" ref="N184:N211" si="55">+L184+M184</f>
        <v>115476.13999999998</v>
      </c>
      <c r="O184" s="205">
        <v>111317.34</v>
      </c>
      <c r="P184" s="241">
        <v>4158.7999999999884</v>
      </c>
      <c r="Q184" s="199">
        <v>73968.850000000006</v>
      </c>
      <c r="R184" s="171">
        <f t="shared" ref="R184:R211" si="56">+P184+Q184</f>
        <v>78127.649999999994</v>
      </c>
      <c r="S184" s="205">
        <v>109493.43</v>
      </c>
      <c r="T184" s="241">
        <v>0</v>
      </c>
      <c r="U184" s="241">
        <v>71787.98</v>
      </c>
      <c r="V184" s="171">
        <f t="shared" ref="V184:V211" si="57">+T184+U184</f>
        <v>71787.98</v>
      </c>
      <c r="W184" s="56">
        <v>112769.31999999999</v>
      </c>
      <c r="X184" s="658">
        <f t="shared" si="46"/>
        <v>0</v>
      </c>
      <c r="Y184" s="659">
        <v>74358.390000000014</v>
      </c>
      <c r="Z184" s="171">
        <f t="shared" ref="Z184:Z211" si="58">+X184+Y184</f>
        <v>74358.390000000014</v>
      </c>
      <c r="AA184" s="56"/>
      <c r="AB184" s="241">
        <f t="shared" si="47"/>
        <v>74358.390000000014</v>
      </c>
      <c r="AC184" s="241"/>
      <c r="AE184" s="531">
        <f t="shared" si="43"/>
        <v>0</v>
      </c>
      <c r="AG184" t="s">
        <v>301</v>
      </c>
      <c r="AH184" t="s">
        <v>1789</v>
      </c>
      <c r="AI184" s="199">
        <v>51314.27</v>
      </c>
      <c r="AJ184" s="199">
        <v>2078.5500000000002</v>
      </c>
      <c r="AK184" s="199">
        <v>822.53</v>
      </c>
      <c r="AL184" s="199">
        <v>0</v>
      </c>
      <c r="AM184" s="199">
        <v>9973.94</v>
      </c>
      <c r="AN184" s="199">
        <v>4638.0600000000004</v>
      </c>
      <c r="AO184" s="199">
        <v>2911.8</v>
      </c>
      <c r="AP184" s="199">
        <v>205.25</v>
      </c>
      <c r="AQ184" s="199">
        <v>266.52</v>
      </c>
      <c r="AR184" s="199">
        <v>2147.4699999999998</v>
      </c>
      <c r="AS184" s="199">
        <v>74358.390000000014</v>
      </c>
      <c r="AT184"/>
      <c r="AU184"/>
      <c r="AV184" t="str">
        <f t="shared" si="44"/>
        <v>14064</v>
      </c>
      <c r="AW184" s="241">
        <f t="shared" si="45"/>
        <v>74358.390000000014</v>
      </c>
      <c r="AY184" s="167">
        <f t="shared" si="48"/>
        <v>0</v>
      </c>
      <c r="BA184" s="197">
        <v>177</v>
      </c>
      <c r="BB184" s="73" t="s">
        <v>301</v>
      </c>
      <c r="BC184" s="73" t="s">
        <v>1359</v>
      </c>
      <c r="BD184" s="56">
        <v>112769.31999999999</v>
      </c>
    </row>
    <row r="185" spans="1:56">
      <c r="A185" s="197">
        <v>178</v>
      </c>
      <c r="B185" s="73" t="s">
        <v>269</v>
      </c>
      <c r="C185" s="73" t="s">
        <v>1360</v>
      </c>
      <c r="D185" s="168">
        <v>12259.650000000001</v>
      </c>
      <c r="E185" s="170">
        <v>145011.26</v>
      </c>
      <c r="F185" s="171">
        <f t="shared" si="53"/>
        <v>157270.91</v>
      </c>
      <c r="G185" s="182">
        <v>130044.62</v>
      </c>
      <c r="H185" s="179">
        <v>27226.290000000008</v>
      </c>
      <c r="I185" s="170">
        <v>206658.96000000002</v>
      </c>
      <c r="J185" s="171">
        <f t="shared" si="54"/>
        <v>233885.25000000003</v>
      </c>
      <c r="K185" s="205">
        <v>137316.6</v>
      </c>
      <c r="L185" s="171">
        <v>96568.650000000023</v>
      </c>
      <c r="M185" s="199">
        <v>213710.44</v>
      </c>
      <c r="N185" s="171">
        <f t="shared" si="55"/>
        <v>310279.09000000003</v>
      </c>
      <c r="O185" s="205">
        <v>213868.88</v>
      </c>
      <c r="P185" s="241">
        <v>96410.210000000021</v>
      </c>
      <c r="Q185" s="199">
        <v>228289.78000000003</v>
      </c>
      <c r="R185" s="171">
        <f t="shared" si="56"/>
        <v>324699.99000000005</v>
      </c>
      <c r="S185" s="205">
        <v>228624.81</v>
      </c>
      <c r="T185" s="241">
        <v>96075.180000000051</v>
      </c>
      <c r="U185" s="241">
        <v>222255.52999999997</v>
      </c>
      <c r="V185" s="171">
        <f t="shared" si="57"/>
        <v>318330.71000000002</v>
      </c>
      <c r="W185" s="56">
        <v>225376.84</v>
      </c>
      <c r="X185" s="658">
        <f t="shared" si="46"/>
        <v>92953.870000000024</v>
      </c>
      <c r="Y185" s="659">
        <v>244316.75999999998</v>
      </c>
      <c r="Z185" s="171">
        <f t="shared" si="58"/>
        <v>337270.63</v>
      </c>
      <c r="AA185" s="56"/>
      <c r="AB185" s="241">
        <f t="shared" si="47"/>
        <v>337270.63</v>
      </c>
      <c r="AC185" s="241"/>
      <c r="AE185" s="531">
        <f t="shared" si="43"/>
        <v>0</v>
      </c>
      <c r="AG185" t="s">
        <v>269</v>
      </c>
      <c r="AH185" t="s">
        <v>1773</v>
      </c>
      <c r="AI185" s="199">
        <v>157148.68</v>
      </c>
      <c r="AJ185" s="199">
        <v>10602.59</v>
      </c>
      <c r="AK185" s="199">
        <v>1882.49</v>
      </c>
      <c r="AL185" s="199">
        <v>0</v>
      </c>
      <c r="AM185" s="199">
        <v>30619.91</v>
      </c>
      <c r="AN185" s="199">
        <v>14790.33</v>
      </c>
      <c r="AO185" s="199">
        <v>8744.61</v>
      </c>
      <c r="AP185" s="199">
        <v>18002.34</v>
      </c>
      <c r="AQ185" s="199">
        <v>888.4</v>
      </c>
      <c r="AR185" s="199">
        <v>1637.41</v>
      </c>
      <c r="AS185" s="199">
        <v>244316.75999999998</v>
      </c>
      <c r="AT185"/>
      <c r="AU185"/>
      <c r="AV185" t="str">
        <f t="shared" si="44"/>
        <v>11051</v>
      </c>
      <c r="AW185" s="241">
        <f t="shared" si="45"/>
        <v>244316.75999999998</v>
      </c>
      <c r="AY185" s="167">
        <f t="shared" si="48"/>
        <v>0</v>
      </c>
      <c r="BA185" s="197">
        <v>178</v>
      </c>
      <c r="BB185" s="73" t="s">
        <v>269</v>
      </c>
      <c r="BC185" s="73" t="s">
        <v>1360</v>
      </c>
      <c r="BD185" s="56">
        <v>225376.84</v>
      </c>
    </row>
    <row r="186" spans="1:56">
      <c r="A186" s="197">
        <v>179</v>
      </c>
      <c r="B186" s="73" t="s">
        <v>378</v>
      </c>
      <c r="C186" s="73" t="s">
        <v>1361</v>
      </c>
      <c r="D186" s="168">
        <v>0</v>
      </c>
      <c r="E186" s="170">
        <v>410067.51000000007</v>
      </c>
      <c r="F186" s="171">
        <f t="shared" si="53"/>
        <v>410067.51000000007</v>
      </c>
      <c r="G186" s="182">
        <v>387816.66</v>
      </c>
      <c r="H186" s="179">
        <v>22250.850000000093</v>
      </c>
      <c r="I186" s="170">
        <v>552599.55000000005</v>
      </c>
      <c r="J186" s="171">
        <f t="shared" si="54"/>
        <v>574850.40000000014</v>
      </c>
      <c r="K186" s="205">
        <v>604994.7799999998</v>
      </c>
      <c r="L186" s="171">
        <v>0</v>
      </c>
      <c r="M186" s="199">
        <v>554195.63</v>
      </c>
      <c r="N186" s="171">
        <f t="shared" si="55"/>
        <v>554195.63</v>
      </c>
      <c r="O186" s="205">
        <v>668096.58000000007</v>
      </c>
      <c r="P186" s="241">
        <v>0</v>
      </c>
      <c r="Q186" s="199">
        <v>593796.18999999994</v>
      </c>
      <c r="R186" s="171">
        <f t="shared" si="56"/>
        <v>593796.18999999994</v>
      </c>
      <c r="S186" s="205">
        <v>692431.99999999988</v>
      </c>
      <c r="T186" s="241">
        <v>0</v>
      </c>
      <c r="U186" s="241">
        <v>627992.21000000008</v>
      </c>
      <c r="V186" s="171">
        <f t="shared" si="57"/>
        <v>627992.21000000008</v>
      </c>
      <c r="W186" s="56">
        <v>691188.02000000014</v>
      </c>
      <c r="X186" s="658">
        <f t="shared" si="46"/>
        <v>0</v>
      </c>
      <c r="Y186" s="659">
        <v>665265.63</v>
      </c>
      <c r="Z186" s="171">
        <f t="shared" si="58"/>
        <v>665265.63</v>
      </c>
      <c r="AA186" s="56"/>
      <c r="AB186" s="241">
        <f t="shared" si="47"/>
        <v>665265.63</v>
      </c>
      <c r="AC186" s="241"/>
      <c r="AE186" s="531">
        <f t="shared" si="43"/>
        <v>0</v>
      </c>
      <c r="AG186" t="s">
        <v>378</v>
      </c>
      <c r="AH186" t="s">
        <v>1830</v>
      </c>
      <c r="AI186" s="199">
        <v>494630.57</v>
      </c>
      <c r="AJ186" s="199">
        <v>32549.06</v>
      </c>
      <c r="AK186" s="199">
        <v>8713.75</v>
      </c>
      <c r="AL186" s="199">
        <v>0</v>
      </c>
      <c r="AM186" s="199">
        <v>93463.28</v>
      </c>
      <c r="AN186" s="199">
        <v>22798.17</v>
      </c>
      <c r="AO186" s="199">
        <v>1758.44</v>
      </c>
      <c r="AP186" s="199">
        <v>8547.44</v>
      </c>
      <c r="AQ186" s="199">
        <v>2804.92</v>
      </c>
      <c r="AR186" s="199">
        <v>0</v>
      </c>
      <c r="AS186" s="199">
        <v>665265.63</v>
      </c>
      <c r="AT186"/>
      <c r="AU186"/>
      <c r="AV186" t="str">
        <f t="shared" si="44"/>
        <v>18400</v>
      </c>
      <c r="AW186" s="241">
        <f t="shared" si="45"/>
        <v>665265.63</v>
      </c>
      <c r="AY186" s="167">
        <f t="shared" si="48"/>
        <v>0</v>
      </c>
      <c r="BA186" s="197">
        <v>179</v>
      </c>
      <c r="BB186" s="73" t="s">
        <v>378</v>
      </c>
      <c r="BC186" s="73" t="s">
        <v>1361</v>
      </c>
      <c r="BD186" s="56">
        <v>691188.02000000014</v>
      </c>
    </row>
    <row r="187" spans="1:56">
      <c r="A187" s="197">
        <v>180</v>
      </c>
      <c r="B187" s="73" t="s">
        <v>468</v>
      </c>
      <c r="C187" s="73" t="s">
        <v>1362</v>
      </c>
      <c r="D187" s="168">
        <v>25235.920000000006</v>
      </c>
      <c r="E187" s="170">
        <v>158180.90000000002</v>
      </c>
      <c r="F187" s="171">
        <f t="shared" ref="F187:F211" si="59">+D187+E187</f>
        <v>183416.82000000004</v>
      </c>
      <c r="G187" s="182">
        <v>154322.26999999999</v>
      </c>
      <c r="H187" s="179">
        <v>29094.550000000047</v>
      </c>
      <c r="I187" s="170">
        <v>219456</v>
      </c>
      <c r="J187" s="171">
        <f t="shared" ref="J187:J211" si="60">+H187+I187</f>
        <v>248550.55000000005</v>
      </c>
      <c r="K187" s="205">
        <v>128537.95999999998</v>
      </c>
      <c r="L187" s="171">
        <v>120012.59000000007</v>
      </c>
      <c r="M187" s="199">
        <v>219197.66</v>
      </c>
      <c r="N187" s="171">
        <f t="shared" si="55"/>
        <v>339210.25000000006</v>
      </c>
      <c r="O187" s="205">
        <v>165877.89000000001</v>
      </c>
      <c r="P187" s="241">
        <v>173332.36000000004</v>
      </c>
      <c r="Q187" s="199">
        <v>242476.3</v>
      </c>
      <c r="R187" s="171">
        <f t="shared" si="56"/>
        <v>415808.66000000003</v>
      </c>
      <c r="S187" s="205">
        <v>299208.24</v>
      </c>
      <c r="T187" s="241">
        <v>116600.42000000004</v>
      </c>
      <c r="U187" s="241">
        <v>265512.60000000003</v>
      </c>
      <c r="V187" s="171">
        <f t="shared" si="57"/>
        <v>382113.02000000008</v>
      </c>
      <c r="W187" s="56">
        <v>289773.40000000002</v>
      </c>
      <c r="X187" s="658">
        <f t="shared" si="46"/>
        <v>92339.620000000054</v>
      </c>
      <c r="Y187" s="659">
        <v>283293.38</v>
      </c>
      <c r="Z187" s="171">
        <f t="shared" si="58"/>
        <v>375633.00000000006</v>
      </c>
      <c r="AA187" s="56"/>
      <c r="AB187" s="241">
        <f t="shared" si="47"/>
        <v>375633.00000000006</v>
      </c>
      <c r="AC187" s="241"/>
      <c r="AE187" s="531">
        <f t="shared" si="43"/>
        <v>0</v>
      </c>
      <c r="AG187" t="s">
        <v>468</v>
      </c>
      <c r="AH187" t="s">
        <v>1876</v>
      </c>
      <c r="AI187" s="199">
        <v>180237.01</v>
      </c>
      <c r="AJ187" s="199">
        <v>20577.79</v>
      </c>
      <c r="AK187" s="199">
        <v>6467.55</v>
      </c>
      <c r="AL187" s="199">
        <v>0</v>
      </c>
      <c r="AM187" s="199">
        <v>38118.400000000001</v>
      </c>
      <c r="AN187" s="199">
        <v>14348.69</v>
      </c>
      <c r="AO187" s="199">
        <v>7550.05</v>
      </c>
      <c r="AP187" s="199">
        <v>10557.37</v>
      </c>
      <c r="AQ187" s="199">
        <v>1123.68</v>
      </c>
      <c r="AR187" s="199">
        <v>4312.84</v>
      </c>
      <c r="AS187" s="199">
        <v>283293.38</v>
      </c>
      <c r="AT187"/>
      <c r="AU187"/>
      <c r="AV187" t="str">
        <f t="shared" si="44"/>
        <v>23403</v>
      </c>
      <c r="AW187" s="241">
        <f t="shared" si="45"/>
        <v>283293.38</v>
      </c>
      <c r="AY187" s="167">
        <f t="shared" si="48"/>
        <v>0</v>
      </c>
      <c r="BA187" s="197">
        <v>180</v>
      </c>
      <c r="BB187" s="73" t="s">
        <v>468</v>
      </c>
      <c r="BC187" s="73" t="s">
        <v>1362</v>
      </c>
      <c r="BD187" s="56">
        <v>289773.40000000002</v>
      </c>
    </row>
    <row r="188" spans="1:56">
      <c r="A188" s="197">
        <v>181</v>
      </c>
      <c r="B188" s="73" t="s">
        <v>497</v>
      </c>
      <c r="C188" s="73" t="s">
        <v>1363</v>
      </c>
      <c r="D188" s="168">
        <v>296.81999999999971</v>
      </c>
      <c r="E188" s="170">
        <v>12351.45</v>
      </c>
      <c r="F188" s="171">
        <f t="shared" si="59"/>
        <v>12648.27</v>
      </c>
      <c r="G188" s="182">
        <v>10486.93</v>
      </c>
      <c r="H188" s="179">
        <v>2161.34</v>
      </c>
      <c r="I188" s="170">
        <v>18992.990000000002</v>
      </c>
      <c r="J188" s="171">
        <f t="shared" si="60"/>
        <v>21154.33</v>
      </c>
      <c r="K188" s="205">
        <v>1641.92</v>
      </c>
      <c r="L188" s="171">
        <v>19512.410000000003</v>
      </c>
      <c r="M188" s="199">
        <v>19094.489999999998</v>
      </c>
      <c r="N188" s="171">
        <f t="shared" si="55"/>
        <v>38606.9</v>
      </c>
      <c r="O188" s="205">
        <v>1388.73</v>
      </c>
      <c r="P188" s="241">
        <v>37218.17</v>
      </c>
      <c r="Q188" s="199">
        <v>20516.62</v>
      </c>
      <c r="R188" s="171">
        <f t="shared" si="56"/>
        <v>57734.789999999994</v>
      </c>
      <c r="S188" s="205">
        <v>14536.38</v>
      </c>
      <c r="T188" s="241">
        <v>43198.409999999996</v>
      </c>
      <c r="U188" s="241">
        <v>20125.12</v>
      </c>
      <c r="V188" s="171">
        <f t="shared" si="57"/>
        <v>63323.53</v>
      </c>
      <c r="W188" s="56">
        <v>20476.14</v>
      </c>
      <c r="X188" s="658">
        <f t="shared" si="46"/>
        <v>42847.39</v>
      </c>
      <c r="Y188" s="659">
        <v>20652.810000000001</v>
      </c>
      <c r="Z188" s="171">
        <f t="shared" si="58"/>
        <v>63500.2</v>
      </c>
      <c r="AA188" s="56"/>
      <c r="AB188" s="241">
        <f t="shared" si="47"/>
        <v>63500.2</v>
      </c>
      <c r="AC188" s="241"/>
      <c r="AE188" s="531">
        <f t="shared" si="43"/>
        <v>0</v>
      </c>
      <c r="AG188" t="s">
        <v>497</v>
      </c>
      <c r="AH188" t="s">
        <v>1890</v>
      </c>
      <c r="AI188" s="199">
        <v>19311.97</v>
      </c>
      <c r="AJ188" s="199">
        <v>0</v>
      </c>
      <c r="AK188" s="199">
        <v>0</v>
      </c>
      <c r="AL188" s="199">
        <v>0</v>
      </c>
      <c r="AM188" s="199">
        <v>435.59</v>
      </c>
      <c r="AN188" s="199">
        <v>428.89</v>
      </c>
      <c r="AO188" s="199">
        <v>260.39</v>
      </c>
      <c r="AP188" s="199">
        <v>0</v>
      </c>
      <c r="AQ188" s="199">
        <v>0</v>
      </c>
      <c r="AR188" s="199">
        <v>215.97</v>
      </c>
      <c r="AS188" s="199">
        <v>20652.810000000001</v>
      </c>
      <c r="AT188"/>
      <c r="AU188"/>
      <c r="AV188" t="str">
        <f t="shared" si="44"/>
        <v>25200</v>
      </c>
      <c r="AW188" s="241">
        <f t="shared" si="45"/>
        <v>20652.810000000001</v>
      </c>
      <c r="AY188" s="167">
        <f t="shared" si="48"/>
        <v>0</v>
      </c>
      <c r="BA188" s="197">
        <v>181</v>
      </c>
      <c r="BB188" s="73" t="s">
        <v>497</v>
      </c>
      <c r="BC188" s="73" t="s">
        <v>1363</v>
      </c>
      <c r="BD188" s="56">
        <v>20476.14</v>
      </c>
    </row>
    <row r="189" spans="1:56">
      <c r="A189" s="197">
        <v>182</v>
      </c>
      <c r="B189" s="73" t="s">
        <v>642</v>
      </c>
      <c r="C189" s="73" t="s">
        <v>1364</v>
      </c>
      <c r="D189" s="168">
        <v>0</v>
      </c>
      <c r="E189" s="170">
        <v>1017027.0499999999</v>
      </c>
      <c r="F189" s="171">
        <f t="shared" si="59"/>
        <v>1017027.0499999999</v>
      </c>
      <c r="G189" s="182">
        <v>1115646.95</v>
      </c>
      <c r="H189" s="179">
        <v>0</v>
      </c>
      <c r="I189" s="170">
        <v>1402368.38</v>
      </c>
      <c r="J189" s="171">
        <f t="shared" si="60"/>
        <v>1402368.38</v>
      </c>
      <c r="K189" s="205">
        <v>1893843.2699999996</v>
      </c>
      <c r="L189" s="171">
        <v>0</v>
      </c>
      <c r="M189" s="199">
        <v>1382115.5499999998</v>
      </c>
      <c r="N189" s="171">
        <f t="shared" si="55"/>
        <v>1382115.5499999998</v>
      </c>
      <c r="O189" s="205">
        <v>1960850.17</v>
      </c>
      <c r="P189" s="241">
        <v>0</v>
      </c>
      <c r="Q189" s="199">
        <v>1510152.53</v>
      </c>
      <c r="R189" s="171">
        <f t="shared" si="56"/>
        <v>1510152.53</v>
      </c>
      <c r="S189" s="205">
        <v>2077603.62</v>
      </c>
      <c r="T189" s="241">
        <v>0</v>
      </c>
      <c r="U189" s="241">
        <v>1534103.52</v>
      </c>
      <c r="V189" s="171">
        <f t="shared" si="57"/>
        <v>1534103.52</v>
      </c>
      <c r="W189" s="56">
        <v>1534103.52</v>
      </c>
      <c r="X189" s="658">
        <f t="shared" si="46"/>
        <v>0</v>
      </c>
      <c r="Y189" s="659">
        <v>1623596.9100000004</v>
      </c>
      <c r="Z189" s="171">
        <f t="shared" si="58"/>
        <v>1623596.9100000004</v>
      </c>
      <c r="AA189" s="56"/>
      <c r="AB189" s="241">
        <f t="shared" si="47"/>
        <v>1623596.9100000004</v>
      </c>
      <c r="AC189" s="241"/>
      <c r="AE189" s="531">
        <f t="shared" si="43"/>
        <v>0</v>
      </c>
      <c r="AG189" t="s">
        <v>642</v>
      </c>
      <c r="AH189" t="s">
        <v>1964</v>
      </c>
      <c r="AI189" s="199">
        <v>1139393.8</v>
      </c>
      <c r="AJ189" s="199">
        <v>70727.320000000007</v>
      </c>
      <c r="AK189" s="199">
        <v>17383.52</v>
      </c>
      <c r="AL189" s="199">
        <v>0</v>
      </c>
      <c r="AM189" s="199">
        <v>267706.31</v>
      </c>
      <c r="AN189" s="199">
        <v>65161.03</v>
      </c>
      <c r="AO189" s="199">
        <v>17714.37</v>
      </c>
      <c r="AP189" s="199">
        <v>26532.51</v>
      </c>
      <c r="AQ189" s="199">
        <v>6511.36</v>
      </c>
      <c r="AR189" s="199">
        <v>12466.69</v>
      </c>
      <c r="AS189" s="199">
        <v>1623596.9100000004</v>
      </c>
      <c r="AT189"/>
      <c r="AU189"/>
      <c r="AV189" t="str">
        <f t="shared" si="44"/>
        <v>34003</v>
      </c>
      <c r="AW189" s="241">
        <f t="shared" si="45"/>
        <v>1623596.9100000004</v>
      </c>
      <c r="AY189" s="167">
        <f t="shared" si="48"/>
        <v>0</v>
      </c>
      <c r="BA189" s="197">
        <v>182</v>
      </c>
      <c r="BB189" s="73" t="s">
        <v>642</v>
      </c>
      <c r="BC189" s="73" t="s">
        <v>1364</v>
      </c>
      <c r="BD189" s="56">
        <v>1534103.52</v>
      </c>
    </row>
    <row r="190" spans="1:56">
      <c r="A190" s="197">
        <v>183</v>
      </c>
      <c r="B190" s="73" t="s">
        <v>636</v>
      </c>
      <c r="C190" s="73" t="s">
        <v>1365</v>
      </c>
      <c r="D190" s="168">
        <v>1411.3899999999994</v>
      </c>
      <c r="E190" s="170">
        <v>15451.06</v>
      </c>
      <c r="F190" s="171">
        <f t="shared" si="59"/>
        <v>16862.449999999997</v>
      </c>
      <c r="G190" s="182">
        <v>13580.35</v>
      </c>
      <c r="H190" s="179">
        <v>3282.0999999999967</v>
      </c>
      <c r="I190" s="170">
        <v>24233.920000000002</v>
      </c>
      <c r="J190" s="171">
        <f t="shared" si="60"/>
        <v>27516.019999999997</v>
      </c>
      <c r="K190" s="205">
        <v>13423.119999999999</v>
      </c>
      <c r="L190" s="171">
        <v>14092.899999999998</v>
      </c>
      <c r="M190" s="199">
        <v>24210.14</v>
      </c>
      <c r="N190" s="171">
        <f t="shared" si="55"/>
        <v>38303.039999999994</v>
      </c>
      <c r="O190" s="205">
        <v>24018.92</v>
      </c>
      <c r="P190" s="241">
        <v>14284.119999999995</v>
      </c>
      <c r="Q190" s="199">
        <v>26607.74</v>
      </c>
      <c r="R190" s="171">
        <f t="shared" si="56"/>
        <v>40891.86</v>
      </c>
      <c r="S190" s="205">
        <v>27760.519999999997</v>
      </c>
      <c r="T190" s="241">
        <v>13131.340000000004</v>
      </c>
      <c r="U190" s="241">
        <v>27780.670000000002</v>
      </c>
      <c r="V190" s="171">
        <f t="shared" si="57"/>
        <v>40912.010000000009</v>
      </c>
      <c r="W190" s="56">
        <v>31149.750000000004</v>
      </c>
      <c r="X190" s="658">
        <f t="shared" si="46"/>
        <v>9762.2600000000057</v>
      </c>
      <c r="Y190" s="659">
        <v>29673</v>
      </c>
      <c r="Z190" s="171">
        <f t="shared" si="58"/>
        <v>39435.260000000009</v>
      </c>
      <c r="AA190" s="56"/>
      <c r="AB190" s="241">
        <f t="shared" si="47"/>
        <v>39435.260000000009</v>
      </c>
      <c r="AC190" s="241"/>
      <c r="AE190" s="531">
        <f t="shared" si="43"/>
        <v>0</v>
      </c>
      <c r="AG190" t="s">
        <v>636</v>
      </c>
      <c r="AH190" t="s">
        <v>1961</v>
      </c>
      <c r="AI190" s="199">
        <v>22453.53</v>
      </c>
      <c r="AJ190" s="199">
        <v>609.63</v>
      </c>
      <c r="AK190" s="199">
        <v>0</v>
      </c>
      <c r="AL190" s="199">
        <v>0</v>
      </c>
      <c r="AM190" s="199">
        <v>4140.7</v>
      </c>
      <c r="AN190" s="199">
        <v>1638.95</v>
      </c>
      <c r="AO190" s="199">
        <v>712.25</v>
      </c>
      <c r="AP190" s="199">
        <v>0</v>
      </c>
      <c r="AQ190" s="199">
        <v>117.94</v>
      </c>
      <c r="AR190" s="199">
        <v>0</v>
      </c>
      <c r="AS190" s="199">
        <v>29673</v>
      </c>
      <c r="AT190"/>
      <c r="AU190"/>
      <c r="AV190" t="str">
        <f t="shared" si="44"/>
        <v>33211</v>
      </c>
      <c r="AW190" s="241">
        <f t="shared" si="45"/>
        <v>29673</v>
      </c>
      <c r="AY190" s="167">
        <f t="shared" si="48"/>
        <v>0</v>
      </c>
      <c r="BA190" s="197">
        <v>183</v>
      </c>
      <c r="BB190" s="73" t="s">
        <v>636</v>
      </c>
      <c r="BC190" s="73" t="s">
        <v>1365</v>
      </c>
      <c r="BD190" s="56">
        <v>31149.750000000004</v>
      </c>
    </row>
    <row r="191" spans="1:56">
      <c r="A191" s="197">
        <v>184</v>
      </c>
      <c r="B191" s="73" t="s">
        <v>372</v>
      </c>
      <c r="C191" s="73" t="s">
        <v>1366</v>
      </c>
      <c r="D191" s="168">
        <v>40720.999999999884</v>
      </c>
      <c r="E191" s="170">
        <v>1606706.9</v>
      </c>
      <c r="F191" s="171">
        <f t="shared" si="59"/>
        <v>1647427.9</v>
      </c>
      <c r="G191" s="182">
        <v>1584338.58</v>
      </c>
      <c r="H191" s="179">
        <v>63089.319999999832</v>
      </c>
      <c r="I191" s="170">
        <v>2325953.86</v>
      </c>
      <c r="J191" s="171">
        <f t="shared" si="60"/>
        <v>2389043.1799999997</v>
      </c>
      <c r="K191" s="205">
        <v>2307691.66</v>
      </c>
      <c r="L191" s="171">
        <v>81351.519999999553</v>
      </c>
      <c r="M191" s="199">
        <v>2304827.0099999998</v>
      </c>
      <c r="N191" s="171">
        <f t="shared" si="55"/>
        <v>2386178.5299999993</v>
      </c>
      <c r="O191" s="205">
        <v>2386178.54</v>
      </c>
      <c r="P191" s="241">
        <v>0</v>
      </c>
      <c r="Q191" s="199">
        <v>2511815.15</v>
      </c>
      <c r="R191" s="171">
        <f t="shared" si="56"/>
        <v>2511815.15</v>
      </c>
      <c r="S191" s="205">
        <v>2511815.15</v>
      </c>
      <c r="T191" s="241">
        <v>0</v>
      </c>
      <c r="U191" s="241">
        <v>2564714.29</v>
      </c>
      <c r="V191" s="171">
        <f t="shared" si="57"/>
        <v>2564714.29</v>
      </c>
      <c r="W191" s="56">
        <v>2564714.2900000033</v>
      </c>
      <c r="X191" s="658">
        <f t="shared" si="46"/>
        <v>0</v>
      </c>
      <c r="Y191" s="659">
        <v>2685081.7699999996</v>
      </c>
      <c r="Z191" s="171">
        <f t="shared" si="58"/>
        <v>2685081.7699999996</v>
      </c>
      <c r="AA191" s="56"/>
      <c r="AB191" s="241">
        <f t="shared" si="47"/>
        <v>2685081.7699999996</v>
      </c>
      <c r="AC191" s="241"/>
      <c r="AE191" s="531">
        <f t="shared" si="43"/>
        <v>0</v>
      </c>
      <c r="AG191" t="s">
        <v>372</v>
      </c>
      <c r="AH191" t="s">
        <v>1826</v>
      </c>
      <c r="AI191" s="199">
        <v>2070044.49</v>
      </c>
      <c r="AJ191" s="199">
        <v>106521.09</v>
      </c>
      <c r="AK191" s="199">
        <v>19464.25</v>
      </c>
      <c r="AL191" s="199">
        <v>0</v>
      </c>
      <c r="AM191" s="199">
        <v>359368.59</v>
      </c>
      <c r="AN191" s="199">
        <v>43354.9</v>
      </c>
      <c r="AO191" s="199">
        <v>0</v>
      </c>
      <c r="AP191" s="199">
        <v>74809.67</v>
      </c>
      <c r="AQ191" s="199">
        <v>11518.78</v>
      </c>
      <c r="AR191" s="199">
        <v>0</v>
      </c>
      <c r="AS191" s="199">
        <v>2685081.7699999996</v>
      </c>
      <c r="AT191"/>
      <c r="AU191"/>
      <c r="AV191" t="str">
        <f t="shared" si="44"/>
        <v>17417</v>
      </c>
      <c r="AW191" s="241">
        <f t="shared" si="45"/>
        <v>2685081.7699999996</v>
      </c>
      <c r="AY191" s="167">
        <f t="shared" si="48"/>
        <v>0</v>
      </c>
      <c r="BA191" s="197">
        <v>184</v>
      </c>
      <c r="BB191" s="73" t="s">
        <v>372</v>
      </c>
      <c r="BC191" s="73" t="s">
        <v>1366</v>
      </c>
      <c r="BD191" s="56">
        <v>2564714.2900000033</v>
      </c>
    </row>
    <row r="192" spans="1:56">
      <c r="A192" s="197">
        <v>185</v>
      </c>
      <c r="B192" s="73" t="s">
        <v>322</v>
      </c>
      <c r="C192" s="73" t="s">
        <v>1367</v>
      </c>
      <c r="D192" s="168">
        <v>47274.320000000007</v>
      </c>
      <c r="E192" s="170">
        <v>409732.80000000005</v>
      </c>
      <c r="F192" s="171">
        <f t="shared" si="59"/>
        <v>457007.12000000005</v>
      </c>
      <c r="G192" s="182">
        <v>349380.15</v>
      </c>
      <c r="H192" s="179">
        <v>107626.97000000003</v>
      </c>
      <c r="I192" s="170">
        <v>557083.54999999993</v>
      </c>
      <c r="J192" s="171">
        <f t="shared" si="60"/>
        <v>664710.52</v>
      </c>
      <c r="K192" s="205">
        <v>585251.85000000009</v>
      </c>
      <c r="L192" s="171">
        <v>79458.669999999925</v>
      </c>
      <c r="M192" s="199">
        <v>554706.57999999996</v>
      </c>
      <c r="N192" s="171">
        <f t="shared" si="55"/>
        <v>634165.24999999988</v>
      </c>
      <c r="O192" s="205">
        <v>766134.72000000009</v>
      </c>
      <c r="P192" s="241">
        <v>0</v>
      </c>
      <c r="Q192" s="199">
        <v>606757.06999999995</v>
      </c>
      <c r="R192" s="171">
        <f t="shared" si="56"/>
        <v>606757.06999999995</v>
      </c>
      <c r="S192" s="205">
        <v>783053.92000000016</v>
      </c>
      <c r="T192" s="241">
        <v>0</v>
      </c>
      <c r="U192" s="241">
        <v>632246.59000000008</v>
      </c>
      <c r="V192" s="171">
        <f t="shared" si="57"/>
        <v>632246.59000000008</v>
      </c>
      <c r="W192" s="56">
        <v>674688.53000000014</v>
      </c>
      <c r="X192" s="658">
        <f t="shared" si="46"/>
        <v>0</v>
      </c>
      <c r="Y192" s="659">
        <v>651722.30000000005</v>
      </c>
      <c r="Z192" s="171">
        <f t="shared" si="58"/>
        <v>651722.30000000005</v>
      </c>
      <c r="AA192" s="56"/>
      <c r="AB192" s="241">
        <f t="shared" si="47"/>
        <v>651722.30000000005</v>
      </c>
      <c r="AC192" s="241"/>
      <c r="AE192" s="531">
        <f t="shared" si="43"/>
        <v>0</v>
      </c>
      <c r="AG192" t="s">
        <v>322</v>
      </c>
      <c r="AH192" t="s">
        <v>1800</v>
      </c>
      <c r="AI192" s="199">
        <v>452284.06</v>
      </c>
      <c r="AJ192" s="199">
        <v>39071.19</v>
      </c>
      <c r="AK192" s="199">
        <v>4067.53</v>
      </c>
      <c r="AL192" s="199">
        <v>0</v>
      </c>
      <c r="AM192" s="199">
        <v>110349.05</v>
      </c>
      <c r="AN192" s="199">
        <v>25511.64</v>
      </c>
      <c r="AO192" s="199">
        <v>4408.92</v>
      </c>
      <c r="AP192" s="199">
        <v>6918.73</v>
      </c>
      <c r="AQ192" s="199">
        <v>2676.23</v>
      </c>
      <c r="AR192" s="199">
        <v>6434.95</v>
      </c>
      <c r="AS192" s="199">
        <v>651722.30000000005</v>
      </c>
      <c r="AT192"/>
      <c r="AU192"/>
      <c r="AV192" t="str">
        <f t="shared" si="44"/>
        <v>15201</v>
      </c>
      <c r="AW192" s="241">
        <f t="shared" si="45"/>
        <v>651722.30000000005</v>
      </c>
      <c r="AY192" s="167">
        <f t="shared" si="48"/>
        <v>0</v>
      </c>
      <c r="BA192" s="197">
        <v>185</v>
      </c>
      <c r="BB192" s="73" t="s">
        <v>322</v>
      </c>
      <c r="BC192" s="73" t="s">
        <v>1367</v>
      </c>
      <c r="BD192" s="56">
        <v>674688.53000000014</v>
      </c>
    </row>
    <row r="193" spans="1:56">
      <c r="A193" s="197">
        <v>186</v>
      </c>
      <c r="B193" s="73" t="s">
        <v>709</v>
      </c>
      <c r="C193" s="73" t="s">
        <v>1368</v>
      </c>
      <c r="D193" s="168">
        <v>318.81999999999971</v>
      </c>
      <c r="E193" s="170">
        <v>14118.189999999999</v>
      </c>
      <c r="F193" s="171">
        <f t="shared" si="59"/>
        <v>14437.009999999998</v>
      </c>
      <c r="G193" s="182">
        <v>17754.79</v>
      </c>
      <c r="H193" s="179">
        <v>0</v>
      </c>
      <c r="I193" s="170">
        <v>23161.949999999997</v>
      </c>
      <c r="J193" s="171">
        <f t="shared" si="60"/>
        <v>23161.949999999997</v>
      </c>
      <c r="K193" s="205">
        <v>39091.019999999997</v>
      </c>
      <c r="L193" s="171">
        <v>0</v>
      </c>
      <c r="M193" s="199">
        <v>24318.48</v>
      </c>
      <c r="N193" s="171">
        <f t="shared" si="55"/>
        <v>24318.48</v>
      </c>
      <c r="O193" s="205">
        <v>24792.320000000003</v>
      </c>
      <c r="P193" s="241">
        <v>0</v>
      </c>
      <c r="Q193" s="199">
        <v>25724.799999999996</v>
      </c>
      <c r="R193" s="171">
        <f t="shared" si="56"/>
        <v>25724.799999999996</v>
      </c>
      <c r="S193" s="205">
        <v>34259.22</v>
      </c>
      <c r="T193" s="241">
        <v>0</v>
      </c>
      <c r="U193" s="241">
        <v>26148.500000000004</v>
      </c>
      <c r="V193" s="171">
        <f t="shared" si="57"/>
        <v>26148.500000000004</v>
      </c>
      <c r="W193" s="56">
        <v>23864.690000000002</v>
      </c>
      <c r="X193" s="658">
        <f t="shared" si="46"/>
        <v>2283.8100000000013</v>
      </c>
      <c r="Y193" s="659">
        <v>26389.670000000002</v>
      </c>
      <c r="Z193" s="171">
        <f t="shared" si="58"/>
        <v>28673.480000000003</v>
      </c>
      <c r="AA193" s="56"/>
      <c r="AB193" s="241">
        <f t="shared" si="47"/>
        <v>28673.480000000003</v>
      </c>
      <c r="AC193" s="241"/>
      <c r="AE193" s="531">
        <f t="shared" si="43"/>
        <v>0</v>
      </c>
      <c r="AG193" t="s">
        <v>709</v>
      </c>
      <c r="AH193" t="s">
        <v>2000</v>
      </c>
      <c r="AI193" s="199">
        <v>21014.99</v>
      </c>
      <c r="AJ193" s="199">
        <v>1180.3900000000001</v>
      </c>
      <c r="AK193" s="199">
        <v>346.54</v>
      </c>
      <c r="AL193" s="199">
        <v>0</v>
      </c>
      <c r="AM193" s="199">
        <v>2416.75</v>
      </c>
      <c r="AN193" s="199">
        <v>518.25</v>
      </c>
      <c r="AO193" s="199">
        <v>0</v>
      </c>
      <c r="AP193" s="199">
        <v>0</v>
      </c>
      <c r="AQ193" s="199">
        <v>61.88</v>
      </c>
      <c r="AR193" s="199">
        <v>850.87</v>
      </c>
      <c r="AS193" s="199">
        <v>26389.670000000002</v>
      </c>
      <c r="AT193"/>
      <c r="AU193"/>
      <c r="AV193" t="str">
        <f t="shared" si="44"/>
        <v>38324</v>
      </c>
      <c r="AW193" s="241">
        <f t="shared" si="45"/>
        <v>26389.670000000002</v>
      </c>
      <c r="AY193" s="167">
        <f t="shared" si="48"/>
        <v>0</v>
      </c>
      <c r="BA193" s="197">
        <v>186</v>
      </c>
      <c r="BB193" s="73" t="s">
        <v>709</v>
      </c>
      <c r="BC193" s="73" t="s">
        <v>1368</v>
      </c>
      <c r="BD193" s="56">
        <v>23864.690000000002</v>
      </c>
    </row>
    <row r="194" spans="1:56">
      <c r="A194" s="197">
        <v>187</v>
      </c>
      <c r="B194" s="73" t="s">
        <v>320</v>
      </c>
      <c r="C194" s="73" t="s">
        <v>1369</v>
      </c>
      <c r="D194" s="168">
        <v>0</v>
      </c>
      <c r="E194" s="170">
        <v>22326.97</v>
      </c>
      <c r="F194" s="171">
        <f t="shared" si="59"/>
        <v>22326.97</v>
      </c>
      <c r="G194" s="182">
        <v>31376.75</v>
      </c>
      <c r="H194" s="179">
        <v>0</v>
      </c>
      <c r="I194" s="170">
        <v>34755.409999999996</v>
      </c>
      <c r="J194" s="171">
        <f t="shared" si="60"/>
        <v>34755.409999999996</v>
      </c>
      <c r="K194" s="205">
        <v>26776.199999999997</v>
      </c>
      <c r="L194" s="171">
        <v>7979.2099999999991</v>
      </c>
      <c r="M194" s="199">
        <v>36881.83</v>
      </c>
      <c r="N194" s="171">
        <f t="shared" si="55"/>
        <v>44861.04</v>
      </c>
      <c r="O194" s="205">
        <v>34967.18</v>
      </c>
      <c r="P194" s="241">
        <v>9893.86</v>
      </c>
      <c r="Q194" s="199">
        <v>41202.979999999996</v>
      </c>
      <c r="R194" s="171">
        <f t="shared" si="56"/>
        <v>51096.84</v>
      </c>
      <c r="S194" s="205">
        <v>36413.640000000007</v>
      </c>
      <c r="T194" s="241">
        <v>14683.19999999999</v>
      </c>
      <c r="U194" s="241">
        <v>39927.870000000003</v>
      </c>
      <c r="V194" s="171">
        <f t="shared" si="57"/>
        <v>54611.069999999992</v>
      </c>
      <c r="W194" s="56">
        <v>37059.529999999992</v>
      </c>
      <c r="X194" s="658">
        <f t="shared" si="46"/>
        <v>17551.54</v>
      </c>
      <c r="Y194" s="659">
        <v>44052.509999999995</v>
      </c>
      <c r="Z194" s="171">
        <f t="shared" si="58"/>
        <v>61604.049999999996</v>
      </c>
      <c r="AA194" s="56"/>
      <c r="AB194" s="241">
        <f t="shared" si="47"/>
        <v>61604.049999999996</v>
      </c>
      <c r="AC194" s="241"/>
      <c r="AE194" s="531">
        <f t="shared" si="43"/>
        <v>0</v>
      </c>
      <c r="AG194" t="s">
        <v>320</v>
      </c>
      <c r="AH194" t="s">
        <v>1799</v>
      </c>
      <c r="AI194" s="199">
        <v>30397.05</v>
      </c>
      <c r="AJ194" s="199">
        <v>1464.33</v>
      </c>
      <c r="AK194" s="199">
        <v>119.47</v>
      </c>
      <c r="AL194" s="199">
        <v>0</v>
      </c>
      <c r="AM194" s="199">
        <v>6171.45</v>
      </c>
      <c r="AN194" s="199">
        <v>2351.1999999999998</v>
      </c>
      <c r="AO194" s="199">
        <v>1347.92</v>
      </c>
      <c r="AP194" s="199">
        <v>0</v>
      </c>
      <c r="AQ194" s="199">
        <v>0</v>
      </c>
      <c r="AR194" s="199">
        <v>2201.09</v>
      </c>
      <c r="AS194" s="199">
        <v>44052.509999999995</v>
      </c>
      <c r="AT194"/>
      <c r="AU194"/>
      <c r="AV194" t="str">
        <f t="shared" si="44"/>
        <v>14400</v>
      </c>
      <c r="AW194" s="241">
        <f t="shared" si="45"/>
        <v>44052.509999999995</v>
      </c>
      <c r="AY194" s="167">
        <f t="shared" si="48"/>
        <v>0</v>
      </c>
      <c r="BA194" s="197">
        <v>187</v>
      </c>
      <c r="BB194" s="73" t="s">
        <v>320</v>
      </c>
      <c r="BC194" s="73" t="s">
        <v>1369</v>
      </c>
      <c r="BD194" s="56">
        <v>37059.529999999992</v>
      </c>
    </row>
    <row r="195" spans="1:56">
      <c r="A195" s="197">
        <v>188</v>
      </c>
      <c r="B195" s="73" t="s">
        <v>488</v>
      </c>
      <c r="C195" s="73" t="s">
        <v>1370</v>
      </c>
      <c r="D195" s="168">
        <v>5202.3099999999977</v>
      </c>
      <c r="E195" s="170">
        <v>56376.03</v>
      </c>
      <c r="F195" s="171">
        <f t="shared" si="59"/>
        <v>61578.34</v>
      </c>
      <c r="G195" s="182">
        <v>67599.960000000006</v>
      </c>
      <c r="H195" s="179">
        <v>0</v>
      </c>
      <c r="I195" s="170">
        <v>83015.09</v>
      </c>
      <c r="J195" s="171">
        <f t="shared" si="60"/>
        <v>83015.09</v>
      </c>
      <c r="K195" s="205">
        <v>37657.599999999999</v>
      </c>
      <c r="L195" s="171">
        <v>45357.49</v>
      </c>
      <c r="M195" s="199">
        <v>80880.72</v>
      </c>
      <c r="N195" s="171">
        <f t="shared" si="55"/>
        <v>126238.20999999999</v>
      </c>
      <c r="O195" s="205">
        <v>107008.72</v>
      </c>
      <c r="P195" s="241">
        <v>19229.489999999991</v>
      </c>
      <c r="Q195" s="199">
        <v>91625.420000000013</v>
      </c>
      <c r="R195" s="171">
        <f t="shared" si="56"/>
        <v>110854.91</v>
      </c>
      <c r="S195" s="205">
        <v>98779.23000000001</v>
      </c>
      <c r="T195" s="241">
        <v>12075.679999999993</v>
      </c>
      <c r="U195" s="241">
        <v>87518.69</v>
      </c>
      <c r="V195" s="171">
        <f t="shared" si="57"/>
        <v>99594.37</v>
      </c>
      <c r="W195" s="56">
        <v>87383.07</v>
      </c>
      <c r="X195" s="658">
        <f t="shared" si="46"/>
        <v>12211.299999999988</v>
      </c>
      <c r="Y195" s="659">
        <v>90682.59</v>
      </c>
      <c r="Z195" s="171">
        <f t="shared" si="58"/>
        <v>102893.88999999998</v>
      </c>
      <c r="AA195" s="56"/>
      <c r="AB195" s="241">
        <f t="shared" si="47"/>
        <v>102893.88999999998</v>
      </c>
      <c r="AC195" s="241"/>
      <c r="AE195" s="531">
        <f t="shared" si="43"/>
        <v>0</v>
      </c>
      <c r="AG195" t="s">
        <v>488</v>
      </c>
      <c r="AH195" t="s">
        <v>1885</v>
      </c>
      <c r="AI195" s="199">
        <v>66896.479999999996</v>
      </c>
      <c r="AJ195" s="199">
        <v>9009.6</v>
      </c>
      <c r="AK195" s="199">
        <v>0</v>
      </c>
      <c r="AL195" s="199">
        <v>0</v>
      </c>
      <c r="AM195" s="199">
        <v>0</v>
      </c>
      <c r="AN195" s="199">
        <v>6531.26</v>
      </c>
      <c r="AO195" s="199">
        <v>4458.8500000000004</v>
      </c>
      <c r="AP195" s="199">
        <v>1439.81</v>
      </c>
      <c r="AQ195" s="199">
        <v>405.9</v>
      </c>
      <c r="AR195" s="199">
        <v>1940.69</v>
      </c>
      <c r="AS195" s="199">
        <v>90682.59</v>
      </c>
      <c r="AT195"/>
      <c r="AU195"/>
      <c r="AV195" t="str">
        <f t="shared" si="44"/>
        <v>25101</v>
      </c>
      <c r="AW195" s="241">
        <f t="shared" si="45"/>
        <v>90682.59</v>
      </c>
      <c r="AY195" s="167">
        <f t="shared" si="48"/>
        <v>0</v>
      </c>
      <c r="BA195" s="197">
        <v>188</v>
      </c>
      <c r="BB195" s="73" t="s">
        <v>488</v>
      </c>
      <c r="BC195" s="73" t="s">
        <v>1370</v>
      </c>
      <c r="BD195" s="56">
        <v>87383.07</v>
      </c>
    </row>
    <row r="196" spans="1:56">
      <c r="A196" s="197">
        <v>189</v>
      </c>
      <c r="B196" s="73" t="s">
        <v>318</v>
      </c>
      <c r="C196" s="73" t="s">
        <v>1371</v>
      </c>
      <c r="D196" s="168">
        <v>0</v>
      </c>
      <c r="E196" s="170">
        <v>44235.790000000008</v>
      </c>
      <c r="F196" s="171">
        <f t="shared" si="59"/>
        <v>44235.790000000008</v>
      </c>
      <c r="G196" s="182">
        <v>43581.75</v>
      </c>
      <c r="H196" s="179">
        <v>654.04000000000815</v>
      </c>
      <c r="I196" s="170">
        <v>63240.97</v>
      </c>
      <c r="J196" s="171">
        <f t="shared" si="60"/>
        <v>63895.010000000009</v>
      </c>
      <c r="K196" s="205">
        <v>24032.839999999997</v>
      </c>
      <c r="L196" s="171">
        <v>39862.170000000013</v>
      </c>
      <c r="M196" s="199">
        <v>58845.07</v>
      </c>
      <c r="N196" s="171">
        <f t="shared" si="55"/>
        <v>98707.24000000002</v>
      </c>
      <c r="O196" s="205">
        <v>51916.229999999996</v>
      </c>
      <c r="P196" s="241">
        <v>46791.010000000024</v>
      </c>
      <c r="Q196" s="199">
        <v>59837.16</v>
      </c>
      <c r="R196" s="171">
        <f t="shared" si="56"/>
        <v>106628.17000000003</v>
      </c>
      <c r="S196" s="205">
        <v>63719.21</v>
      </c>
      <c r="T196" s="241">
        <v>42908.960000000028</v>
      </c>
      <c r="U196" s="241">
        <v>65415.839999999997</v>
      </c>
      <c r="V196" s="171">
        <f t="shared" si="57"/>
        <v>108324.80000000002</v>
      </c>
      <c r="W196" s="56">
        <v>54473.660000000011</v>
      </c>
      <c r="X196" s="658">
        <f t="shared" si="46"/>
        <v>53851.140000000007</v>
      </c>
      <c r="Y196" s="659">
        <v>67210.429999999993</v>
      </c>
      <c r="Z196" s="171">
        <f t="shared" si="58"/>
        <v>121061.57</v>
      </c>
      <c r="AA196" s="56"/>
      <c r="AB196" s="241">
        <f t="shared" si="47"/>
        <v>121061.57</v>
      </c>
      <c r="AC196" s="241"/>
      <c r="AE196" s="531">
        <f t="shared" si="43"/>
        <v>0</v>
      </c>
      <c r="AG196" t="s">
        <v>318</v>
      </c>
      <c r="AH196" t="s">
        <v>1798</v>
      </c>
      <c r="AI196" s="199">
        <v>49157.59</v>
      </c>
      <c r="AJ196" s="199">
        <v>2680.52</v>
      </c>
      <c r="AK196" s="199">
        <v>912.91</v>
      </c>
      <c r="AL196" s="199">
        <v>0</v>
      </c>
      <c r="AM196" s="199">
        <v>5962.95</v>
      </c>
      <c r="AN196" s="199">
        <v>4045.28</v>
      </c>
      <c r="AO196" s="199">
        <v>2625.37</v>
      </c>
      <c r="AP196" s="199">
        <v>1825.81</v>
      </c>
      <c r="AQ196" s="199">
        <v>0</v>
      </c>
      <c r="AR196" s="199">
        <v>0</v>
      </c>
      <c r="AS196" s="199">
        <v>67210.429999999993</v>
      </c>
      <c r="AT196"/>
      <c r="AU196"/>
      <c r="AV196" t="str">
        <f t="shared" si="44"/>
        <v>14172</v>
      </c>
      <c r="AW196" s="241">
        <f t="shared" si="45"/>
        <v>67210.429999999993</v>
      </c>
      <c r="AY196" s="167">
        <f t="shared" si="48"/>
        <v>0</v>
      </c>
      <c r="BA196" s="197">
        <v>189</v>
      </c>
      <c r="BB196" s="73" t="s">
        <v>318</v>
      </c>
      <c r="BC196" s="73" t="s">
        <v>1371</v>
      </c>
      <c r="BD196" s="56">
        <v>54473.660000000011</v>
      </c>
    </row>
    <row r="197" spans="1:56">
      <c r="A197" s="197">
        <v>190</v>
      </c>
      <c r="B197" s="73" t="s">
        <v>450</v>
      </c>
      <c r="C197" s="73" t="s">
        <v>1372</v>
      </c>
      <c r="D197" s="168">
        <v>1688.840000000002</v>
      </c>
      <c r="E197" s="170">
        <v>21149.14</v>
      </c>
      <c r="F197" s="171">
        <f t="shared" si="59"/>
        <v>22837.980000000003</v>
      </c>
      <c r="G197" s="182">
        <v>18295.09</v>
      </c>
      <c r="H197" s="179">
        <v>4542.8900000000031</v>
      </c>
      <c r="I197" s="170">
        <v>29309.31</v>
      </c>
      <c r="J197" s="171">
        <f t="shared" si="60"/>
        <v>33852.200000000004</v>
      </c>
      <c r="K197" s="205">
        <v>32697.609999999997</v>
      </c>
      <c r="L197" s="171">
        <v>1154.5900000000074</v>
      </c>
      <c r="M197" s="199">
        <v>30066.55</v>
      </c>
      <c r="N197" s="171">
        <f t="shared" si="55"/>
        <v>31221.140000000007</v>
      </c>
      <c r="O197" s="205">
        <v>33252.92</v>
      </c>
      <c r="P197" s="241">
        <v>0</v>
      </c>
      <c r="Q197" s="199">
        <v>31740.54</v>
      </c>
      <c r="R197" s="171">
        <f t="shared" si="56"/>
        <v>31740.54</v>
      </c>
      <c r="S197" s="205">
        <v>31741</v>
      </c>
      <c r="T197" s="241">
        <v>0</v>
      </c>
      <c r="U197" s="241">
        <v>31904.159999999996</v>
      </c>
      <c r="V197" s="171">
        <f t="shared" si="57"/>
        <v>31904.159999999996</v>
      </c>
      <c r="W197" s="56">
        <v>31904.16</v>
      </c>
      <c r="X197" s="658">
        <f t="shared" si="46"/>
        <v>0</v>
      </c>
      <c r="Y197" s="659">
        <v>35026.479999999996</v>
      </c>
      <c r="Z197" s="171">
        <f t="shared" si="58"/>
        <v>35026.479999999996</v>
      </c>
      <c r="AA197" s="56"/>
      <c r="AB197" s="241">
        <f t="shared" si="47"/>
        <v>35026.479999999996</v>
      </c>
      <c r="AC197" s="241"/>
      <c r="AE197" s="531">
        <f t="shared" si="43"/>
        <v>0</v>
      </c>
      <c r="AG197" t="s">
        <v>450</v>
      </c>
      <c r="AH197" t="s">
        <v>1867</v>
      </c>
      <c r="AI197" s="199">
        <v>26980.51</v>
      </c>
      <c r="AJ197" s="199">
        <v>1035.44</v>
      </c>
      <c r="AK197" s="199">
        <v>81.25</v>
      </c>
      <c r="AL197" s="199">
        <v>0</v>
      </c>
      <c r="AM197" s="199">
        <v>3521.87</v>
      </c>
      <c r="AN197" s="199">
        <v>1169.26</v>
      </c>
      <c r="AO197" s="199">
        <v>990.84</v>
      </c>
      <c r="AP197" s="199">
        <v>0</v>
      </c>
      <c r="AQ197" s="199">
        <v>93.98</v>
      </c>
      <c r="AR197" s="199">
        <v>1153.33</v>
      </c>
      <c r="AS197" s="199">
        <v>35026.479999999996</v>
      </c>
      <c r="AT197"/>
      <c r="AU197"/>
      <c r="AV197" t="str">
        <f t="shared" si="44"/>
        <v>22105</v>
      </c>
      <c r="AW197" s="241">
        <f t="shared" si="45"/>
        <v>35026.479999999996</v>
      </c>
      <c r="AY197" s="167">
        <f t="shared" si="48"/>
        <v>0</v>
      </c>
      <c r="BA197" s="197">
        <v>190</v>
      </c>
      <c r="BB197" s="73" t="s">
        <v>450</v>
      </c>
      <c r="BC197" s="73" t="s">
        <v>1372</v>
      </c>
      <c r="BD197" s="56">
        <v>31904.16</v>
      </c>
    </row>
    <row r="198" spans="1:56">
      <c r="A198" s="197">
        <v>191</v>
      </c>
      <c r="B198" s="73" t="s">
        <v>476</v>
      </c>
      <c r="C198" s="73" t="s">
        <v>1373</v>
      </c>
      <c r="D198" s="168">
        <v>11855.219999999998</v>
      </c>
      <c r="E198" s="170">
        <v>69273.279999999999</v>
      </c>
      <c r="F198" s="171">
        <f t="shared" si="59"/>
        <v>81128.5</v>
      </c>
      <c r="G198" s="182">
        <v>58897.18</v>
      </c>
      <c r="H198" s="179">
        <v>22231.32</v>
      </c>
      <c r="I198" s="170">
        <v>95192.47</v>
      </c>
      <c r="J198" s="171">
        <f t="shared" si="60"/>
        <v>117423.79000000001</v>
      </c>
      <c r="K198" s="205">
        <v>88410.540000000023</v>
      </c>
      <c r="L198" s="171">
        <v>29013.249999999985</v>
      </c>
      <c r="M198" s="199">
        <v>97380.81</v>
      </c>
      <c r="N198" s="171">
        <f t="shared" si="55"/>
        <v>126394.05999999998</v>
      </c>
      <c r="O198" s="205">
        <v>91819.010000000009</v>
      </c>
      <c r="P198" s="241">
        <v>34575.049999999974</v>
      </c>
      <c r="Q198" s="199">
        <v>108630.98999999999</v>
      </c>
      <c r="R198" s="171">
        <f t="shared" si="56"/>
        <v>143206.03999999998</v>
      </c>
      <c r="S198" s="205">
        <v>149243.99</v>
      </c>
      <c r="T198" s="241">
        <v>0</v>
      </c>
      <c r="U198" s="241">
        <v>110628.03999999998</v>
      </c>
      <c r="V198" s="171">
        <f t="shared" si="57"/>
        <v>110628.03999999998</v>
      </c>
      <c r="W198" s="56">
        <v>89140.840000000011</v>
      </c>
      <c r="X198" s="658">
        <f t="shared" si="46"/>
        <v>21487.199999999968</v>
      </c>
      <c r="Y198" s="659">
        <v>115048.37</v>
      </c>
      <c r="Z198" s="171">
        <f t="shared" si="58"/>
        <v>136535.56999999995</v>
      </c>
      <c r="AA198" s="56"/>
      <c r="AB198" s="241">
        <f t="shared" si="47"/>
        <v>136535.56999999995</v>
      </c>
      <c r="AC198" s="241"/>
      <c r="AE198" s="531">
        <f t="shared" si="43"/>
        <v>0</v>
      </c>
      <c r="AG198" t="s">
        <v>476</v>
      </c>
      <c r="AH198" t="s">
        <v>1879</v>
      </c>
      <c r="AI198" s="199">
        <v>74165.119999999995</v>
      </c>
      <c r="AJ198" s="199">
        <v>6921.46</v>
      </c>
      <c r="AK198" s="199">
        <v>1751.25</v>
      </c>
      <c r="AL198" s="199">
        <v>0</v>
      </c>
      <c r="AM198" s="199">
        <v>16060.98</v>
      </c>
      <c r="AN198" s="199">
        <v>6864.22</v>
      </c>
      <c r="AO198" s="199">
        <v>4781.8999999999996</v>
      </c>
      <c r="AP198" s="199">
        <v>2213.8200000000002</v>
      </c>
      <c r="AQ198" s="199">
        <v>468.76</v>
      </c>
      <c r="AR198" s="199">
        <v>1820.86</v>
      </c>
      <c r="AS198" s="199">
        <v>115048.37</v>
      </c>
      <c r="AT198"/>
      <c r="AU198"/>
      <c r="AV198" t="str">
        <f t="shared" si="44"/>
        <v>24105</v>
      </c>
      <c r="AW198" s="241">
        <f t="shared" si="45"/>
        <v>115048.37</v>
      </c>
      <c r="AY198" s="167">
        <f t="shared" si="48"/>
        <v>0</v>
      </c>
      <c r="BA198" s="197">
        <v>191</v>
      </c>
      <c r="BB198" s="73" t="s">
        <v>476</v>
      </c>
      <c r="BC198" s="73" t="s">
        <v>1373</v>
      </c>
      <c r="BD198" s="56">
        <v>89140.840000000011</v>
      </c>
    </row>
    <row r="199" spans="1:56">
      <c r="A199" s="197">
        <v>192</v>
      </c>
      <c r="B199" s="73" t="s">
        <v>646</v>
      </c>
      <c r="C199" s="73" t="s">
        <v>1374</v>
      </c>
      <c r="D199" s="168">
        <v>0</v>
      </c>
      <c r="E199" s="170">
        <v>596729.18000000005</v>
      </c>
      <c r="F199" s="171">
        <f t="shared" si="59"/>
        <v>596729.18000000005</v>
      </c>
      <c r="G199" s="182">
        <v>615969.51</v>
      </c>
      <c r="H199" s="179">
        <v>0</v>
      </c>
      <c r="I199" s="170">
        <v>835054.05999999994</v>
      </c>
      <c r="J199" s="171">
        <f t="shared" si="60"/>
        <v>835054.05999999994</v>
      </c>
      <c r="K199" s="205">
        <v>777662.35000000009</v>
      </c>
      <c r="L199" s="171">
        <v>57391.709999999846</v>
      </c>
      <c r="M199" s="199">
        <v>818725.57000000007</v>
      </c>
      <c r="N199" s="171">
        <f t="shared" si="55"/>
        <v>876117.27999999991</v>
      </c>
      <c r="O199" s="205">
        <v>909752.40000000014</v>
      </c>
      <c r="P199" s="241">
        <v>0</v>
      </c>
      <c r="Q199" s="199">
        <v>900402.75</v>
      </c>
      <c r="R199" s="171">
        <f t="shared" si="56"/>
        <v>900402.75</v>
      </c>
      <c r="S199" s="205">
        <v>985901.33000000007</v>
      </c>
      <c r="T199" s="241">
        <v>0</v>
      </c>
      <c r="U199" s="241">
        <v>925744.44</v>
      </c>
      <c r="V199" s="171">
        <f t="shared" si="57"/>
        <v>925744.44</v>
      </c>
      <c r="W199" s="56">
        <v>967937.90000000084</v>
      </c>
      <c r="X199" s="658">
        <f t="shared" si="46"/>
        <v>0</v>
      </c>
      <c r="Y199" s="659">
        <v>984741.94000000006</v>
      </c>
      <c r="Z199" s="171">
        <f t="shared" si="58"/>
        <v>984741.94000000006</v>
      </c>
      <c r="AA199" s="56"/>
      <c r="AB199" s="241">
        <f t="shared" si="47"/>
        <v>984741.94000000006</v>
      </c>
      <c r="AC199" s="241"/>
      <c r="AE199" s="531">
        <f t="shared" si="43"/>
        <v>0</v>
      </c>
      <c r="AG199" t="s">
        <v>646</v>
      </c>
      <c r="AH199" t="s">
        <v>1966</v>
      </c>
      <c r="AI199" s="199">
        <v>705079.06</v>
      </c>
      <c r="AJ199" s="199">
        <v>51319.839999999997</v>
      </c>
      <c r="AK199" s="199">
        <v>11964.96</v>
      </c>
      <c r="AL199" s="199">
        <v>0</v>
      </c>
      <c r="AM199" s="199">
        <v>164779.45000000001</v>
      </c>
      <c r="AN199" s="199">
        <v>29940.29</v>
      </c>
      <c r="AO199" s="199">
        <v>2853.05</v>
      </c>
      <c r="AP199" s="199">
        <v>10582.25</v>
      </c>
      <c r="AQ199" s="199">
        <v>4356.84</v>
      </c>
      <c r="AR199" s="199">
        <v>3866.2</v>
      </c>
      <c r="AS199" s="199">
        <v>984741.94000000006</v>
      </c>
      <c r="AT199"/>
      <c r="AU199"/>
      <c r="AV199" t="str">
        <f t="shared" si="44"/>
        <v>34111</v>
      </c>
      <c r="AW199" s="241">
        <f t="shared" si="45"/>
        <v>984741.94000000006</v>
      </c>
      <c r="AY199" s="167">
        <f t="shared" si="48"/>
        <v>0</v>
      </c>
      <c r="BA199" s="197">
        <v>192</v>
      </c>
      <c r="BB199" s="73" t="s">
        <v>646</v>
      </c>
      <c r="BC199" s="73" t="s">
        <v>1374</v>
      </c>
      <c r="BD199" s="56">
        <v>967937.90000000084</v>
      </c>
    </row>
    <row r="200" spans="1:56">
      <c r="A200" s="197">
        <v>193</v>
      </c>
      <c r="B200" s="73" t="s">
        <v>474</v>
      </c>
      <c r="C200" s="73" t="s">
        <v>1375</v>
      </c>
      <c r="D200" s="168">
        <v>31779.590000000004</v>
      </c>
      <c r="E200" s="170">
        <v>147326.41</v>
      </c>
      <c r="F200" s="171">
        <f t="shared" si="59"/>
        <v>179106</v>
      </c>
      <c r="G200" s="182">
        <v>141958.60999999999</v>
      </c>
      <c r="H200" s="179">
        <v>37147.390000000014</v>
      </c>
      <c r="I200" s="170">
        <v>243196.44</v>
      </c>
      <c r="J200" s="171">
        <f t="shared" si="60"/>
        <v>280343.83</v>
      </c>
      <c r="K200" s="205">
        <v>110819.82</v>
      </c>
      <c r="L200" s="171">
        <v>169524.01</v>
      </c>
      <c r="M200" s="199">
        <v>237573.68</v>
      </c>
      <c r="N200" s="171">
        <f t="shared" si="55"/>
        <v>407097.69</v>
      </c>
      <c r="O200" s="205">
        <v>488435.66</v>
      </c>
      <c r="P200" s="241">
        <v>0</v>
      </c>
      <c r="Q200" s="199">
        <v>262723.32999999996</v>
      </c>
      <c r="R200" s="171">
        <f t="shared" si="56"/>
        <v>262723.32999999996</v>
      </c>
      <c r="S200" s="205">
        <v>555453.1</v>
      </c>
      <c r="T200" s="241">
        <v>0</v>
      </c>
      <c r="U200" s="241">
        <v>254717.37</v>
      </c>
      <c r="V200" s="171">
        <f t="shared" si="57"/>
        <v>254717.37</v>
      </c>
      <c r="W200" s="56">
        <v>519146.09999999992</v>
      </c>
      <c r="X200" s="658">
        <f t="shared" si="46"/>
        <v>0</v>
      </c>
      <c r="Y200" s="659">
        <v>278382.30000000005</v>
      </c>
      <c r="Z200" s="171">
        <f t="shared" si="58"/>
        <v>278382.30000000005</v>
      </c>
      <c r="AA200" s="56"/>
      <c r="AB200" s="241">
        <f t="shared" si="47"/>
        <v>278382.30000000005</v>
      </c>
      <c r="AC200" s="241"/>
      <c r="AE200" s="531">
        <f t="shared" ref="AE200:AE263" si="61">+AG200-B200</f>
        <v>0</v>
      </c>
      <c r="AG200" t="s">
        <v>474</v>
      </c>
      <c r="AH200" t="s">
        <v>1878</v>
      </c>
      <c r="AI200" s="199">
        <v>106928.07</v>
      </c>
      <c r="AJ200" s="199">
        <v>10674.58</v>
      </c>
      <c r="AK200" s="199">
        <v>2942.44</v>
      </c>
      <c r="AL200" s="199">
        <v>0</v>
      </c>
      <c r="AM200" s="199">
        <v>87426.97</v>
      </c>
      <c r="AN200" s="199">
        <v>32997.910000000003</v>
      </c>
      <c r="AO200" s="199">
        <v>26166.43</v>
      </c>
      <c r="AP200" s="199">
        <v>8611.34</v>
      </c>
      <c r="AQ200" s="199">
        <v>2634.56</v>
      </c>
      <c r="AR200" s="199">
        <v>0</v>
      </c>
      <c r="AS200" s="199">
        <v>278382.30000000005</v>
      </c>
      <c r="AT200"/>
      <c r="AU200"/>
      <c r="AV200" t="str">
        <f t="shared" ref="AV200:AV263" si="62">TEXT(AG200, "00000")</f>
        <v>24019</v>
      </c>
      <c r="AW200" s="241">
        <f t="shared" ref="AW200:AW263" si="63">AS200</f>
        <v>278382.30000000005</v>
      </c>
      <c r="AY200" s="167">
        <f t="shared" si="48"/>
        <v>0</v>
      </c>
      <c r="BA200" s="197">
        <v>193</v>
      </c>
      <c r="BB200" s="73" t="s">
        <v>474</v>
      </c>
      <c r="BC200" s="73" t="s">
        <v>1375</v>
      </c>
      <c r="BD200" s="56">
        <v>519146.09999999992</v>
      </c>
    </row>
    <row r="201" spans="1:56">
      <c r="A201" s="197">
        <v>194</v>
      </c>
      <c r="B201" s="73" t="s">
        <v>432</v>
      </c>
      <c r="C201" s="73" t="s">
        <v>1376</v>
      </c>
      <c r="D201" s="168">
        <v>296.85000000000218</v>
      </c>
      <c r="E201" s="170">
        <v>53398.579999999994</v>
      </c>
      <c r="F201" s="171">
        <f t="shared" si="59"/>
        <v>53695.429999999993</v>
      </c>
      <c r="G201" s="182">
        <v>40232.959999999999</v>
      </c>
      <c r="H201" s="179">
        <v>13462.469999999994</v>
      </c>
      <c r="I201" s="170">
        <v>77796.63</v>
      </c>
      <c r="J201" s="171">
        <f t="shared" si="60"/>
        <v>91259.1</v>
      </c>
      <c r="K201" s="205">
        <v>86411.42</v>
      </c>
      <c r="L201" s="171">
        <v>4847.6800000000076</v>
      </c>
      <c r="M201" s="199">
        <v>74077.399999999994</v>
      </c>
      <c r="N201" s="171">
        <f t="shared" si="55"/>
        <v>78925.08</v>
      </c>
      <c r="O201" s="205">
        <v>85955.72</v>
      </c>
      <c r="P201" s="241">
        <v>0</v>
      </c>
      <c r="Q201" s="199">
        <v>87047.62</v>
      </c>
      <c r="R201" s="171">
        <f t="shared" si="56"/>
        <v>87047.62</v>
      </c>
      <c r="S201" s="205">
        <v>98889.260000000009</v>
      </c>
      <c r="T201" s="241">
        <v>0</v>
      </c>
      <c r="U201" s="241">
        <v>90708.74</v>
      </c>
      <c r="V201" s="171">
        <f t="shared" si="57"/>
        <v>90708.74</v>
      </c>
      <c r="W201" s="56">
        <v>101920.97</v>
      </c>
      <c r="X201" s="658">
        <f t="shared" ref="X201:X264" si="64">IF(+V201-W201&lt;0,0,(+V201-W201))</f>
        <v>0</v>
      </c>
      <c r="Y201" s="659">
        <v>97355.700000000012</v>
      </c>
      <c r="Z201" s="171">
        <f t="shared" si="58"/>
        <v>97355.700000000012</v>
      </c>
      <c r="AA201" s="56"/>
      <c r="AB201" s="241">
        <f t="shared" ref="AB201:AB264" si="65">IF(+Z201-AA201&lt;0,0,(+Z201-AA201))</f>
        <v>97355.700000000012</v>
      </c>
      <c r="AC201" s="241"/>
      <c r="AE201" s="531">
        <f t="shared" si="61"/>
        <v>0</v>
      </c>
      <c r="AG201" t="s">
        <v>432</v>
      </c>
      <c r="AH201" t="s">
        <v>1858</v>
      </c>
      <c r="AI201" s="199">
        <v>62331.95</v>
      </c>
      <c r="AJ201" s="199">
        <v>7776.55</v>
      </c>
      <c r="AK201" s="199">
        <v>1424.5</v>
      </c>
      <c r="AL201" s="199">
        <v>0</v>
      </c>
      <c r="AM201" s="199">
        <v>14301.07</v>
      </c>
      <c r="AN201" s="199">
        <v>4665.63</v>
      </c>
      <c r="AO201" s="199">
        <v>3810.93</v>
      </c>
      <c r="AP201" s="199">
        <v>706.13</v>
      </c>
      <c r="AQ201" s="199">
        <v>376.81</v>
      </c>
      <c r="AR201" s="199">
        <v>1962.13</v>
      </c>
      <c r="AS201" s="199">
        <v>97355.700000000012</v>
      </c>
      <c r="AT201"/>
      <c r="AU201"/>
      <c r="AV201" t="str">
        <f t="shared" si="62"/>
        <v>21300</v>
      </c>
      <c r="AW201" s="241">
        <f t="shared" si="63"/>
        <v>97355.700000000012</v>
      </c>
      <c r="AY201" s="167">
        <f t="shared" ref="AY201:AY264" si="66">+BB201-B201</f>
        <v>0</v>
      </c>
      <c r="BA201" s="197">
        <v>194</v>
      </c>
      <c r="BB201" s="73" t="s">
        <v>432</v>
      </c>
      <c r="BC201" s="73" t="s">
        <v>1376</v>
      </c>
      <c r="BD201" s="56">
        <v>101920.97</v>
      </c>
    </row>
    <row r="202" spans="1:56">
      <c r="A202" s="197">
        <v>195</v>
      </c>
      <c r="B202" s="173" t="s">
        <v>618</v>
      </c>
      <c r="C202" s="73" t="s">
        <v>1377</v>
      </c>
      <c r="D202" s="168">
        <v>0</v>
      </c>
      <c r="E202" s="170">
        <v>3933.9300000000003</v>
      </c>
      <c r="F202" s="171">
        <f t="shared" si="59"/>
        <v>3933.9300000000003</v>
      </c>
      <c r="G202" s="182">
        <v>6142.12</v>
      </c>
      <c r="H202" s="179">
        <v>0</v>
      </c>
      <c r="I202" s="170">
        <v>6054.5700000000006</v>
      </c>
      <c r="J202" s="171">
        <f t="shared" si="60"/>
        <v>6054.5700000000006</v>
      </c>
      <c r="K202" s="205"/>
      <c r="L202" s="171">
        <v>6054.5700000000006</v>
      </c>
      <c r="M202" s="199">
        <v>6188.5</v>
      </c>
      <c r="N202" s="171">
        <f t="shared" si="55"/>
        <v>12243.07</v>
      </c>
      <c r="O202" s="205">
        <v>1091.5</v>
      </c>
      <c r="P202" s="241">
        <v>11151.57</v>
      </c>
      <c r="Q202" s="199">
        <v>6791.74</v>
      </c>
      <c r="R202" s="171">
        <f t="shared" si="56"/>
        <v>17943.309999999998</v>
      </c>
      <c r="S202" s="205">
        <v>2387.2800000000002</v>
      </c>
      <c r="T202" s="241">
        <v>15556.029999999997</v>
      </c>
      <c r="U202" s="241">
        <v>6622.48</v>
      </c>
      <c r="V202" s="171">
        <f t="shared" si="57"/>
        <v>22178.509999999995</v>
      </c>
      <c r="W202" s="56">
        <v>6800.2000000000016</v>
      </c>
      <c r="X202" s="658">
        <f t="shared" si="64"/>
        <v>15378.309999999994</v>
      </c>
      <c r="Y202" s="659">
        <v>6783</v>
      </c>
      <c r="Z202" s="171">
        <f t="shared" si="58"/>
        <v>22161.309999999994</v>
      </c>
      <c r="AA202" s="56"/>
      <c r="AB202" s="241">
        <f t="shared" si="65"/>
        <v>22161.309999999994</v>
      </c>
      <c r="AC202" s="241"/>
      <c r="AE202" s="531">
        <f t="shared" si="61"/>
        <v>0</v>
      </c>
      <c r="AG202" t="s">
        <v>618</v>
      </c>
      <c r="AH202" t="s">
        <v>1951</v>
      </c>
      <c r="AI202" s="199">
        <v>5693.11</v>
      </c>
      <c r="AJ202" s="199">
        <v>0</v>
      </c>
      <c r="AK202" s="199">
        <v>0</v>
      </c>
      <c r="AL202" s="199">
        <v>0</v>
      </c>
      <c r="AM202" s="199">
        <v>619.58000000000004</v>
      </c>
      <c r="AN202" s="199">
        <v>290.85000000000002</v>
      </c>
      <c r="AO202" s="199">
        <v>179.46</v>
      </c>
      <c r="AP202" s="199">
        <v>0</v>
      </c>
      <c r="AQ202" s="199">
        <v>0</v>
      </c>
      <c r="AR202" s="199">
        <v>0</v>
      </c>
      <c r="AS202" s="199">
        <v>6783</v>
      </c>
      <c r="AT202"/>
      <c r="AU202"/>
      <c r="AV202" t="str">
        <f t="shared" si="62"/>
        <v>33030</v>
      </c>
      <c r="AW202" s="241">
        <f t="shared" si="63"/>
        <v>6783</v>
      </c>
      <c r="AY202" s="167">
        <f t="shared" si="66"/>
        <v>0</v>
      </c>
      <c r="BA202" s="197">
        <v>195</v>
      </c>
      <c r="BB202" s="173" t="s">
        <v>618</v>
      </c>
      <c r="BC202" s="73" t="s">
        <v>1377</v>
      </c>
      <c r="BD202" s="56">
        <v>6800.2000000000016</v>
      </c>
    </row>
    <row r="203" spans="1:56">
      <c r="A203" s="197">
        <v>196</v>
      </c>
      <c r="B203" s="73" t="s">
        <v>537</v>
      </c>
      <c r="C203" s="73" t="s">
        <v>1378</v>
      </c>
      <c r="D203" s="168">
        <v>17786.32</v>
      </c>
      <c r="E203" s="170">
        <v>36205.879999999997</v>
      </c>
      <c r="F203" s="171">
        <f t="shared" si="59"/>
        <v>53992.2</v>
      </c>
      <c r="G203" s="182"/>
      <c r="H203" s="179">
        <v>53992.2</v>
      </c>
      <c r="I203" s="170">
        <v>79316.549999999988</v>
      </c>
      <c r="J203" s="171">
        <f t="shared" si="60"/>
        <v>133308.75</v>
      </c>
      <c r="K203" s="205"/>
      <c r="L203" s="171">
        <v>133308.75</v>
      </c>
      <c r="M203" s="199">
        <v>50647.380000000005</v>
      </c>
      <c r="N203" s="171">
        <f t="shared" si="55"/>
        <v>183956.13</v>
      </c>
      <c r="O203" s="205"/>
      <c r="P203" s="241">
        <v>183956.13</v>
      </c>
      <c r="Q203" s="199">
        <v>55337.67</v>
      </c>
      <c r="R203" s="171">
        <f t="shared" si="56"/>
        <v>239293.8</v>
      </c>
      <c r="S203" s="205">
        <v>74800.149999999994</v>
      </c>
      <c r="T203" s="241">
        <v>164493.65</v>
      </c>
      <c r="U203" s="241">
        <v>59256.82</v>
      </c>
      <c r="V203" s="171">
        <f t="shared" si="57"/>
        <v>223750.47</v>
      </c>
      <c r="W203" s="56">
        <v>93536.35</v>
      </c>
      <c r="X203" s="658">
        <f t="shared" si="64"/>
        <v>130214.12</v>
      </c>
      <c r="Y203" s="659">
        <v>64214.799999999996</v>
      </c>
      <c r="Z203" s="171">
        <f t="shared" si="58"/>
        <v>194428.91999999998</v>
      </c>
      <c r="AA203" s="56"/>
      <c r="AB203" s="241">
        <f t="shared" si="65"/>
        <v>194428.91999999998</v>
      </c>
      <c r="AC203" s="241"/>
      <c r="AE203" s="531">
        <f t="shared" si="61"/>
        <v>0</v>
      </c>
      <c r="AG203" t="s">
        <v>537</v>
      </c>
      <c r="AH203" t="s">
        <v>1910</v>
      </c>
      <c r="AI203" s="199">
        <v>45001.78</v>
      </c>
      <c r="AJ203" s="199">
        <v>1224.8900000000001</v>
      </c>
      <c r="AK203" s="199">
        <v>0</v>
      </c>
      <c r="AL203" s="199">
        <v>0</v>
      </c>
      <c r="AM203" s="199">
        <v>13851.99</v>
      </c>
      <c r="AN203" s="199">
        <v>2178.7199999999998</v>
      </c>
      <c r="AO203" s="199">
        <v>0</v>
      </c>
      <c r="AP203" s="199">
        <v>1573.14</v>
      </c>
      <c r="AQ203" s="199">
        <v>384.28</v>
      </c>
      <c r="AR203" s="199">
        <v>0</v>
      </c>
      <c r="AS203" s="199">
        <v>64214.799999999996</v>
      </c>
      <c r="AT203"/>
      <c r="AU203"/>
      <c r="AV203" t="str">
        <f t="shared" si="62"/>
        <v>28137</v>
      </c>
      <c r="AW203" s="241">
        <f t="shared" si="63"/>
        <v>64214.799999999996</v>
      </c>
      <c r="AY203" s="167">
        <f t="shared" si="66"/>
        <v>0</v>
      </c>
      <c r="BA203" s="197">
        <v>196</v>
      </c>
      <c r="BB203" s="73" t="s">
        <v>537</v>
      </c>
      <c r="BC203" s="73" t="s">
        <v>1378</v>
      </c>
      <c r="BD203" s="56">
        <v>93536.35</v>
      </c>
    </row>
    <row r="204" spans="1:56">
      <c r="A204" s="197">
        <v>197</v>
      </c>
      <c r="B204" s="73" t="s">
        <v>594</v>
      </c>
      <c r="C204" s="73" t="s">
        <v>1379</v>
      </c>
      <c r="D204" s="168">
        <v>2491.71</v>
      </c>
      <c r="E204" s="170">
        <v>5066.26</v>
      </c>
      <c r="F204" s="171">
        <f t="shared" si="59"/>
        <v>7557.97</v>
      </c>
      <c r="G204" s="182">
        <v>1462.5</v>
      </c>
      <c r="H204" s="179">
        <v>6095.47</v>
      </c>
      <c r="I204" s="170">
        <v>7867.56</v>
      </c>
      <c r="J204" s="171">
        <f t="shared" si="60"/>
        <v>13963.03</v>
      </c>
      <c r="K204" s="205">
        <v>1786.62</v>
      </c>
      <c r="L204" s="171">
        <v>12176.41</v>
      </c>
      <c r="M204" s="199">
        <v>6608.32</v>
      </c>
      <c r="N204" s="171">
        <f t="shared" si="55"/>
        <v>18784.73</v>
      </c>
      <c r="O204" s="205">
        <v>1172.97</v>
      </c>
      <c r="P204" s="241">
        <v>17611.759999999998</v>
      </c>
      <c r="Q204" s="199">
        <v>9056.869999999999</v>
      </c>
      <c r="R204" s="171">
        <f t="shared" si="56"/>
        <v>26668.629999999997</v>
      </c>
      <c r="S204" s="205">
        <v>712.5</v>
      </c>
      <c r="T204" s="241">
        <v>25956.129999999997</v>
      </c>
      <c r="U204" s="241">
        <v>9385.6299999999992</v>
      </c>
      <c r="V204" s="171">
        <f t="shared" si="57"/>
        <v>35341.759999999995</v>
      </c>
      <c r="W204" s="56">
        <v>5677.54</v>
      </c>
      <c r="X204" s="658">
        <f t="shared" si="64"/>
        <v>29664.219999999994</v>
      </c>
      <c r="Y204" s="659">
        <v>9986.4700000000012</v>
      </c>
      <c r="Z204" s="171">
        <f t="shared" si="58"/>
        <v>39650.689999999995</v>
      </c>
      <c r="AA204" s="56"/>
      <c r="AB204" s="241">
        <f t="shared" si="65"/>
        <v>39650.689999999995</v>
      </c>
      <c r="AC204" s="241"/>
      <c r="AE204" s="531">
        <f t="shared" si="61"/>
        <v>0</v>
      </c>
      <c r="AG204" t="s">
        <v>594</v>
      </c>
      <c r="AH204" t="s">
        <v>1938</v>
      </c>
      <c r="AI204" s="199">
        <v>9179.6200000000008</v>
      </c>
      <c r="AJ204" s="199">
        <v>0</v>
      </c>
      <c r="AK204" s="199">
        <v>0</v>
      </c>
      <c r="AL204" s="199">
        <v>0</v>
      </c>
      <c r="AM204" s="199">
        <v>777.74</v>
      </c>
      <c r="AN204" s="199">
        <v>29.11</v>
      </c>
      <c r="AO204" s="199">
        <v>0</v>
      </c>
      <c r="AP204" s="199">
        <v>0</v>
      </c>
      <c r="AQ204" s="199">
        <v>0</v>
      </c>
      <c r="AR204" s="199">
        <v>0</v>
      </c>
      <c r="AS204" s="199">
        <v>9986.4700000000012</v>
      </c>
      <c r="AT204"/>
      <c r="AU204"/>
      <c r="AV204" t="str">
        <f t="shared" si="62"/>
        <v>32123</v>
      </c>
      <c r="AW204" s="241">
        <f t="shared" si="63"/>
        <v>9986.4700000000012</v>
      </c>
      <c r="AY204" s="167">
        <f t="shared" si="66"/>
        <v>0</v>
      </c>
      <c r="BA204" s="197">
        <v>197</v>
      </c>
      <c r="BB204" s="73" t="s">
        <v>594</v>
      </c>
      <c r="BC204" s="73" t="s">
        <v>1379</v>
      </c>
      <c r="BD204" s="56">
        <v>5677.54</v>
      </c>
    </row>
    <row r="205" spans="1:56">
      <c r="A205" s="197">
        <v>198</v>
      </c>
      <c r="B205" s="73" t="s">
        <v>261</v>
      </c>
      <c r="C205" s="73" t="s">
        <v>1380</v>
      </c>
      <c r="D205" s="168">
        <v>0</v>
      </c>
      <c r="E205" s="170">
        <v>4206.04</v>
      </c>
      <c r="F205" s="171">
        <f t="shared" si="59"/>
        <v>4206.04</v>
      </c>
      <c r="G205" s="182">
        <v>4289.04</v>
      </c>
      <c r="H205" s="179">
        <v>0</v>
      </c>
      <c r="I205" s="170">
        <v>6209.04</v>
      </c>
      <c r="J205" s="171">
        <f t="shared" si="60"/>
        <v>6209.04</v>
      </c>
      <c r="K205" s="205">
        <v>17157.7</v>
      </c>
      <c r="L205" s="171">
        <v>0</v>
      </c>
      <c r="M205" s="199">
        <v>6131.15</v>
      </c>
      <c r="N205" s="171">
        <f t="shared" si="55"/>
        <v>6131.15</v>
      </c>
      <c r="O205" s="205">
        <v>6608.7800000000007</v>
      </c>
      <c r="P205" s="241">
        <v>0</v>
      </c>
      <c r="Q205" s="199">
        <v>6614.01</v>
      </c>
      <c r="R205" s="171">
        <f t="shared" si="56"/>
        <v>6614.01</v>
      </c>
      <c r="S205" s="205">
        <v>8846.94</v>
      </c>
      <c r="T205" s="241">
        <v>0</v>
      </c>
      <c r="U205" s="241">
        <v>6550.14</v>
      </c>
      <c r="V205" s="171">
        <f t="shared" si="57"/>
        <v>6550.14</v>
      </c>
      <c r="W205" s="56">
        <v>2129.8199999999997</v>
      </c>
      <c r="X205" s="658">
        <f t="shared" si="64"/>
        <v>4420.3200000000006</v>
      </c>
      <c r="Y205" s="659">
        <v>6831.3799999999992</v>
      </c>
      <c r="Z205" s="171">
        <f t="shared" si="58"/>
        <v>11251.7</v>
      </c>
      <c r="AA205" s="56"/>
      <c r="AB205" s="241">
        <f t="shared" si="65"/>
        <v>11251.7</v>
      </c>
      <c r="AC205" s="241"/>
      <c r="AE205" s="531">
        <f t="shared" si="61"/>
        <v>0</v>
      </c>
      <c r="AG205" t="s">
        <v>261</v>
      </c>
      <c r="AH205" t="s">
        <v>1769</v>
      </c>
      <c r="AI205" s="199">
        <v>5693.11</v>
      </c>
      <c r="AJ205" s="199">
        <v>0</v>
      </c>
      <c r="AK205" s="199">
        <v>0</v>
      </c>
      <c r="AL205" s="199">
        <v>0</v>
      </c>
      <c r="AM205" s="199">
        <v>722.12</v>
      </c>
      <c r="AN205" s="199">
        <v>242.88</v>
      </c>
      <c r="AO205" s="199">
        <v>154.69999999999999</v>
      </c>
      <c r="AP205" s="199">
        <v>0</v>
      </c>
      <c r="AQ205" s="199">
        <v>18.57</v>
      </c>
      <c r="AR205" s="199">
        <v>0</v>
      </c>
      <c r="AS205" s="199">
        <v>6831.3799999999992</v>
      </c>
      <c r="AT205"/>
      <c r="AU205"/>
      <c r="AV205" t="str">
        <f t="shared" si="62"/>
        <v>10065</v>
      </c>
      <c r="AW205" s="241">
        <f t="shared" si="63"/>
        <v>6831.3799999999992</v>
      </c>
      <c r="AY205" s="167">
        <f t="shared" si="66"/>
        <v>0</v>
      </c>
      <c r="BA205" s="197">
        <v>198</v>
      </c>
      <c r="BB205" s="73" t="s">
        <v>261</v>
      </c>
      <c r="BC205" s="73" t="s">
        <v>1380</v>
      </c>
      <c r="BD205" s="56">
        <v>2129.8199999999997</v>
      </c>
    </row>
    <row r="206" spans="1:56">
      <c r="A206" s="197">
        <v>199</v>
      </c>
      <c r="B206" s="73" t="s">
        <v>245</v>
      </c>
      <c r="C206" s="73" t="s">
        <v>1381</v>
      </c>
      <c r="D206" s="168">
        <v>286.73999999999978</v>
      </c>
      <c r="E206" s="170">
        <v>11843.77</v>
      </c>
      <c r="F206" s="171">
        <f t="shared" si="59"/>
        <v>12130.51</v>
      </c>
      <c r="G206" s="182">
        <v>10022.77</v>
      </c>
      <c r="H206" s="179">
        <v>2107.7399999999998</v>
      </c>
      <c r="I206" s="170">
        <v>16153.26</v>
      </c>
      <c r="J206" s="171">
        <f t="shared" si="60"/>
        <v>18261</v>
      </c>
      <c r="K206" s="205">
        <v>15288</v>
      </c>
      <c r="L206" s="171">
        <v>2973</v>
      </c>
      <c r="M206" s="199">
        <v>14833.08</v>
      </c>
      <c r="N206" s="171">
        <f t="shared" si="55"/>
        <v>17806.080000000002</v>
      </c>
      <c r="O206" s="205">
        <v>16975.13</v>
      </c>
      <c r="P206" s="241">
        <v>830.95000000000073</v>
      </c>
      <c r="Q206" s="199">
        <v>13969.149999999998</v>
      </c>
      <c r="R206" s="171">
        <f t="shared" si="56"/>
        <v>14800.099999999999</v>
      </c>
      <c r="S206" s="205">
        <v>15858.319999999998</v>
      </c>
      <c r="T206" s="241">
        <v>0</v>
      </c>
      <c r="U206" s="241">
        <v>13193.73</v>
      </c>
      <c r="V206" s="171">
        <f t="shared" si="57"/>
        <v>13193.73</v>
      </c>
      <c r="W206" s="56">
        <v>14014.560000000001</v>
      </c>
      <c r="X206" s="658">
        <f t="shared" si="64"/>
        <v>0</v>
      </c>
      <c r="Y206" s="659">
        <v>13934.079999999998</v>
      </c>
      <c r="Z206" s="171">
        <f t="shared" si="58"/>
        <v>13934.079999999998</v>
      </c>
      <c r="AA206" s="56"/>
      <c r="AB206" s="241">
        <f t="shared" si="65"/>
        <v>13934.079999999998</v>
      </c>
      <c r="AC206" s="241"/>
      <c r="AE206" s="531">
        <f t="shared" si="61"/>
        <v>0</v>
      </c>
      <c r="AG206" t="s">
        <v>245</v>
      </c>
      <c r="AH206" t="s">
        <v>1761</v>
      </c>
      <c r="AI206" s="199">
        <v>10870.64</v>
      </c>
      <c r="AJ206" s="199">
        <v>0</v>
      </c>
      <c r="AK206" s="199">
        <v>260.39</v>
      </c>
      <c r="AL206" s="199">
        <v>0</v>
      </c>
      <c r="AM206" s="199">
        <v>0</v>
      </c>
      <c r="AN206" s="199">
        <v>954.26</v>
      </c>
      <c r="AO206" s="199">
        <v>490.15</v>
      </c>
      <c r="AP206" s="199">
        <v>1311.15</v>
      </c>
      <c r="AQ206" s="199">
        <v>47.49</v>
      </c>
      <c r="AR206" s="199">
        <v>0</v>
      </c>
      <c r="AS206" s="199">
        <v>13934.079999999998</v>
      </c>
      <c r="AT206"/>
      <c r="AU206"/>
      <c r="AV206" t="str">
        <f t="shared" si="62"/>
        <v>09013</v>
      </c>
      <c r="AW206" s="241">
        <f t="shared" si="63"/>
        <v>13934.079999999998</v>
      </c>
      <c r="AY206" s="167">
        <f t="shared" si="66"/>
        <v>0</v>
      </c>
      <c r="BA206" s="197">
        <v>199</v>
      </c>
      <c r="BB206" s="73" t="s">
        <v>245</v>
      </c>
      <c r="BC206" s="73" t="s">
        <v>1381</v>
      </c>
      <c r="BD206" s="56">
        <v>14014.560000000001</v>
      </c>
    </row>
    <row r="207" spans="1:56">
      <c r="A207" s="197">
        <v>200</v>
      </c>
      <c r="B207" s="73" t="s">
        <v>486</v>
      </c>
      <c r="C207" s="73" t="s">
        <v>1382</v>
      </c>
      <c r="D207" s="168">
        <v>0</v>
      </c>
      <c r="E207" s="170">
        <v>38052.950000000004</v>
      </c>
      <c r="F207" s="171">
        <f t="shared" si="59"/>
        <v>38052.950000000004</v>
      </c>
      <c r="G207" s="182">
        <v>87568.46</v>
      </c>
      <c r="H207" s="179">
        <v>0</v>
      </c>
      <c r="I207" s="170">
        <v>54151.909999999989</v>
      </c>
      <c r="J207" s="171">
        <f t="shared" si="60"/>
        <v>54151.909999999989</v>
      </c>
      <c r="K207" s="205">
        <v>82586.180000000008</v>
      </c>
      <c r="L207" s="171">
        <v>0</v>
      </c>
      <c r="M207" s="199">
        <v>52879.260000000009</v>
      </c>
      <c r="N207" s="171">
        <f t="shared" si="55"/>
        <v>52879.260000000009</v>
      </c>
      <c r="O207" s="205">
        <v>89157.170000000013</v>
      </c>
      <c r="P207" s="241">
        <v>0</v>
      </c>
      <c r="Q207" s="199">
        <v>55534.28</v>
      </c>
      <c r="R207" s="171">
        <f t="shared" si="56"/>
        <v>55534.28</v>
      </c>
      <c r="S207" s="205">
        <v>88831.609999999986</v>
      </c>
      <c r="T207" s="241">
        <v>0</v>
      </c>
      <c r="U207" s="241">
        <v>56786.22</v>
      </c>
      <c r="V207" s="171">
        <f t="shared" si="57"/>
        <v>56786.22</v>
      </c>
      <c r="W207" s="56">
        <v>89596.209999999992</v>
      </c>
      <c r="X207" s="658">
        <f t="shared" si="64"/>
        <v>0</v>
      </c>
      <c r="Y207" s="659">
        <v>63447.87</v>
      </c>
      <c r="Z207" s="171">
        <f t="shared" si="58"/>
        <v>63447.87</v>
      </c>
      <c r="AA207" s="56"/>
      <c r="AB207" s="241">
        <f t="shared" si="65"/>
        <v>63447.87</v>
      </c>
      <c r="AC207" s="241"/>
      <c r="AE207" s="531">
        <f t="shared" si="61"/>
        <v>0</v>
      </c>
      <c r="AG207" t="s">
        <v>486</v>
      </c>
      <c r="AH207" t="s">
        <v>1884</v>
      </c>
      <c r="AI207" s="199">
        <v>45290</v>
      </c>
      <c r="AJ207" s="199">
        <v>2626.9</v>
      </c>
      <c r="AK207" s="199">
        <v>487.09</v>
      </c>
      <c r="AL207" s="199">
        <v>0</v>
      </c>
      <c r="AM207" s="199">
        <v>8005.62</v>
      </c>
      <c r="AN207" s="199">
        <v>3418.8</v>
      </c>
      <c r="AO207" s="199">
        <v>2145.94</v>
      </c>
      <c r="AP207" s="199">
        <v>1473.52</v>
      </c>
      <c r="AQ207" s="199">
        <v>0</v>
      </c>
      <c r="AR207" s="199">
        <v>0</v>
      </c>
      <c r="AS207" s="199">
        <v>63447.87</v>
      </c>
      <c r="AT207"/>
      <c r="AU207"/>
      <c r="AV207" t="str">
        <f t="shared" si="62"/>
        <v>24410</v>
      </c>
      <c r="AW207" s="241">
        <f t="shared" si="63"/>
        <v>63447.87</v>
      </c>
      <c r="AY207" s="167">
        <f t="shared" si="66"/>
        <v>0</v>
      </c>
      <c r="BA207" s="197">
        <v>200</v>
      </c>
      <c r="BB207" s="73" t="s">
        <v>486</v>
      </c>
      <c r="BC207" s="73" t="s">
        <v>1382</v>
      </c>
      <c r="BD207" s="56">
        <v>89596.209999999992</v>
      </c>
    </row>
    <row r="208" spans="1:56">
      <c r="A208" s="197">
        <v>201</v>
      </c>
      <c r="B208" s="73" t="s">
        <v>519</v>
      </c>
      <c r="C208" s="73" t="s">
        <v>1383</v>
      </c>
      <c r="D208" s="168">
        <v>12665.760000000024</v>
      </c>
      <c r="E208" s="170">
        <v>168573.80999999997</v>
      </c>
      <c r="F208" s="171">
        <f t="shared" si="59"/>
        <v>181239.57</v>
      </c>
      <c r="G208" s="182">
        <v>151225.42000000001</v>
      </c>
      <c r="H208" s="179">
        <v>30014.149999999994</v>
      </c>
      <c r="I208" s="170">
        <v>209867.13</v>
      </c>
      <c r="J208" s="171">
        <f t="shared" si="60"/>
        <v>239881.28</v>
      </c>
      <c r="K208" s="205">
        <v>231927.34</v>
      </c>
      <c r="L208" s="171">
        <v>7953.9400000000023</v>
      </c>
      <c r="M208" s="199">
        <v>237205.75</v>
      </c>
      <c r="N208" s="171">
        <f t="shared" si="55"/>
        <v>245159.69</v>
      </c>
      <c r="O208" s="205">
        <v>317101.81</v>
      </c>
      <c r="P208" s="241">
        <v>0</v>
      </c>
      <c r="Q208" s="199">
        <v>276951.45999999996</v>
      </c>
      <c r="R208" s="171">
        <f t="shared" si="56"/>
        <v>276951.45999999996</v>
      </c>
      <c r="S208" s="205">
        <v>348379.77000000008</v>
      </c>
      <c r="T208" s="241">
        <v>0</v>
      </c>
      <c r="U208" s="241">
        <v>297201.27999999997</v>
      </c>
      <c r="V208" s="171">
        <f t="shared" si="57"/>
        <v>297201.27999999997</v>
      </c>
      <c r="W208" s="56">
        <v>361635.56</v>
      </c>
      <c r="X208" s="658">
        <f t="shared" si="64"/>
        <v>0</v>
      </c>
      <c r="Y208" s="659">
        <v>323287.94000000006</v>
      </c>
      <c r="Z208" s="171">
        <f t="shared" si="58"/>
        <v>323287.94000000006</v>
      </c>
      <c r="AA208" s="56"/>
      <c r="AB208" s="241">
        <f t="shared" si="65"/>
        <v>323287.94000000006</v>
      </c>
      <c r="AC208" s="241"/>
      <c r="AE208" s="531">
        <f t="shared" si="61"/>
        <v>0</v>
      </c>
      <c r="AG208" t="s">
        <v>519</v>
      </c>
      <c r="AH208" t="s">
        <v>1900</v>
      </c>
      <c r="AI208" s="199">
        <v>222807.04000000001</v>
      </c>
      <c r="AJ208" s="199">
        <v>25585.11</v>
      </c>
      <c r="AK208" s="199">
        <v>8405.51</v>
      </c>
      <c r="AL208" s="199">
        <v>0</v>
      </c>
      <c r="AM208" s="199">
        <v>50999.26</v>
      </c>
      <c r="AN208" s="199">
        <v>9017.6200000000008</v>
      </c>
      <c r="AO208" s="199">
        <v>0</v>
      </c>
      <c r="AP208" s="199">
        <v>5169.63</v>
      </c>
      <c r="AQ208" s="199">
        <v>1303.77</v>
      </c>
      <c r="AR208" s="199">
        <v>0</v>
      </c>
      <c r="AS208" s="199">
        <v>323287.94000000006</v>
      </c>
      <c r="AT208"/>
      <c r="AU208"/>
      <c r="AV208" t="str">
        <f t="shared" si="62"/>
        <v>27344</v>
      </c>
      <c r="AW208" s="241">
        <f t="shared" si="63"/>
        <v>323287.94000000006</v>
      </c>
      <c r="AY208" s="167">
        <f t="shared" si="66"/>
        <v>0</v>
      </c>
      <c r="BA208" s="197">
        <v>201</v>
      </c>
      <c r="BB208" s="73" t="s">
        <v>519</v>
      </c>
      <c r="BC208" s="73" t="s">
        <v>1383</v>
      </c>
      <c r="BD208" s="56">
        <v>361635.56</v>
      </c>
    </row>
    <row r="209" spans="1:56">
      <c r="A209" s="197">
        <v>202</v>
      </c>
      <c r="B209" s="73" t="s">
        <v>167</v>
      </c>
      <c r="C209" s="73" t="s">
        <v>1384</v>
      </c>
      <c r="D209" s="168">
        <v>0</v>
      </c>
      <c r="E209" s="170">
        <v>320986.71999999997</v>
      </c>
      <c r="F209" s="171">
        <f t="shared" si="59"/>
        <v>320986.71999999997</v>
      </c>
      <c r="G209" s="182">
        <v>253398.2</v>
      </c>
      <c r="H209" s="179">
        <v>67588.51999999996</v>
      </c>
      <c r="I209" s="170">
        <v>474610.13999999996</v>
      </c>
      <c r="J209" s="171">
        <f t="shared" si="60"/>
        <v>542198.65999999992</v>
      </c>
      <c r="K209" s="205">
        <v>104776.38000000002</v>
      </c>
      <c r="L209" s="171">
        <v>437422.27999999991</v>
      </c>
      <c r="M209" s="199">
        <v>472990.57999999996</v>
      </c>
      <c r="N209" s="171">
        <f t="shared" si="55"/>
        <v>910412.85999999987</v>
      </c>
      <c r="O209" s="205">
        <v>246308</v>
      </c>
      <c r="P209" s="241">
        <v>664104.85999999987</v>
      </c>
      <c r="Q209" s="199">
        <v>523274.28</v>
      </c>
      <c r="R209" s="171">
        <f t="shared" si="56"/>
        <v>1187379.1399999999</v>
      </c>
      <c r="S209" s="205">
        <v>610116.7300000001</v>
      </c>
      <c r="T209" s="241">
        <v>577262.4099999998</v>
      </c>
      <c r="U209" s="241">
        <v>515819.49</v>
      </c>
      <c r="V209" s="171">
        <f t="shared" si="57"/>
        <v>1093081.8999999999</v>
      </c>
      <c r="W209" s="56">
        <v>77474.52</v>
      </c>
      <c r="X209" s="658">
        <f t="shared" si="64"/>
        <v>1015607.3799999999</v>
      </c>
      <c r="Y209" s="659">
        <v>546133.62</v>
      </c>
      <c r="Z209" s="171">
        <f t="shared" si="58"/>
        <v>1561741</v>
      </c>
      <c r="AA209" s="56"/>
      <c r="AB209" s="241">
        <f t="shared" si="65"/>
        <v>1561741</v>
      </c>
      <c r="AC209" s="241"/>
      <c r="AE209" s="531">
        <f t="shared" si="61"/>
        <v>0</v>
      </c>
      <c r="AG209" t="s">
        <v>167</v>
      </c>
      <c r="AH209" t="s">
        <v>1720</v>
      </c>
      <c r="AI209" s="199">
        <v>354808.38</v>
      </c>
      <c r="AJ209" s="199">
        <v>23547.18</v>
      </c>
      <c r="AK209" s="199">
        <v>2461.48</v>
      </c>
      <c r="AL209" s="199">
        <v>0</v>
      </c>
      <c r="AM209" s="199">
        <v>52278.45</v>
      </c>
      <c r="AN209" s="199">
        <v>35387.410000000003</v>
      </c>
      <c r="AO209" s="199">
        <v>20260.099999999999</v>
      </c>
      <c r="AP209" s="199">
        <v>47152.57</v>
      </c>
      <c r="AQ209" s="199">
        <v>1968.27</v>
      </c>
      <c r="AR209" s="199">
        <v>8269.7800000000007</v>
      </c>
      <c r="AS209" s="199">
        <v>546133.62</v>
      </c>
      <c r="AT209"/>
      <c r="AU209"/>
      <c r="AV209" t="str">
        <f t="shared" si="62"/>
        <v>01147</v>
      </c>
      <c r="AW209" s="241">
        <f t="shared" si="63"/>
        <v>546133.62</v>
      </c>
      <c r="AY209" s="167">
        <f t="shared" si="66"/>
        <v>0</v>
      </c>
      <c r="BA209" s="197">
        <v>202</v>
      </c>
      <c r="BB209" s="73" t="s">
        <v>167</v>
      </c>
      <c r="BC209" s="73" t="s">
        <v>1384</v>
      </c>
      <c r="BD209" s="56">
        <v>77474.52</v>
      </c>
    </row>
    <row r="210" spans="1:56">
      <c r="A210" s="197">
        <v>203</v>
      </c>
      <c r="B210" s="73" t="s">
        <v>249</v>
      </c>
      <c r="C210" s="73" t="s">
        <v>1385</v>
      </c>
      <c r="D210" s="168">
        <v>1506.6499999999999</v>
      </c>
      <c r="E210" s="170">
        <v>3060.2999999999997</v>
      </c>
      <c r="F210" s="171">
        <f t="shared" si="59"/>
        <v>4566.95</v>
      </c>
      <c r="G210" s="182">
        <v>392.06</v>
      </c>
      <c r="H210" s="179">
        <v>4174.8899999999994</v>
      </c>
      <c r="I210" s="170">
        <v>4700.0599999999995</v>
      </c>
      <c r="J210" s="171">
        <f t="shared" si="60"/>
        <v>8874.9499999999989</v>
      </c>
      <c r="K210" s="205">
        <v>5015.4699999999993</v>
      </c>
      <c r="L210" s="171">
        <v>3859.4799999999996</v>
      </c>
      <c r="M210" s="199">
        <v>4656.6000000000004</v>
      </c>
      <c r="N210" s="171">
        <f t="shared" si="55"/>
        <v>8516.08</v>
      </c>
      <c r="O210" s="205">
        <v>3227.45</v>
      </c>
      <c r="P210" s="241">
        <v>5288.63</v>
      </c>
      <c r="Q210" s="199">
        <v>4934.84</v>
      </c>
      <c r="R210" s="171">
        <f t="shared" si="56"/>
        <v>10223.470000000001</v>
      </c>
      <c r="S210" s="205">
        <v>6132.27</v>
      </c>
      <c r="T210" s="241">
        <v>4091.2000000000007</v>
      </c>
      <c r="U210" s="241">
        <v>4518.8500000000004</v>
      </c>
      <c r="V210" s="171">
        <f t="shared" si="57"/>
        <v>8610.0500000000011</v>
      </c>
      <c r="W210" s="56">
        <v>9041.82</v>
      </c>
      <c r="X210" s="658">
        <f t="shared" si="64"/>
        <v>0</v>
      </c>
      <c r="Y210" s="659">
        <v>4910.7</v>
      </c>
      <c r="Z210" s="171">
        <f t="shared" si="58"/>
        <v>4910.7</v>
      </c>
      <c r="AA210" s="56"/>
      <c r="AB210" s="241">
        <f t="shared" si="65"/>
        <v>4910.7</v>
      </c>
      <c r="AC210" s="241"/>
      <c r="AE210" s="531">
        <f t="shared" si="61"/>
        <v>0</v>
      </c>
      <c r="AG210" t="s">
        <v>249</v>
      </c>
      <c r="AH210" t="s">
        <v>1763</v>
      </c>
      <c r="AI210" s="199">
        <v>4229.09</v>
      </c>
      <c r="AJ210" s="199">
        <v>0</v>
      </c>
      <c r="AK210" s="199">
        <v>0</v>
      </c>
      <c r="AL210" s="199">
        <v>0</v>
      </c>
      <c r="AM210" s="199">
        <v>0</v>
      </c>
      <c r="AN210" s="199">
        <v>238.94</v>
      </c>
      <c r="AO210" s="199">
        <v>119.47</v>
      </c>
      <c r="AP210" s="199">
        <v>196.07</v>
      </c>
      <c r="AQ210" s="199">
        <v>13.78</v>
      </c>
      <c r="AR210" s="199">
        <v>113.35</v>
      </c>
      <c r="AS210" s="199">
        <v>4910.7</v>
      </c>
      <c r="AT210"/>
      <c r="AU210"/>
      <c r="AV210" t="str">
        <f t="shared" si="62"/>
        <v>09102</v>
      </c>
      <c r="AW210" s="241">
        <f t="shared" si="63"/>
        <v>4910.7</v>
      </c>
      <c r="AY210" s="167">
        <f t="shared" si="66"/>
        <v>0</v>
      </c>
      <c r="BA210" s="197">
        <v>203</v>
      </c>
      <c r="BB210" s="73" t="s">
        <v>249</v>
      </c>
      <c r="BC210" s="73" t="s">
        <v>1385</v>
      </c>
      <c r="BD210" s="56">
        <v>9041.82</v>
      </c>
    </row>
    <row r="211" spans="1:56">
      <c r="A211" s="197">
        <v>204</v>
      </c>
      <c r="B211" s="73" t="s">
        <v>695</v>
      </c>
      <c r="C211" s="73" t="s">
        <v>1386</v>
      </c>
      <c r="D211" s="168">
        <v>8098.05</v>
      </c>
      <c r="E211" s="170">
        <v>16472.289999999997</v>
      </c>
      <c r="F211" s="171">
        <f t="shared" si="59"/>
        <v>24570.339999999997</v>
      </c>
      <c r="G211" s="182"/>
      <c r="H211" s="179">
        <v>24570.339999999997</v>
      </c>
      <c r="I211" s="170">
        <v>22709.79</v>
      </c>
      <c r="J211" s="171">
        <f t="shared" si="60"/>
        <v>47280.13</v>
      </c>
      <c r="K211" s="205"/>
      <c r="L211" s="171">
        <v>47280.13</v>
      </c>
      <c r="M211" s="199">
        <v>23197.34</v>
      </c>
      <c r="N211" s="171">
        <f t="shared" si="55"/>
        <v>70477.47</v>
      </c>
      <c r="O211" s="205">
        <v>21900.09</v>
      </c>
      <c r="P211" s="241">
        <v>48577.380000000005</v>
      </c>
      <c r="Q211" s="199">
        <v>25145.75</v>
      </c>
      <c r="R211" s="171">
        <f t="shared" si="56"/>
        <v>73723.13</v>
      </c>
      <c r="S211" s="205">
        <v>27046.440000000002</v>
      </c>
      <c r="T211" s="241">
        <v>46676.69</v>
      </c>
      <c r="U211" s="241">
        <v>25515.88</v>
      </c>
      <c r="V211" s="171">
        <f t="shared" si="57"/>
        <v>72192.570000000007</v>
      </c>
      <c r="W211" s="56">
        <v>32631.13</v>
      </c>
      <c r="X211" s="658">
        <f t="shared" si="64"/>
        <v>39561.440000000002</v>
      </c>
      <c r="Y211" s="659">
        <v>28464.510000000002</v>
      </c>
      <c r="Z211" s="171">
        <f t="shared" si="58"/>
        <v>68025.950000000012</v>
      </c>
      <c r="AA211" s="56"/>
      <c r="AB211" s="241">
        <f t="shared" si="65"/>
        <v>68025.950000000012</v>
      </c>
      <c r="AC211" s="241"/>
      <c r="AE211" s="531">
        <f t="shared" si="61"/>
        <v>0</v>
      </c>
      <c r="AG211" t="s">
        <v>695</v>
      </c>
      <c r="AH211" t="s">
        <v>1993</v>
      </c>
      <c r="AI211" s="199">
        <v>23522.67</v>
      </c>
      <c r="AJ211" s="199">
        <v>951.2</v>
      </c>
      <c r="AK211" s="199">
        <v>0</v>
      </c>
      <c r="AL211" s="199">
        <v>0</v>
      </c>
      <c r="AM211" s="199">
        <v>2333.31</v>
      </c>
      <c r="AN211" s="199">
        <v>663.24</v>
      </c>
      <c r="AO211" s="199">
        <v>0</v>
      </c>
      <c r="AP211" s="199">
        <v>0</v>
      </c>
      <c r="AQ211" s="199">
        <v>0</v>
      </c>
      <c r="AR211" s="199">
        <v>994.09</v>
      </c>
      <c r="AS211" s="199">
        <v>28464.510000000002</v>
      </c>
      <c r="AT211"/>
      <c r="AU211"/>
      <c r="AV211" t="str">
        <f t="shared" si="62"/>
        <v>38301</v>
      </c>
      <c r="AW211" s="241">
        <f t="shared" si="63"/>
        <v>28464.510000000002</v>
      </c>
      <c r="AY211" s="167">
        <f t="shared" si="66"/>
        <v>0</v>
      </c>
      <c r="BA211" s="197">
        <v>204</v>
      </c>
      <c r="BB211" s="73" t="s">
        <v>695</v>
      </c>
      <c r="BC211" s="73" t="s">
        <v>1386</v>
      </c>
      <c r="BD211" s="56">
        <v>32631.13</v>
      </c>
    </row>
    <row r="212" spans="1:56">
      <c r="A212" s="197">
        <v>205</v>
      </c>
      <c r="B212" s="298" t="s">
        <v>2366</v>
      </c>
      <c r="C212" s="303" t="s">
        <v>2394</v>
      </c>
      <c r="D212" s="168"/>
      <c r="E212" s="170"/>
      <c r="F212" s="171"/>
      <c r="G212" s="182"/>
      <c r="H212" s="179"/>
      <c r="I212" s="170"/>
      <c r="J212" s="171"/>
      <c r="K212" s="205"/>
      <c r="L212" s="171"/>
      <c r="M212" s="199"/>
      <c r="N212" s="171"/>
      <c r="O212" s="205"/>
      <c r="P212" s="241"/>
      <c r="Q212" s="199"/>
      <c r="R212" s="171"/>
      <c r="S212" s="205">
        <v>0</v>
      </c>
      <c r="T212" s="241">
        <v>0</v>
      </c>
      <c r="U212" s="241">
        <v>30213.91</v>
      </c>
      <c r="V212" s="171"/>
      <c r="W212" s="56"/>
      <c r="X212" s="658">
        <f t="shared" si="64"/>
        <v>0</v>
      </c>
      <c r="Y212" s="659">
        <v>32404.260000000006</v>
      </c>
      <c r="Z212" s="171"/>
      <c r="AA212" s="56"/>
      <c r="AB212" s="241">
        <f t="shared" si="65"/>
        <v>0</v>
      </c>
      <c r="AC212" s="241"/>
      <c r="AE212" s="531">
        <f t="shared" si="61"/>
        <v>0</v>
      </c>
      <c r="AG212" t="s">
        <v>2366</v>
      </c>
      <c r="AH212" t="s">
        <v>2456</v>
      </c>
      <c r="AI212" s="199">
        <v>27125.29</v>
      </c>
      <c r="AJ212" s="199">
        <v>0</v>
      </c>
      <c r="AK212" s="199">
        <v>0</v>
      </c>
      <c r="AL212" s="199">
        <v>0</v>
      </c>
      <c r="AM212" s="199">
        <v>2849.65</v>
      </c>
      <c r="AN212" s="199">
        <v>1664.99</v>
      </c>
      <c r="AO212" s="199">
        <v>764.33</v>
      </c>
      <c r="AP212" s="199">
        <v>0</v>
      </c>
      <c r="AQ212" s="199">
        <v>0</v>
      </c>
      <c r="AR212" s="199">
        <v>0</v>
      </c>
      <c r="AS212" s="199">
        <v>32404.260000000006</v>
      </c>
      <c r="AT212"/>
      <c r="AU212"/>
      <c r="AV212" t="str">
        <f t="shared" si="62"/>
        <v>24915</v>
      </c>
      <c r="AW212" s="241">
        <f t="shared" si="63"/>
        <v>32404.260000000006</v>
      </c>
      <c r="AY212" s="167">
        <f t="shared" si="66"/>
        <v>0</v>
      </c>
      <c r="BA212" s="197">
        <v>205</v>
      </c>
      <c r="BB212" s="298" t="s">
        <v>2366</v>
      </c>
      <c r="BC212" s="303" t="s">
        <v>2394</v>
      </c>
      <c r="BD212" s="56"/>
    </row>
    <row r="213" spans="1:56">
      <c r="A213" s="197">
        <v>206</v>
      </c>
      <c r="B213" s="73" t="s">
        <v>267</v>
      </c>
      <c r="C213" s="73" t="s">
        <v>1387</v>
      </c>
      <c r="D213" s="168">
        <v>71272.899999999907</v>
      </c>
      <c r="E213" s="170">
        <v>1237361.24</v>
      </c>
      <c r="F213" s="171">
        <f>+D213+E213</f>
        <v>1308634.1399999999</v>
      </c>
      <c r="G213" s="182">
        <v>1155448.05</v>
      </c>
      <c r="H213" s="179">
        <v>153186.08999999985</v>
      </c>
      <c r="I213" s="170">
        <v>1816798.91</v>
      </c>
      <c r="J213" s="171">
        <f>+H213+I213</f>
        <v>1969984.9999999998</v>
      </c>
      <c r="K213" s="205">
        <v>2520354.7400000002</v>
      </c>
      <c r="L213" s="171">
        <v>0</v>
      </c>
      <c r="M213" s="199">
        <v>1841766.78</v>
      </c>
      <c r="N213" s="171">
        <f t="shared" ref="N213:N247" si="67">+L213+M213</f>
        <v>1841766.78</v>
      </c>
      <c r="O213" s="205">
        <v>1305153.26</v>
      </c>
      <c r="P213" s="241">
        <v>536613.52</v>
      </c>
      <c r="Q213" s="199">
        <v>2015531.5699999998</v>
      </c>
      <c r="R213" s="171">
        <f t="shared" ref="R213:R247" si="68">+P213+Q213</f>
        <v>2552145.09</v>
      </c>
      <c r="S213" s="205">
        <v>2736932.8000000003</v>
      </c>
      <c r="T213" s="241">
        <v>0</v>
      </c>
      <c r="U213" s="241">
        <v>2075379.08</v>
      </c>
      <c r="V213" s="171">
        <f t="shared" ref="V213:V247" si="69">+T213+U213</f>
        <v>2075379.08</v>
      </c>
      <c r="W213" s="56">
        <v>2484075.7399999998</v>
      </c>
      <c r="X213" s="658">
        <f t="shared" si="64"/>
        <v>0</v>
      </c>
      <c r="Y213" s="659">
        <v>2193596.0299999998</v>
      </c>
      <c r="Z213" s="171">
        <f t="shared" ref="Z213:Z247" si="70">+X213+Y213</f>
        <v>2193596.0299999998</v>
      </c>
      <c r="AA213" s="56"/>
      <c r="AB213" s="241">
        <f t="shared" si="65"/>
        <v>2193596.0299999998</v>
      </c>
      <c r="AC213" s="241"/>
      <c r="AE213" s="531">
        <f t="shared" si="61"/>
        <v>0</v>
      </c>
      <c r="AG213" t="s">
        <v>267</v>
      </c>
      <c r="AH213" t="s">
        <v>1772</v>
      </c>
      <c r="AI213" s="199">
        <v>1416205.29</v>
      </c>
      <c r="AJ213" s="199">
        <v>101825.91</v>
      </c>
      <c r="AK213" s="199">
        <v>19494.240000000002</v>
      </c>
      <c r="AL213" s="199">
        <v>0</v>
      </c>
      <c r="AM213" s="199">
        <v>260429.53</v>
      </c>
      <c r="AN213" s="199">
        <v>131674.57999999999</v>
      </c>
      <c r="AO213" s="199">
        <v>79193.16</v>
      </c>
      <c r="AP213" s="199">
        <v>167218.23000000001</v>
      </c>
      <c r="AQ213" s="199">
        <v>8023.17</v>
      </c>
      <c r="AR213" s="199">
        <v>9531.92</v>
      </c>
      <c r="AS213" s="199">
        <v>2193596.0299999998</v>
      </c>
      <c r="AT213"/>
      <c r="AU213"/>
      <c r="AV213" t="str">
        <f t="shared" si="62"/>
        <v>11001</v>
      </c>
      <c r="AW213" s="241">
        <f t="shared" si="63"/>
        <v>2193596.0299999998</v>
      </c>
      <c r="AY213" s="167">
        <f t="shared" si="66"/>
        <v>0</v>
      </c>
      <c r="BA213" s="197">
        <v>206</v>
      </c>
      <c r="BB213" s="73" t="s">
        <v>267</v>
      </c>
      <c r="BC213" s="73" t="s">
        <v>1387</v>
      </c>
      <c r="BD213" s="56">
        <v>2484075.7399999998</v>
      </c>
    </row>
    <row r="214" spans="1:56">
      <c r="A214" s="197">
        <v>207</v>
      </c>
      <c r="B214" s="73" t="s">
        <v>480</v>
      </c>
      <c r="C214" s="73" t="s">
        <v>1388</v>
      </c>
      <c r="D214" s="168">
        <v>0</v>
      </c>
      <c r="E214" s="170">
        <v>25355.58</v>
      </c>
      <c r="F214" s="171">
        <f>+D214+E214</f>
        <v>25355.58</v>
      </c>
      <c r="G214" s="182">
        <v>1223.82</v>
      </c>
      <c r="H214" s="179">
        <v>24131.760000000002</v>
      </c>
      <c r="I214" s="170">
        <v>37787.39</v>
      </c>
      <c r="J214" s="171">
        <f>+H214+I214</f>
        <v>61919.15</v>
      </c>
      <c r="K214" s="205">
        <v>22999.99</v>
      </c>
      <c r="L214" s="171">
        <v>38919.160000000003</v>
      </c>
      <c r="M214" s="199">
        <v>37269.490000000005</v>
      </c>
      <c r="N214" s="171">
        <f t="shared" si="67"/>
        <v>76188.650000000009</v>
      </c>
      <c r="O214" s="205">
        <v>34721</v>
      </c>
      <c r="P214" s="241">
        <v>41467.650000000009</v>
      </c>
      <c r="Q214" s="199">
        <v>37632.25</v>
      </c>
      <c r="R214" s="171">
        <f t="shared" si="68"/>
        <v>79099.900000000009</v>
      </c>
      <c r="S214" s="205">
        <v>34347.93</v>
      </c>
      <c r="T214" s="241">
        <v>44751.970000000008</v>
      </c>
      <c r="U214" s="241">
        <v>33947.740000000005</v>
      </c>
      <c r="V214" s="171">
        <f t="shared" si="69"/>
        <v>78699.710000000021</v>
      </c>
      <c r="W214" s="56">
        <v>47689.33</v>
      </c>
      <c r="X214" s="658">
        <f t="shared" si="64"/>
        <v>31010.380000000019</v>
      </c>
      <c r="Y214" s="659">
        <v>36864.67</v>
      </c>
      <c r="Z214" s="171">
        <f t="shared" si="70"/>
        <v>67875.050000000017</v>
      </c>
      <c r="AA214" s="56"/>
      <c r="AB214" s="241">
        <f t="shared" si="65"/>
        <v>67875.050000000017</v>
      </c>
      <c r="AC214" s="241"/>
      <c r="AE214" s="531">
        <f t="shared" si="61"/>
        <v>0</v>
      </c>
      <c r="AG214" t="s">
        <v>480</v>
      </c>
      <c r="AH214" t="s">
        <v>1881</v>
      </c>
      <c r="AI214" s="199">
        <v>26652.41</v>
      </c>
      <c r="AJ214" s="199">
        <v>1684.73</v>
      </c>
      <c r="AK214" s="199">
        <v>389.85</v>
      </c>
      <c r="AL214" s="199">
        <v>0</v>
      </c>
      <c r="AM214" s="199">
        <v>3819.89</v>
      </c>
      <c r="AN214" s="199">
        <v>1675.45</v>
      </c>
      <c r="AO214" s="199">
        <v>1058.18</v>
      </c>
      <c r="AP214" s="199">
        <v>1021.04</v>
      </c>
      <c r="AQ214" s="199">
        <v>100.55</v>
      </c>
      <c r="AR214" s="199">
        <v>462.57</v>
      </c>
      <c r="AS214" s="199">
        <v>36864.67</v>
      </c>
      <c r="AT214"/>
      <c r="AU214"/>
      <c r="AV214" t="str">
        <f t="shared" si="62"/>
        <v>24122</v>
      </c>
      <c r="AW214" s="241">
        <f t="shared" si="63"/>
        <v>36864.67</v>
      </c>
      <c r="AY214" s="167">
        <f t="shared" si="66"/>
        <v>0</v>
      </c>
      <c r="BA214" s="197">
        <v>207</v>
      </c>
      <c r="BB214" s="73" t="s">
        <v>480</v>
      </c>
      <c r="BC214" s="73" t="s">
        <v>1388</v>
      </c>
      <c r="BD214" s="56">
        <v>47689.33</v>
      </c>
    </row>
    <row r="215" spans="1:56">
      <c r="A215" s="197">
        <v>208</v>
      </c>
      <c r="B215" s="73" t="s">
        <v>179</v>
      </c>
      <c r="C215" s="73" t="s">
        <v>1389</v>
      </c>
      <c r="D215" s="168">
        <v>1839.7800000000007</v>
      </c>
      <c r="E215" s="170">
        <v>7724.67</v>
      </c>
      <c r="F215" s="171">
        <f>+D215+E215</f>
        <v>9564.4500000000007</v>
      </c>
      <c r="G215" s="182">
        <v>2965.02</v>
      </c>
      <c r="H215" s="179">
        <v>6599.43</v>
      </c>
      <c r="I215" s="170">
        <v>15162.550000000001</v>
      </c>
      <c r="J215" s="171">
        <f>+H215+I215</f>
        <v>21761.980000000003</v>
      </c>
      <c r="K215" s="205">
        <v>20338.63</v>
      </c>
      <c r="L215" s="171">
        <v>1423.3500000000022</v>
      </c>
      <c r="M215" s="199">
        <v>15831.239999999998</v>
      </c>
      <c r="N215" s="171">
        <f t="shared" si="67"/>
        <v>17254.59</v>
      </c>
      <c r="O215" s="205">
        <v>6988.4400000000005</v>
      </c>
      <c r="P215" s="241">
        <v>10266.15</v>
      </c>
      <c r="Q215" s="199">
        <v>17677.120000000003</v>
      </c>
      <c r="R215" s="171">
        <f t="shared" si="68"/>
        <v>27943.270000000004</v>
      </c>
      <c r="S215" s="205">
        <v>5076.6600000000008</v>
      </c>
      <c r="T215" s="241">
        <v>22866.610000000004</v>
      </c>
      <c r="U215" s="241">
        <v>17821.72</v>
      </c>
      <c r="V215" s="171">
        <f t="shared" si="69"/>
        <v>40688.33</v>
      </c>
      <c r="W215" s="56">
        <v>23638.370000000003</v>
      </c>
      <c r="X215" s="658">
        <f t="shared" si="64"/>
        <v>17049.96</v>
      </c>
      <c r="Y215" s="659">
        <v>18143.43</v>
      </c>
      <c r="Z215" s="171">
        <f t="shared" si="70"/>
        <v>35193.39</v>
      </c>
      <c r="AA215" s="56"/>
      <c r="AB215" s="241">
        <f t="shared" si="65"/>
        <v>35193.39</v>
      </c>
      <c r="AC215" s="241"/>
      <c r="AE215" s="531">
        <f t="shared" si="61"/>
        <v>0</v>
      </c>
      <c r="AG215" t="s">
        <v>179</v>
      </c>
      <c r="AH215" t="s">
        <v>1726</v>
      </c>
      <c r="AI215" s="199">
        <v>12186.39</v>
      </c>
      <c r="AJ215" s="199">
        <v>0</v>
      </c>
      <c r="AK215" s="199">
        <v>1115.0999999999999</v>
      </c>
      <c r="AL215" s="199">
        <v>0</v>
      </c>
      <c r="AM215" s="199">
        <v>2241.06</v>
      </c>
      <c r="AN215" s="199">
        <v>1378.56</v>
      </c>
      <c r="AO215" s="199">
        <v>632.6</v>
      </c>
      <c r="AP215" s="199">
        <v>529.98</v>
      </c>
      <c r="AQ215" s="199">
        <v>59.74</v>
      </c>
      <c r="AR215" s="199">
        <v>0</v>
      </c>
      <c r="AS215" s="199">
        <v>18143.43</v>
      </c>
      <c r="AT215"/>
      <c r="AU215"/>
      <c r="AV215" t="str">
        <f t="shared" si="62"/>
        <v>03050</v>
      </c>
      <c r="AW215" s="241">
        <f t="shared" si="63"/>
        <v>18143.43</v>
      </c>
      <c r="AY215" s="167">
        <f t="shared" si="66"/>
        <v>0</v>
      </c>
      <c r="BA215" s="197">
        <v>208</v>
      </c>
      <c r="BB215" s="73" t="s">
        <v>179</v>
      </c>
      <c r="BC215" s="73" t="s">
        <v>1389</v>
      </c>
      <c r="BD215" s="56">
        <v>23638.370000000003</v>
      </c>
    </row>
    <row r="216" spans="1:56">
      <c r="A216" s="197">
        <v>209</v>
      </c>
      <c r="B216" s="73" t="s">
        <v>434</v>
      </c>
      <c r="C216" s="73" t="s">
        <v>1390</v>
      </c>
      <c r="D216" s="168">
        <v>877.38000000000102</v>
      </c>
      <c r="E216" s="170">
        <v>22306.749999999996</v>
      </c>
      <c r="F216" s="171">
        <f>+D216+E216</f>
        <v>23184.129999999997</v>
      </c>
      <c r="G216" s="182">
        <v>25251.16</v>
      </c>
      <c r="H216" s="179">
        <v>0</v>
      </c>
      <c r="I216" s="170">
        <v>33578.43</v>
      </c>
      <c r="J216" s="171">
        <f>+H216+I216</f>
        <v>33578.43</v>
      </c>
      <c r="K216" s="205">
        <v>39508.07</v>
      </c>
      <c r="L216" s="171">
        <v>0</v>
      </c>
      <c r="M216" s="199">
        <v>33922.300000000003</v>
      </c>
      <c r="N216" s="171">
        <f t="shared" si="67"/>
        <v>33922.300000000003</v>
      </c>
      <c r="O216" s="205">
        <v>24188.079999999998</v>
      </c>
      <c r="P216" s="241">
        <v>9734.2200000000048</v>
      </c>
      <c r="Q216" s="199">
        <v>38899.93</v>
      </c>
      <c r="R216" s="171">
        <f t="shared" si="68"/>
        <v>48634.150000000009</v>
      </c>
      <c r="S216" s="205">
        <v>36847.759999999995</v>
      </c>
      <c r="T216" s="241">
        <v>11786.390000000014</v>
      </c>
      <c r="U216" s="241">
        <v>38018.26</v>
      </c>
      <c r="V216" s="171">
        <f t="shared" si="69"/>
        <v>49804.650000000016</v>
      </c>
      <c r="W216" s="56">
        <v>48609.29</v>
      </c>
      <c r="X216" s="658">
        <f t="shared" si="64"/>
        <v>1195.3600000000151</v>
      </c>
      <c r="Y216" s="659">
        <v>42394.170000000006</v>
      </c>
      <c r="Z216" s="171">
        <f t="shared" si="70"/>
        <v>43589.530000000021</v>
      </c>
      <c r="AA216" s="56"/>
      <c r="AB216" s="241">
        <f t="shared" si="65"/>
        <v>43589.530000000021</v>
      </c>
      <c r="AC216" s="241"/>
      <c r="AE216" s="531">
        <f t="shared" si="61"/>
        <v>0</v>
      </c>
      <c r="AG216" t="s">
        <v>434</v>
      </c>
      <c r="AH216" t="s">
        <v>1859</v>
      </c>
      <c r="AI216" s="199">
        <v>31343.71</v>
      </c>
      <c r="AJ216" s="199">
        <v>1113.5</v>
      </c>
      <c r="AK216" s="199">
        <v>0</v>
      </c>
      <c r="AL216" s="199">
        <v>0</v>
      </c>
      <c r="AM216" s="199">
        <v>4829.82</v>
      </c>
      <c r="AN216" s="199">
        <v>1631.23</v>
      </c>
      <c r="AO216" s="199">
        <v>1266.43</v>
      </c>
      <c r="AP216" s="199">
        <v>0</v>
      </c>
      <c r="AQ216" s="199">
        <v>0</v>
      </c>
      <c r="AR216" s="199">
        <v>2209.48</v>
      </c>
      <c r="AS216" s="199">
        <v>42394.170000000006</v>
      </c>
      <c r="AT216"/>
      <c r="AU216"/>
      <c r="AV216" t="str">
        <f t="shared" si="62"/>
        <v>21301</v>
      </c>
      <c r="AW216" s="241">
        <f t="shared" si="63"/>
        <v>42394.170000000006</v>
      </c>
      <c r="AY216" s="167">
        <f t="shared" si="66"/>
        <v>0</v>
      </c>
      <c r="BA216" s="197">
        <v>209</v>
      </c>
      <c r="BB216" s="73" t="s">
        <v>434</v>
      </c>
      <c r="BC216" s="73" t="s">
        <v>1390</v>
      </c>
      <c r="BD216" s="56">
        <v>48609.29</v>
      </c>
    </row>
    <row r="217" spans="1:56">
      <c r="A217" s="197">
        <v>210</v>
      </c>
      <c r="B217" s="73" t="s">
        <v>523</v>
      </c>
      <c r="C217" s="73" t="s">
        <v>1391</v>
      </c>
      <c r="D217" s="168">
        <v>42057.5</v>
      </c>
      <c r="E217" s="170">
        <v>626601.04999999993</v>
      </c>
      <c r="F217" s="171">
        <f>+D217+E217</f>
        <v>668658.54999999993</v>
      </c>
      <c r="G217" s="182">
        <v>679779.57</v>
      </c>
      <c r="H217" s="179">
        <v>0</v>
      </c>
      <c r="I217" s="170">
        <v>833816.44</v>
      </c>
      <c r="J217" s="171">
        <f>+H217+I217</f>
        <v>833816.44</v>
      </c>
      <c r="K217" s="205">
        <v>1182434.5499999998</v>
      </c>
      <c r="L217" s="171">
        <v>0</v>
      </c>
      <c r="M217" s="199">
        <v>853308.49</v>
      </c>
      <c r="N217" s="171">
        <f t="shared" si="67"/>
        <v>853308.49</v>
      </c>
      <c r="O217" s="205">
        <v>1108539.1800000002</v>
      </c>
      <c r="P217" s="241">
        <v>0</v>
      </c>
      <c r="Q217" s="199">
        <v>963510.41999999993</v>
      </c>
      <c r="R217" s="171">
        <f t="shared" si="68"/>
        <v>963510.41999999993</v>
      </c>
      <c r="S217" s="205">
        <v>1117270.8700000003</v>
      </c>
      <c r="T217" s="241">
        <v>0</v>
      </c>
      <c r="U217" s="241">
        <v>964542.15</v>
      </c>
      <c r="V217" s="171">
        <f t="shared" si="69"/>
        <v>964542.15</v>
      </c>
      <c r="W217" s="56">
        <v>927173.37</v>
      </c>
      <c r="X217" s="658">
        <f t="shared" si="64"/>
        <v>37368.780000000028</v>
      </c>
      <c r="Y217" s="659">
        <v>1023323.01</v>
      </c>
      <c r="Z217" s="171">
        <f t="shared" si="70"/>
        <v>1060691.79</v>
      </c>
      <c r="AA217" s="56"/>
      <c r="AB217" s="241">
        <f t="shared" si="65"/>
        <v>1060691.79</v>
      </c>
      <c r="AC217" s="241"/>
      <c r="AE217" s="531">
        <f t="shared" si="61"/>
        <v>0</v>
      </c>
      <c r="AG217" t="s">
        <v>523</v>
      </c>
      <c r="AH217" t="s">
        <v>1902</v>
      </c>
      <c r="AI217" s="199">
        <v>773391.03</v>
      </c>
      <c r="AJ217" s="199">
        <v>45574.94</v>
      </c>
      <c r="AK217" s="199">
        <v>10459.51</v>
      </c>
      <c r="AL217" s="199">
        <v>0</v>
      </c>
      <c r="AM217" s="199">
        <v>144109.70000000001</v>
      </c>
      <c r="AN217" s="199">
        <v>21658.09</v>
      </c>
      <c r="AO217" s="199">
        <v>3011.68</v>
      </c>
      <c r="AP217" s="199">
        <v>8469.0400000000009</v>
      </c>
      <c r="AQ217" s="199">
        <v>4309.8100000000004</v>
      </c>
      <c r="AR217" s="199">
        <v>12339.21</v>
      </c>
      <c r="AS217" s="199">
        <v>1023323.01</v>
      </c>
      <c r="AT217"/>
      <c r="AU217"/>
      <c r="AV217" t="str">
        <f t="shared" si="62"/>
        <v>27401</v>
      </c>
      <c r="AW217" s="241">
        <f t="shared" si="63"/>
        <v>1023323.01</v>
      </c>
      <c r="AY217" s="167">
        <f t="shared" si="66"/>
        <v>0</v>
      </c>
      <c r="BA217" s="197">
        <v>210</v>
      </c>
      <c r="BB217" s="73" t="s">
        <v>523</v>
      </c>
      <c r="BC217" s="73" t="s">
        <v>1391</v>
      </c>
      <c r="BD217" s="56">
        <v>927173.37</v>
      </c>
    </row>
    <row r="218" spans="1:56">
      <c r="A218" s="197">
        <v>211</v>
      </c>
      <c r="B218" s="201" t="s">
        <v>1709</v>
      </c>
      <c r="C218" s="172" t="s">
        <v>1710</v>
      </c>
      <c r="D218" s="168"/>
      <c r="E218" s="170"/>
      <c r="F218" s="171"/>
      <c r="G218" s="182"/>
      <c r="H218" s="179"/>
      <c r="I218" s="170"/>
      <c r="J218" s="171"/>
      <c r="K218" s="205"/>
      <c r="L218" s="171">
        <v>0</v>
      </c>
      <c r="M218" s="199">
        <v>9858.32</v>
      </c>
      <c r="N218" s="171">
        <f t="shared" si="67"/>
        <v>9858.32</v>
      </c>
      <c r="O218" s="205">
        <v>9858.32</v>
      </c>
      <c r="P218" s="241">
        <v>0</v>
      </c>
      <c r="Q218" s="199">
        <v>15600.060000000001</v>
      </c>
      <c r="R218" s="171">
        <f t="shared" si="68"/>
        <v>15600.060000000001</v>
      </c>
      <c r="S218" s="205">
        <v>0</v>
      </c>
      <c r="T218" s="241">
        <v>15600.060000000001</v>
      </c>
      <c r="U218" s="241">
        <v>30361.870000000003</v>
      </c>
      <c r="V218" s="171">
        <f t="shared" si="69"/>
        <v>45961.930000000008</v>
      </c>
      <c r="W218" s="56">
        <v>54405.760000000002</v>
      </c>
      <c r="X218" s="658">
        <f t="shared" si="64"/>
        <v>0</v>
      </c>
      <c r="Y218" s="659">
        <v>31039.719999999998</v>
      </c>
      <c r="Z218" s="171">
        <f t="shared" si="70"/>
        <v>31039.719999999998</v>
      </c>
      <c r="AA218" s="56"/>
      <c r="AB218" s="241">
        <f t="shared" si="65"/>
        <v>31039.719999999998</v>
      </c>
      <c r="AC218" s="241"/>
      <c r="AE218" s="531">
        <f t="shared" si="61"/>
        <v>0</v>
      </c>
      <c r="AG218" t="s">
        <v>1709</v>
      </c>
      <c r="AH218" t="s">
        <v>2017</v>
      </c>
      <c r="AI218" s="199">
        <v>25902.98</v>
      </c>
      <c r="AJ218" s="199">
        <v>0</v>
      </c>
      <c r="AK218" s="199">
        <v>0</v>
      </c>
      <c r="AL218" s="199">
        <v>0</v>
      </c>
      <c r="AM218" s="199">
        <v>3029.09</v>
      </c>
      <c r="AN218" s="199">
        <v>1162.57</v>
      </c>
      <c r="AO218" s="199">
        <v>0</v>
      </c>
      <c r="AP218" s="199">
        <v>847.05</v>
      </c>
      <c r="AQ218" s="199">
        <v>98.03</v>
      </c>
      <c r="AR218" s="199">
        <v>0</v>
      </c>
      <c r="AS218" s="199">
        <v>31039.719999999998</v>
      </c>
      <c r="AT218"/>
      <c r="AU218"/>
      <c r="AV218" t="str">
        <f t="shared" si="62"/>
        <v>04901</v>
      </c>
      <c r="AW218" s="241">
        <f t="shared" si="63"/>
        <v>31039.719999999998</v>
      </c>
      <c r="AY218" s="167">
        <f t="shared" si="66"/>
        <v>0</v>
      </c>
      <c r="BA218" s="197">
        <v>211</v>
      </c>
      <c r="BB218" s="201" t="s">
        <v>1709</v>
      </c>
      <c r="BC218" s="172" t="s">
        <v>1710</v>
      </c>
      <c r="BD218" s="56">
        <v>54405.760000000002</v>
      </c>
    </row>
    <row r="219" spans="1:56">
      <c r="A219" s="197">
        <v>212</v>
      </c>
      <c r="B219" s="73" t="s">
        <v>466</v>
      </c>
      <c r="C219" s="73" t="s">
        <v>1392</v>
      </c>
      <c r="D219" s="168">
        <v>0</v>
      </c>
      <c r="E219" s="170">
        <v>50545.82</v>
      </c>
      <c r="F219" s="171">
        <f t="shared" ref="F219:F247" si="71">+D219+E219</f>
        <v>50545.82</v>
      </c>
      <c r="G219" s="182">
        <v>56633.79</v>
      </c>
      <c r="H219" s="179">
        <v>0</v>
      </c>
      <c r="I219" s="170">
        <v>66661.820000000007</v>
      </c>
      <c r="J219" s="171">
        <f t="shared" ref="J219:J247" si="72">+H219+I219</f>
        <v>66661.820000000007</v>
      </c>
      <c r="K219" s="205">
        <v>55370.07</v>
      </c>
      <c r="L219" s="171">
        <v>11291.750000000007</v>
      </c>
      <c r="M219" s="199">
        <v>64762.319999999992</v>
      </c>
      <c r="N219" s="171">
        <f t="shared" si="67"/>
        <v>76054.070000000007</v>
      </c>
      <c r="O219" s="205">
        <v>79879.06</v>
      </c>
      <c r="P219" s="241">
        <v>0</v>
      </c>
      <c r="Q219" s="199">
        <v>80305.460000000006</v>
      </c>
      <c r="R219" s="171">
        <f t="shared" si="68"/>
        <v>80305.460000000006</v>
      </c>
      <c r="S219" s="205">
        <v>125220.09999999999</v>
      </c>
      <c r="T219" s="241">
        <v>0</v>
      </c>
      <c r="U219" s="241">
        <v>90595.66</v>
      </c>
      <c r="V219" s="171">
        <f t="shared" si="69"/>
        <v>90595.66</v>
      </c>
      <c r="W219" s="56">
        <v>99008.640000000014</v>
      </c>
      <c r="X219" s="658">
        <f t="shared" si="64"/>
        <v>0</v>
      </c>
      <c r="Y219" s="659">
        <v>94488.190000000017</v>
      </c>
      <c r="Z219" s="171">
        <f t="shared" si="70"/>
        <v>94488.190000000017</v>
      </c>
      <c r="AA219" s="56"/>
      <c r="AB219" s="241">
        <f t="shared" si="65"/>
        <v>94488.190000000017</v>
      </c>
      <c r="AC219" s="241"/>
      <c r="AE219" s="531">
        <f t="shared" si="61"/>
        <v>0</v>
      </c>
      <c r="AG219" t="s">
        <v>466</v>
      </c>
      <c r="AH219" t="s">
        <v>1875</v>
      </c>
      <c r="AI219" s="199">
        <v>70541.710000000006</v>
      </c>
      <c r="AJ219" s="199">
        <v>0</v>
      </c>
      <c r="AK219" s="199">
        <v>0</v>
      </c>
      <c r="AL219" s="199">
        <v>0</v>
      </c>
      <c r="AM219" s="199">
        <v>14198.21</v>
      </c>
      <c r="AN219" s="199">
        <v>4419.5200000000004</v>
      </c>
      <c r="AO219" s="199">
        <v>3508.66</v>
      </c>
      <c r="AP219" s="199">
        <v>1484</v>
      </c>
      <c r="AQ219" s="199">
        <v>336.09</v>
      </c>
      <c r="AR219" s="199">
        <v>0</v>
      </c>
      <c r="AS219" s="199">
        <v>94488.190000000017</v>
      </c>
      <c r="AT219"/>
      <c r="AU219"/>
      <c r="AV219" t="str">
        <f t="shared" si="62"/>
        <v>23402</v>
      </c>
      <c r="AW219" s="241">
        <f t="shared" si="63"/>
        <v>94488.190000000017</v>
      </c>
      <c r="AY219" s="167">
        <f t="shared" si="66"/>
        <v>0</v>
      </c>
      <c r="BA219" s="197">
        <v>212</v>
      </c>
      <c r="BB219" s="73" t="s">
        <v>466</v>
      </c>
      <c r="BC219" s="73" t="s">
        <v>1392</v>
      </c>
      <c r="BD219" s="56">
        <v>99008.640000000014</v>
      </c>
    </row>
    <row r="220" spans="1:56">
      <c r="A220" s="197">
        <v>213</v>
      </c>
      <c r="B220" s="73" t="s">
        <v>275</v>
      </c>
      <c r="C220" s="73" t="s">
        <v>1393</v>
      </c>
      <c r="D220" s="168">
        <v>4482.88</v>
      </c>
      <c r="E220" s="170">
        <v>25294.760000000002</v>
      </c>
      <c r="F220" s="171">
        <f t="shared" si="71"/>
        <v>29777.640000000003</v>
      </c>
      <c r="G220" s="182">
        <v>20335.900000000001</v>
      </c>
      <c r="H220" s="179">
        <v>9441.7400000000016</v>
      </c>
      <c r="I220" s="170">
        <v>37101.89</v>
      </c>
      <c r="J220" s="171">
        <f t="shared" si="72"/>
        <v>46543.630000000005</v>
      </c>
      <c r="K220" s="205">
        <v>44537.179999999993</v>
      </c>
      <c r="L220" s="171">
        <v>2006.4500000000116</v>
      </c>
      <c r="M220" s="199">
        <v>43127.740000000005</v>
      </c>
      <c r="N220" s="171">
        <f t="shared" si="67"/>
        <v>45134.190000000017</v>
      </c>
      <c r="O220" s="205">
        <v>47170.13</v>
      </c>
      <c r="P220" s="241">
        <v>0</v>
      </c>
      <c r="Q220" s="199">
        <v>45546.78</v>
      </c>
      <c r="R220" s="171">
        <f t="shared" si="68"/>
        <v>45546.78</v>
      </c>
      <c r="S220" s="205">
        <v>50650.74</v>
      </c>
      <c r="T220" s="241">
        <v>0</v>
      </c>
      <c r="U220" s="241">
        <v>42904.03</v>
      </c>
      <c r="V220" s="171">
        <f t="shared" si="69"/>
        <v>42904.03</v>
      </c>
      <c r="W220" s="56">
        <v>50827.15</v>
      </c>
      <c r="X220" s="658">
        <f t="shared" si="64"/>
        <v>0</v>
      </c>
      <c r="Y220" s="659">
        <v>46831.49</v>
      </c>
      <c r="Z220" s="171">
        <f t="shared" si="70"/>
        <v>46831.49</v>
      </c>
      <c r="AA220" s="56"/>
      <c r="AB220" s="241">
        <f t="shared" si="65"/>
        <v>46831.49</v>
      </c>
      <c r="AC220" s="241"/>
      <c r="AE220" s="531">
        <f t="shared" si="61"/>
        <v>0</v>
      </c>
      <c r="AG220" t="s">
        <v>275</v>
      </c>
      <c r="AH220" t="s">
        <v>1776</v>
      </c>
      <c r="AI220" s="199">
        <v>32749.3</v>
      </c>
      <c r="AJ220" s="199">
        <v>2728.98</v>
      </c>
      <c r="AK220" s="199">
        <v>1185.03</v>
      </c>
      <c r="AL220" s="199">
        <v>0</v>
      </c>
      <c r="AM220" s="199">
        <v>5452.78</v>
      </c>
      <c r="AN220" s="199">
        <v>1703.3</v>
      </c>
      <c r="AO220" s="199">
        <v>606.45000000000005</v>
      </c>
      <c r="AP220" s="199">
        <v>0</v>
      </c>
      <c r="AQ220" s="199">
        <v>142.33000000000001</v>
      </c>
      <c r="AR220" s="199">
        <v>2263.3200000000002</v>
      </c>
      <c r="AS220" s="199">
        <v>46831.49</v>
      </c>
      <c r="AT220"/>
      <c r="AU220"/>
      <c r="AV220" t="str">
        <f t="shared" si="62"/>
        <v>12110</v>
      </c>
      <c r="AW220" s="241">
        <f t="shared" si="63"/>
        <v>46831.49</v>
      </c>
      <c r="AY220" s="167">
        <f t="shared" si="66"/>
        <v>0</v>
      </c>
      <c r="BA220" s="197">
        <v>213</v>
      </c>
      <c r="BB220" s="73" t="s">
        <v>275</v>
      </c>
      <c r="BC220" s="73" t="s">
        <v>1393</v>
      </c>
      <c r="BD220" s="56">
        <v>50827.15</v>
      </c>
    </row>
    <row r="221" spans="1:56">
      <c r="A221" s="197">
        <v>214</v>
      </c>
      <c r="B221" s="73" t="s">
        <v>203</v>
      </c>
      <c r="C221" s="73" t="s">
        <v>1394</v>
      </c>
      <c r="D221" s="168">
        <v>10422.48000000004</v>
      </c>
      <c r="E221" s="170">
        <v>243092.85</v>
      </c>
      <c r="F221" s="171">
        <f t="shared" si="71"/>
        <v>253515.33000000005</v>
      </c>
      <c r="G221" s="182">
        <v>234508.43</v>
      </c>
      <c r="H221" s="179">
        <v>19006.900000000052</v>
      </c>
      <c r="I221" s="170">
        <v>268713.71000000002</v>
      </c>
      <c r="J221" s="171">
        <f t="shared" si="72"/>
        <v>287720.6100000001</v>
      </c>
      <c r="K221" s="205">
        <v>359195.74000000005</v>
      </c>
      <c r="L221" s="171">
        <v>0</v>
      </c>
      <c r="M221" s="199">
        <v>311073.28000000003</v>
      </c>
      <c r="N221" s="171">
        <f t="shared" si="67"/>
        <v>311073.28000000003</v>
      </c>
      <c r="O221" s="205">
        <v>331370.3</v>
      </c>
      <c r="P221" s="241">
        <v>0</v>
      </c>
      <c r="Q221" s="199">
        <v>340297.31999999995</v>
      </c>
      <c r="R221" s="171">
        <f t="shared" si="68"/>
        <v>340297.31999999995</v>
      </c>
      <c r="S221" s="205">
        <v>358964.41</v>
      </c>
      <c r="T221" s="241">
        <v>0</v>
      </c>
      <c r="U221" s="241">
        <v>359240.30000000005</v>
      </c>
      <c r="V221" s="171">
        <f t="shared" si="69"/>
        <v>359240.30000000005</v>
      </c>
      <c r="W221" s="56">
        <v>359170.7100000002</v>
      </c>
      <c r="X221" s="658">
        <f t="shared" si="64"/>
        <v>69.589999999850988</v>
      </c>
      <c r="Y221" s="659">
        <v>374312.38999999996</v>
      </c>
      <c r="Z221" s="171">
        <f t="shared" si="70"/>
        <v>374381.97999999981</v>
      </c>
      <c r="AA221" s="56"/>
      <c r="AB221" s="241">
        <f t="shared" si="65"/>
        <v>374381.97999999981</v>
      </c>
      <c r="AC221" s="241"/>
      <c r="AE221" s="531">
        <f t="shared" si="61"/>
        <v>0</v>
      </c>
      <c r="AG221" t="s">
        <v>203</v>
      </c>
      <c r="AH221" t="s">
        <v>1738</v>
      </c>
      <c r="AI221" s="199">
        <v>245558.16</v>
      </c>
      <c r="AJ221" s="199">
        <v>20700.939999999999</v>
      </c>
      <c r="AK221" s="199">
        <v>6399.05</v>
      </c>
      <c r="AL221" s="199">
        <v>0</v>
      </c>
      <c r="AM221" s="199">
        <v>58868.09</v>
      </c>
      <c r="AN221" s="199">
        <v>20527.29</v>
      </c>
      <c r="AO221" s="199">
        <v>16221.44</v>
      </c>
      <c r="AP221" s="199">
        <v>1032.25</v>
      </c>
      <c r="AQ221" s="199">
        <v>1553.16</v>
      </c>
      <c r="AR221" s="199">
        <v>3452.01</v>
      </c>
      <c r="AS221" s="199">
        <v>374312.38999999996</v>
      </c>
      <c r="AT221"/>
      <c r="AU221"/>
      <c r="AV221" t="str">
        <f t="shared" si="62"/>
        <v>05121</v>
      </c>
      <c r="AW221" s="241">
        <f t="shared" si="63"/>
        <v>374312.38999999996</v>
      </c>
      <c r="AY221" s="167">
        <f t="shared" si="66"/>
        <v>0</v>
      </c>
      <c r="BA221" s="197">
        <v>214</v>
      </c>
      <c r="BB221" s="73" t="s">
        <v>203</v>
      </c>
      <c r="BC221" s="73" t="s">
        <v>1394</v>
      </c>
      <c r="BD221" s="56">
        <v>359170.7100000002</v>
      </c>
    </row>
    <row r="222" spans="1:56">
      <c r="A222" s="197">
        <v>215</v>
      </c>
      <c r="B222" s="73" t="s">
        <v>336</v>
      </c>
      <c r="C222" s="73" t="s">
        <v>1395</v>
      </c>
      <c r="D222" s="168">
        <v>5159.7599999999984</v>
      </c>
      <c r="E222" s="170">
        <v>79240.59</v>
      </c>
      <c r="F222" s="171">
        <f t="shared" si="71"/>
        <v>84400.349999999991</v>
      </c>
      <c r="G222" s="182">
        <v>66194.59</v>
      </c>
      <c r="H222" s="179">
        <v>18205.759999999995</v>
      </c>
      <c r="I222" s="170">
        <v>102028.40000000001</v>
      </c>
      <c r="J222" s="171">
        <f t="shared" si="72"/>
        <v>120234.16</v>
      </c>
      <c r="K222" s="205">
        <v>127105.77999999997</v>
      </c>
      <c r="L222" s="171">
        <v>0</v>
      </c>
      <c r="M222" s="199">
        <v>106156.07</v>
      </c>
      <c r="N222" s="171">
        <f t="shared" si="67"/>
        <v>106156.07</v>
      </c>
      <c r="O222" s="205">
        <v>140604.65999999997</v>
      </c>
      <c r="P222" s="241">
        <v>0</v>
      </c>
      <c r="Q222" s="199">
        <v>113597.25</v>
      </c>
      <c r="R222" s="171">
        <f t="shared" si="68"/>
        <v>113597.25</v>
      </c>
      <c r="S222" s="205">
        <v>149040.85</v>
      </c>
      <c r="T222" s="241">
        <v>0</v>
      </c>
      <c r="U222" s="241">
        <v>116448.63</v>
      </c>
      <c r="V222" s="171">
        <f t="shared" si="69"/>
        <v>116448.63</v>
      </c>
      <c r="W222" s="56">
        <v>135072.84999999992</v>
      </c>
      <c r="X222" s="658">
        <f t="shared" si="64"/>
        <v>0</v>
      </c>
      <c r="Y222" s="659">
        <v>137906.19</v>
      </c>
      <c r="Z222" s="171">
        <f t="shared" si="70"/>
        <v>137906.19</v>
      </c>
      <c r="AA222" s="56"/>
      <c r="AB222" s="241">
        <f t="shared" si="65"/>
        <v>137906.19</v>
      </c>
      <c r="AC222" s="241"/>
      <c r="AE222" s="531">
        <f t="shared" si="61"/>
        <v>0</v>
      </c>
      <c r="AG222" t="s">
        <v>336</v>
      </c>
      <c r="AH222" t="s">
        <v>1807</v>
      </c>
      <c r="AI222" s="199">
        <v>95997.63</v>
      </c>
      <c r="AJ222" s="199">
        <v>5676.68</v>
      </c>
      <c r="AK222" s="199">
        <v>770.28</v>
      </c>
      <c r="AL222" s="199">
        <v>0</v>
      </c>
      <c r="AM222" s="199">
        <v>19670.14</v>
      </c>
      <c r="AN222" s="199">
        <v>6716.3</v>
      </c>
      <c r="AO222" s="199">
        <v>3063.93</v>
      </c>
      <c r="AP222" s="199">
        <v>1151.1199999999999</v>
      </c>
      <c r="AQ222" s="199">
        <v>600.44000000000005</v>
      </c>
      <c r="AR222" s="199">
        <v>4259.67</v>
      </c>
      <c r="AS222" s="199">
        <v>137906.19</v>
      </c>
      <c r="AT222"/>
      <c r="AU222"/>
      <c r="AV222" t="str">
        <f t="shared" si="62"/>
        <v>16050</v>
      </c>
      <c r="AW222" s="241">
        <f t="shared" si="63"/>
        <v>137906.19</v>
      </c>
      <c r="AY222" s="167">
        <f t="shared" si="66"/>
        <v>0</v>
      </c>
      <c r="BA222" s="197">
        <v>215</v>
      </c>
      <c r="BB222" s="73" t="s">
        <v>336</v>
      </c>
      <c r="BC222" s="73" t="s">
        <v>1395</v>
      </c>
      <c r="BD222" s="56">
        <v>135072.84999999992</v>
      </c>
    </row>
    <row r="223" spans="1:56">
      <c r="A223" s="197">
        <v>216</v>
      </c>
      <c r="B223" s="73" t="s">
        <v>669</v>
      </c>
      <c r="C223" s="73" t="s">
        <v>1396</v>
      </c>
      <c r="D223" s="168">
        <v>0</v>
      </c>
      <c r="E223" s="170">
        <v>22509.59</v>
      </c>
      <c r="F223" s="171">
        <f t="shared" si="71"/>
        <v>22509.59</v>
      </c>
      <c r="G223" s="182">
        <v>25268.91</v>
      </c>
      <c r="H223" s="179">
        <v>0</v>
      </c>
      <c r="I223" s="170">
        <v>34534.93</v>
      </c>
      <c r="J223" s="171">
        <f t="shared" si="72"/>
        <v>34534.93</v>
      </c>
      <c r="K223" s="205">
        <v>36262.86</v>
      </c>
      <c r="L223" s="171">
        <v>0</v>
      </c>
      <c r="M223" s="199">
        <v>32807.31</v>
      </c>
      <c r="N223" s="171">
        <f t="shared" si="67"/>
        <v>32807.31</v>
      </c>
      <c r="O223" s="205"/>
      <c r="P223" s="241">
        <v>32807.31</v>
      </c>
      <c r="Q223" s="199">
        <v>35126.020000000004</v>
      </c>
      <c r="R223" s="171">
        <f t="shared" si="68"/>
        <v>67933.33</v>
      </c>
      <c r="S223" s="205">
        <v>28463.3</v>
      </c>
      <c r="T223" s="241">
        <v>39470.03</v>
      </c>
      <c r="U223" s="241">
        <v>39658.179999999993</v>
      </c>
      <c r="V223" s="171">
        <f t="shared" si="69"/>
        <v>79128.209999999992</v>
      </c>
      <c r="W223" s="56">
        <v>18156.759999999998</v>
      </c>
      <c r="X223" s="658">
        <f t="shared" si="64"/>
        <v>60971.45</v>
      </c>
      <c r="Y223" s="659">
        <v>42427.65</v>
      </c>
      <c r="Z223" s="171">
        <f t="shared" si="70"/>
        <v>103399.1</v>
      </c>
      <c r="AA223" s="56"/>
      <c r="AB223" s="241">
        <f t="shared" si="65"/>
        <v>103399.1</v>
      </c>
      <c r="AC223" s="241"/>
      <c r="AE223" s="531">
        <f t="shared" si="61"/>
        <v>0</v>
      </c>
      <c r="AG223" t="s">
        <v>669</v>
      </c>
      <c r="AH223" t="s">
        <v>1979</v>
      </c>
      <c r="AI223" s="199">
        <v>29134.91</v>
      </c>
      <c r="AJ223" s="199">
        <v>1470.45</v>
      </c>
      <c r="AK223" s="199">
        <v>0</v>
      </c>
      <c r="AL223" s="199">
        <v>0</v>
      </c>
      <c r="AM223" s="199">
        <v>4114.67</v>
      </c>
      <c r="AN223" s="199">
        <v>2164.3200000000002</v>
      </c>
      <c r="AO223" s="199">
        <v>1193.21</v>
      </c>
      <c r="AP223" s="199">
        <v>2466.08</v>
      </c>
      <c r="AQ223" s="199">
        <v>0</v>
      </c>
      <c r="AR223" s="199">
        <v>1884.01</v>
      </c>
      <c r="AS223" s="199">
        <v>42427.65</v>
      </c>
      <c r="AT223"/>
      <c r="AU223"/>
      <c r="AV223" t="str">
        <f t="shared" si="62"/>
        <v>36402</v>
      </c>
      <c r="AW223" s="241">
        <f t="shared" si="63"/>
        <v>42427.65</v>
      </c>
      <c r="AY223" s="167">
        <f t="shared" si="66"/>
        <v>0</v>
      </c>
      <c r="BA223" s="197">
        <v>216</v>
      </c>
      <c r="BB223" s="73" t="s">
        <v>669</v>
      </c>
      <c r="BC223" s="73" t="s">
        <v>1396</v>
      </c>
      <c r="BD223" s="56">
        <v>18156.759999999998</v>
      </c>
    </row>
    <row r="224" spans="1:56">
      <c r="A224" s="197">
        <v>217</v>
      </c>
      <c r="B224" s="73" t="s">
        <v>1398</v>
      </c>
      <c r="C224" s="73" t="s">
        <v>1399</v>
      </c>
      <c r="D224" s="168">
        <v>14833.269999999999</v>
      </c>
      <c r="E224" s="170">
        <v>30213.98</v>
      </c>
      <c r="F224" s="171">
        <f t="shared" si="71"/>
        <v>45047.25</v>
      </c>
      <c r="G224" s="182">
        <v>9909</v>
      </c>
      <c r="H224" s="180">
        <v>35138.25</v>
      </c>
      <c r="I224" s="170">
        <v>58389.119999999995</v>
      </c>
      <c r="J224" s="171">
        <f t="shared" si="72"/>
        <v>93527.37</v>
      </c>
      <c r="K224" s="205"/>
      <c r="L224" s="171">
        <v>93527.37</v>
      </c>
      <c r="M224" s="199">
        <v>53993.960000000006</v>
      </c>
      <c r="N224" s="171">
        <f t="shared" si="67"/>
        <v>147521.33000000002</v>
      </c>
      <c r="O224" s="205">
        <v>28534.46</v>
      </c>
      <c r="P224" s="241">
        <v>118986.87000000002</v>
      </c>
      <c r="Q224" s="199">
        <v>48237.760000000009</v>
      </c>
      <c r="R224" s="171">
        <f t="shared" si="68"/>
        <v>167224.63000000003</v>
      </c>
      <c r="S224" s="205">
        <v>19544.419999999998</v>
      </c>
      <c r="T224" s="241">
        <v>147680.21000000002</v>
      </c>
      <c r="U224" s="241">
        <v>42040.88</v>
      </c>
      <c r="V224" s="171">
        <f t="shared" si="69"/>
        <v>189721.09000000003</v>
      </c>
      <c r="W224" s="56">
        <v>56716.78</v>
      </c>
      <c r="X224" s="658">
        <f t="shared" si="64"/>
        <v>133004.31000000003</v>
      </c>
      <c r="Y224" s="659">
        <v>26394.600000000006</v>
      </c>
      <c r="Z224" s="171">
        <f t="shared" si="70"/>
        <v>159398.91000000003</v>
      </c>
      <c r="AA224" s="56"/>
      <c r="AB224" s="241">
        <f t="shared" si="65"/>
        <v>159398.91000000003</v>
      </c>
      <c r="AC224" s="241"/>
      <c r="AE224" s="531">
        <f t="shared" si="61"/>
        <v>0</v>
      </c>
      <c r="AG224" t="s">
        <v>1398</v>
      </c>
      <c r="AH224" t="s">
        <v>2458</v>
      </c>
      <c r="AI224" s="199">
        <v>17420.29</v>
      </c>
      <c r="AJ224" s="199">
        <v>1496.49</v>
      </c>
      <c r="AK224" s="199">
        <v>0</v>
      </c>
      <c r="AL224" s="199">
        <v>0</v>
      </c>
      <c r="AM224" s="199">
        <v>3239.56</v>
      </c>
      <c r="AN224" s="199">
        <v>2319.02</v>
      </c>
      <c r="AO224" s="199">
        <v>1919.24</v>
      </c>
      <c r="AP224" s="199">
        <v>0</v>
      </c>
      <c r="AQ224" s="199">
        <v>0</v>
      </c>
      <c r="AR224" s="199">
        <v>0</v>
      </c>
      <c r="AS224" s="199">
        <v>26394.600000000006</v>
      </c>
      <c r="AT224"/>
      <c r="AU224"/>
      <c r="AV224" t="str">
        <f t="shared" si="62"/>
        <v>32907</v>
      </c>
      <c r="AW224" s="241">
        <f t="shared" si="63"/>
        <v>26394.600000000006</v>
      </c>
      <c r="AY224" s="167">
        <f t="shared" si="66"/>
        <v>0</v>
      </c>
      <c r="BA224" s="197">
        <v>217</v>
      </c>
      <c r="BB224" s="73" t="s">
        <v>1398</v>
      </c>
      <c r="BC224" s="73" t="s">
        <v>1399</v>
      </c>
      <c r="BD224" s="56">
        <v>56716.78</v>
      </c>
    </row>
    <row r="225" spans="1:56">
      <c r="A225" s="197">
        <v>218</v>
      </c>
      <c r="B225" s="73" t="s">
        <v>185</v>
      </c>
      <c r="C225" s="73" t="s">
        <v>1400</v>
      </c>
      <c r="D225" s="168">
        <v>22544.600000000006</v>
      </c>
      <c r="E225" s="170">
        <v>173728.88</v>
      </c>
      <c r="F225" s="171">
        <f t="shared" si="71"/>
        <v>196273.48</v>
      </c>
      <c r="G225" s="182">
        <v>193007.64</v>
      </c>
      <c r="H225" s="179">
        <v>3265.8399999999965</v>
      </c>
      <c r="I225" s="170">
        <v>247801.90000000002</v>
      </c>
      <c r="J225" s="171">
        <f t="shared" si="72"/>
        <v>251067.74000000002</v>
      </c>
      <c r="K225" s="205">
        <v>70376.679999999993</v>
      </c>
      <c r="L225" s="171">
        <v>180691.06000000003</v>
      </c>
      <c r="M225" s="199">
        <v>244906.66000000003</v>
      </c>
      <c r="N225" s="171">
        <f t="shared" si="67"/>
        <v>425597.72000000009</v>
      </c>
      <c r="O225" s="205">
        <v>261496.01999999996</v>
      </c>
      <c r="P225" s="241">
        <v>164101.70000000013</v>
      </c>
      <c r="Q225" s="199">
        <v>253741.53</v>
      </c>
      <c r="R225" s="171">
        <f t="shared" si="68"/>
        <v>417843.2300000001</v>
      </c>
      <c r="S225" s="205">
        <v>232414.75</v>
      </c>
      <c r="T225" s="241">
        <v>185428.4800000001</v>
      </c>
      <c r="U225" s="241">
        <v>267575.62</v>
      </c>
      <c r="V225" s="171">
        <f t="shared" si="69"/>
        <v>453004.10000000009</v>
      </c>
      <c r="W225" s="56">
        <v>271581.08999999997</v>
      </c>
      <c r="X225" s="658">
        <f t="shared" si="64"/>
        <v>181423.01000000013</v>
      </c>
      <c r="Y225" s="659">
        <v>284907.08999999997</v>
      </c>
      <c r="Z225" s="171">
        <f t="shared" si="70"/>
        <v>466330.10000000009</v>
      </c>
      <c r="AA225" s="56"/>
      <c r="AB225" s="241">
        <f t="shared" si="65"/>
        <v>466330.10000000009</v>
      </c>
      <c r="AC225" s="241"/>
      <c r="AE225" s="531">
        <f t="shared" si="61"/>
        <v>0</v>
      </c>
      <c r="AG225" t="s">
        <v>185</v>
      </c>
      <c r="AH225" t="s">
        <v>1729</v>
      </c>
      <c r="AI225" s="199">
        <v>177514.47</v>
      </c>
      <c r="AJ225" s="199">
        <v>17910.439999999999</v>
      </c>
      <c r="AK225" s="199">
        <v>1709.41</v>
      </c>
      <c r="AL225" s="199">
        <v>0</v>
      </c>
      <c r="AM225" s="199">
        <v>34598.99</v>
      </c>
      <c r="AN225" s="199">
        <v>18270.400000000001</v>
      </c>
      <c r="AO225" s="199">
        <v>10945.69</v>
      </c>
      <c r="AP225" s="199">
        <v>17110.88</v>
      </c>
      <c r="AQ225" s="199">
        <v>1064.55</v>
      </c>
      <c r="AR225" s="199">
        <v>5782.26</v>
      </c>
      <c r="AS225" s="199">
        <v>284907.08999999997</v>
      </c>
      <c r="AT225"/>
      <c r="AU225"/>
      <c r="AV225" t="str">
        <f t="shared" si="62"/>
        <v>03116</v>
      </c>
      <c r="AW225" s="241">
        <f t="shared" si="63"/>
        <v>284907.08999999997</v>
      </c>
      <c r="AY225" s="167">
        <f t="shared" si="66"/>
        <v>0</v>
      </c>
      <c r="BA225" s="197">
        <v>218</v>
      </c>
      <c r="BB225" s="73" t="s">
        <v>185</v>
      </c>
      <c r="BC225" s="73" t="s">
        <v>1400</v>
      </c>
      <c r="BD225" s="56">
        <v>271581.08999999997</v>
      </c>
    </row>
    <row r="226" spans="1:56">
      <c r="A226" s="197">
        <v>219</v>
      </c>
      <c r="B226" s="73" t="s">
        <v>691</v>
      </c>
      <c r="C226" s="73" t="s">
        <v>1401</v>
      </c>
      <c r="D226" s="168">
        <v>23184.139999999985</v>
      </c>
      <c r="E226" s="170">
        <v>163868.85000000003</v>
      </c>
      <c r="F226" s="171">
        <f t="shared" si="71"/>
        <v>187052.99000000002</v>
      </c>
      <c r="G226" s="182">
        <v>148391.54</v>
      </c>
      <c r="H226" s="179">
        <v>38661.450000000012</v>
      </c>
      <c r="I226" s="170">
        <v>230691.99</v>
      </c>
      <c r="J226" s="171">
        <f t="shared" si="72"/>
        <v>269353.44</v>
      </c>
      <c r="K226" s="205">
        <v>314440.83999999997</v>
      </c>
      <c r="L226" s="171">
        <v>0</v>
      </c>
      <c r="M226" s="199">
        <v>235284.93</v>
      </c>
      <c r="N226" s="171">
        <f t="shared" si="67"/>
        <v>235284.93</v>
      </c>
      <c r="O226" s="205">
        <v>235284.92999999996</v>
      </c>
      <c r="P226" s="241">
        <v>2.9103830456733704E-11</v>
      </c>
      <c r="Q226" s="199">
        <v>261813.53</v>
      </c>
      <c r="R226" s="171">
        <f t="shared" si="68"/>
        <v>261813.53000000003</v>
      </c>
      <c r="S226" s="205">
        <v>260753.72999999998</v>
      </c>
      <c r="T226" s="241">
        <v>1059.8000000000466</v>
      </c>
      <c r="U226" s="241">
        <v>268408.72000000003</v>
      </c>
      <c r="V226" s="171">
        <f t="shared" si="69"/>
        <v>269468.52000000008</v>
      </c>
      <c r="W226" s="56">
        <v>232110.18000000002</v>
      </c>
      <c r="X226" s="658">
        <f t="shared" si="64"/>
        <v>37358.340000000055</v>
      </c>
      <c r="Y226" s="659">
        <v>287973.44</v>
      </c>
      <c r="Z226" s="171">
        <f t="shared" si="70"/>
        <v>325331.78000000003</v>
      </c>
      <c r="AA226" s="56"/>
      <c r="AB226" s="241">
        <f t="shared" si="65"/>
        <v>325331.78000000003</v>
      </c>
      <c r="AC226" s="241"/>
      <c r="AE226" s="531">
        <f t="shared" si="61"/>
        <v>0</v>
      </c>
      <c r="AG226" t="s">
        <v>691</v>
      </c>
      <c r="AH226" t="s">
        <v>1991</v>
      </c>
      <c r="AI226" s="199">
        <v>216483.04</v>
      </c>
      <c r="AJ226" s="199">
        <v>11250.51</v>
      </c>
      <c r="AK226" s="199">
        <v>3398.89</v>
      </c>
      <c r="AL226" s="199">
        <v>0</v>
      </c>
      <c r="AM226" s="199">
        <v>40966.239999999998</v>
      </c>
      <c r="AN226" s="199">
        <v>9220.9699999999993</v>
      </c>
      <c r="AO226" s="199">
        <v>1399.99</v>
      </c>
      <c r="AP226" s="199">
        <v>4086.63</v>
      </c>
      <c r="AQ226" s="199">
        <v>1167.17</v>
      </c>
      <c r="AR226" s="199">
        <v>0</v>
      </c>
      <c r="AS226" s="199">
        <v>287973.44</v>
      </c>
      <c r="AT226"/>
      <c r="AU226"/>
      <c r="AV226" t="str">
        <f t="shared" si="62"/>
        <v>38267</v>
      </c>
      <c r="AW226" s="241">
        <f t="shared" si="63"/>
        <v>287973.44</v>
      </c>
      <c r="AY226" s="167">
        <f t="shared" si="66"/>
        <v>0</v>
      </c>
      <c r="BA226" s="197">
        <v>219</v>
      </c>
      <c r="BB226" s="73" t="s">
        <v>691</v>
      </c>
      <c r="BC226" s="73" t="s">
        <v>1401</v>
      </c>
      <c r="BD226" s="56">
        <v>232110.18000000002</v>
      </c>
    </row>
    <row r="227" spans="1:56">
      <c r="A227" s="197">
        <v>220</v>
      </c>
      <c r="B227" s="73" t="s">
        <v>507</v>
      </c>
      <c r="C227" s="73" t="s">
        <v>1402</v>
      </c>
      <c r="D227" s="168">
        <v>0</v>
      </c>
      <c r="E227" s="170">
        <v>1464208.4600000004</v>
      </c>
      <c r="F227" s="171">
        <f t="shared" si="71"/>
        <v>1464208.4600000004</v>
      </c>
      <c r="G227" s="182">
        <v>1364973.78</v>
      </c>
      <c r="H227" s="179">
        <v>99234.6800000004</v>
      </c>
      <c r="I227" s="170">
        <v>2048225.1</v>
      </c>
      <c r="J227" s="171">
        <f t="shared" si="72"/>
        <v>2147459.7800000003</v>
      </c>
      <c r="K227" s="205">
        <v>2267407.6100000003</v>
      </c>
      <c r="L227" s="171">
        <v>0</v>
      </c>
      <c r="M227" s="199">
        <v>2077041.7899999998</v>
      </c>
      <c r="N227" s="171">
        <f t="shared" si="67"/>
        <v>2077041.7899999998</v>
      </c>
      <c r="O227" s="205">
        <v>2156530.4500000002</v>
      </c>
      <c r="P227" s="241">
        <v>0</v>
      </c>
      <c r="Q227" s="199">
        <v>2310880.9299999997</v>
      </c>
      <c r="R227" s="171">
        <f t="shared" si="68"/>
        <v>2310880.9299999997</v>
      </c>
      <c r="S227" s="205">
        <v>2817845.48</v>
      </c>
      <c r="T227" s="241">
        <v>0</v>
      </c>
      <c r="U227" s="241">
        <v>2522581.4799999995</v>
      </c>
      <c r="V227" s="171">
        <f t="shared" si="69"/>
        <v>2522581.4799999995</v>
      </c>
      <c r="W227" s="56">
        <v>2936554.88</v>
      </c>
      <c r="X227" s="658">
        <f t="shared" si="64"/>
        <v>0</v>
      </c>
      <c r="Y227" s="659">
        <v>2689194.5799999996</v>
      </c>
      <c r="Z227" s="171">
        <f t="shared" si="70"/>
        <v>2689194.5799999996</v>
      </c>
      <c r="AA227" s="56"/>
      <c r="AB227" s="241">
        <f t="shared" si="65"/>
        <v>2689194.5799999996</v>
      </c>
      <c r="AC227" s="241"/>
      <c r="AE227" s="531">
        <f t="shared" si="61"/>
        <v>0</v>
      </c>
      <c r="AG227" t="s">
        <v>507</v>
      </c>
      <c r="AH227" t="s">
        <v>1895</v>
      </c>
      <c r="AI227" s="199">
        <v>1952806.74</v>
      </c>
      <c r="AJ227" s="199">
        <v>124712.18</v>
      </c>
      <c r="AK227" s="199">
        <v>40932.550000000003</v>
      </c>
      <c r="AL227" s="199">
        <v>0</v>
      </c>
      <c r="AM227" s="199">
        <v>348708.92</v>
      </c>
      <c r="AN227" s="199">
        <v>106232.48</v>
      </c>
      <c r="AO227" s="199">
        <v>18177.75</v>
      </c>
      <c r="AP227" s="199">
        <v>61067.73</v>
      </c>
      <c r="AQ227" s="199">
        <v>11305.34</v>
      </c>
      <c r="AR227" s="199">
        <v>25250.89</v>
      </c>
      <c r="AS227" s="199">
        <v>2689194.5799999996</v>
      </c>
      <c r="AT227"/>
      <c r="AU227"/>
      <c r="AV227" t="str">
        <f t="shared" si="62"/>
        <v>27003</v>
      </c>
      <c r="AW227" s="241">
        <f t="shared" si="63"/>
        <v>2689194.5799999996</v>
      </c>
      <c r="AY227" s="167">
        <f t="shared" si="66"/>
        <v>0</v>
      </c>
      <c r="BA227" s="197">
        <v>220</v>
      </c>
      <c r="BB227" s="73" t="s">
        <v>507</v>
      </c>
      <c r="BC227" s="73" t="s">
        <v>1402</v>
      </c>
      <c r="BD227" s="56">
        <v>2936554.88</v>
      </c>
    </row>
    <row r="228" spans="1:56">
      <c r="A228" s="197">
        <v>221</v>
      </c>
      <c r="B228" s="73" t="s">
        <v>328</v>
      </c>
      <c r="C228" s="73" t="s">
        <v>1403</v>
      </c>
      <c r="D228" s="168">
        <v>1203.78</v>
      </c>
      <c r="E228" s="170">
        <v>3576.4500000000003</v>
      </c>
      <c r="F228" s="171">
        <f t="shared" si="71"/>
        <v>4780.2300000000005</v>
      </c>
      <c r="G228" s="182">
        <v>2841.28</v>
      </c>
      <c r="H228" s="179">
        <v>1938.9500000000003</v>
      </c>
      <c r="I228" s="170">
        <v>5793.67</v>
      </c>
      <c r="J228" s="171">
        <f t="shared" si="72"/>
        <v>7732.6200000000008</v>
      </c>
      <c r="K228" s="205">
        <v>4433.5600000000004</v>
      </c>
      <c r="L228" s="171">
        <v>3299.0600000000004</v>
      </c>
      <c r="M228" s="199">
        <v>5075.88</v>
      </c>
      <c r="N228" s="171">
        <f t="shared" si="67"/>
        <v>8374.94</v>
      </c>
      <c r="O228" s="205">
        <v>4477.78</v>
      </c>
      <c r="P228" s="241">
        <v>3897.1600000000008</v>
      </c>
      <c r="Q228" s="199">
        <v>6619.01</v>
      </c>
      <c r="R228" s="171">
        <f t="shared" si="68"/>
        <v>10516.170000000002</v>
      </c>
      <c r="S228" s="205">
        <v>3655.2</v>
      </c>
      <c r="T228" s="241">
        <v>6860.9700000000021</v>
      </c>
      <c r="U228" s="241">
        <v>6812.62</v>
      </c>
      <c r="V228" s="171">
        <f t="shared" si="69"/>
        <v>13673.590000000002</v>
      </c>
      <c r="W228" s="56">
        <v>6193.46</v>
      </c>
      <c r="X228" s="658">
        <f t="shared" si="64"/>
        <v>7480.1300000000019</v>
      </c>
      <c r="Y228" s="659">
        <v>6703.9</v>
      </c>
      <c r="Z228" s="171">
        <f t="shared" si="70"/>
        <v>14184.030000000002</v>
      </c>
      <c r="AA228" s="56"/>
      <c r="AB228" s="241">
        <f t="shared" si="65"/>
        <v>14184.030000000002</v>
      </c>
      <c r="AC228" s="241"/>
      <c r="AE228" s="531">
        <f t="shared" si="61"/>
        <v>0</v>
      </c>
      <c r="AG228" t="s">
        <v>328</v>
      </c>
      <c r="AH228" t="s">
        <v>1803</v>
      </c>
      <c r="AI228" s="199">
        <v>5674.24</v>
      </c>
      <c r="AJ228" s="199">
        <v>0</v>
      </c>
      <c r="AK228" s="199">
        <v>0</v>
      </c>
      <c r="AL228" s="199">
        <v>0</v>
      </c>
      <c r="AM228" s="199">
        <v>542.20000000000005</v>
      </c>
      <c r="AN228" s="199">
        <v>293.11</v>
      </c>
      <c r="AO228" s="199">
        <v>194.35</v>
      </c>
      <c r="AP228" s="199">
        <v>0</v>
      </c>
      <c r="AQ228" s="199">
        <v>0</v>
      </c>
      <c r="AR228" s="199">
        <v>0</v>
      </c>
      <c r="AS228" s="199">
        <v>6703.9</v>
      </c>
      <c r="AT228"/>
      <c r="AU228"/>
      <c r="AV228" t="str">
        <f t="shared" si="62"/>
        <v>16020</v>
      </c>
      <c r="AW228" s="241">
        <f t="shared" si="63"/>
        <v>6703.9</v>
      </c>
      <c r="AY228" s="167">
        <f t="shared" si="66"/>
        <v>0</v>
      </c>
      <c r="BA228" s="197">
        <v>221</v>
      </c>
      <c r="BB228" s="73" t="s">
        <v>328</v>
      </c>
      <c r="BC228" s="73" t="s">
        <v>1403</v>
      </c>
      <c r="BD228" s="56">
        <v>6193.46</v>
      </c>
    </row>
    <row r="229" spans="1:56">
      <c r="A229" s="197">
        <v>222</v>
      </c>
      <c r="B229" s="73" t="s">
        <v>332</v>
      </c>
      <c r="C229" s="73" t="s">
        <v>1404</v>
      </c>
      <c r="D229" s="168">
        <v>0</v>
      </c>
      <c r="E229" s="170">
        <v>20202.800000000003</v>
      </c>
      <c r="F229" s="171">
        <f t="shared" si="71"/>
        <v>20202.800000000003</v>
      </c>
      <c r="G229" s="182">
        <v>33163.360000000001</v>
      </c>
      <c r="H229" s="179">
        <v>0</v>
      </c>
      <c r="I229" s="170">
        <v>30395.58</v>
      </c>
      <c r="J229" s="171">
        <f t="shared" si="72"/>
        <v>30395.58</v>
      </c>
      <c r="K229" s="205">
        <v>53080.780000000006</v>
      </c>
      <c r="L229" s="171">
        <v>0</v>
      </c>
      <c r="M229" s="199">
        <v>30843.710000000003</v>
      </c>
      <c r="N229" s="171">
        <f t="shared" si="67"/>
        <v>30843.710000000003</v>
      </c>
      <c r="O229" s="205">
        <v>62855.490000000005</v>
      </c>
      <c r="P229" s="241">
        <v>0</v>
      </c>
      <c r="Q229" s="199">
        <v>32679.95</v>
      </c>
      <c r="R229" s="171">
        <f t="shared" si="68"/>
        <v>32679.95</v>
      </c>
      <c r="S229" s="205">
        <v>67305.26999999999</v>
      </c>
      <c r="T229" s="241">
        <v>0</v>
      </c>
      <c r="U229" s="241">
        <v>35155.930000000008</v>
      </c>
      <c r="V229" s="171">
        <f t="shared" si="69"/>
        <v>35155.930000000008</v>
      </c>
      <c r="W229" s="56">
        <v>60268.989999999991</v>
      </c>
      <c r="X229" s="658">
        <f t="shared" si="64"/>
        <v>0</v>
      </c>
      <c r="Y229" s="659">
        <v>38291.550000000003</v>
      </c>
      <c r="Z229" s="171">
        <f t="shared" si="70"/>
        <v>38291.550000000003</v>
      </c>
      <c r="AA229" s="56"/>
      <c r="AB229" s="241">
        <f t="shared" si="65"/>
        <v>38291.550000000003</v>
      </c>
      <c r="AC229" s="241"/>
      <c r="AE229" s="531">
        <f t="shared" si="61"/>
        <v>0</v>
      </c>
      <c r="AG229" t="s">
        <v>332</v>
      </c>
      <c r="AH229" t="s">
        <v>1805</v>
      </c>
      <c r="AI229" s="199">
        <v>24188.79</v>
      </c>
      <c r="AJ229" s="199">
        <v>944.94</v>
      </c>
      <c r="AK229" s="199">
        <v>933.58</v>
      </c>
      <c r="AL229" s="199">
        <v>0</v>
      </c>
      <c r="AM229" s="199">
        <v>7937.88</v>
      </c>
      <c r="AN229" s="199">
        <v>3101.12</v>
      </c>
      <c r="AO229" s="199">
        <v>875.13</v>
      </c>
      <c r="AP229" s="199">
        <v>0</v>
      </c>
      <c r="AQ229" s="199">
        <v>310.11</v>
      </c>
      <c r="AR229" s="199">
        <v>0</v>
      </c>
      <c r="AS229" s="199">
        <v>38291.550000000003</v>
      </c>
      <c r="AT229"/>
      <c r="AU229"/>
      <c r="AV229" t="str">
        <f t="shared" si="62"/>
        <v>16048</v>
      </c>
      <c r="AW229" s="241">
        <f t="shared" si="63"/>
        <v>38291.550000000003</v>
      </c>
      <c r="AY229" s="167">
        <f t="shared" si="66"/>
        <v>0</v>
      </c>
      <c r="BA229" s="197">
        <v>222</v>
      </c>
      <c r="BB229" s="73" t="s">
        <v>332</v>
      </c>
      <c r="BC229" s="73" t="s">
        <v>1404</v>
      </c>
      <c r="BD229" s="56">
        <v>60268.989999999991</v>
      </c>
    </row>
    <row r="230" spans="1:56">
      <c r="A230" s="197">
        <v>223</v>
      </c>
      <c r="B230" s="73" t="s">
        <v>1520</v>
      </c>
      <c r="C230" s="73" t="s">
        <v>1521</v>
      </c>
      <c r="D230" s="168">
        <v>6548.75</v>
      </c>
      <c r="E230" s="170">
        <v>14092.55</v>
      </c>
      <c r="F230" s="171">
        <f t="shared" si="71"/>
        <v>20641.3</v>
      </c>
      <c r="G230" s="182">
        <v>13180.88</v>
      </c>
      <c r="H230" s="179">
        <v>7460.42</v>
      </c>
      <c r="I230" s="170">
        <v>22352.440000000002</v>
      </c>
      <c r="J230" s="171">
        <f t="shared" si="72"/>
        <v>29812.86</v>
      </c>
      <c r="K230" s="205">
        <v>16811.510000000002</v>
      </c>
      <c r="L230" s="171">
        <v>13001.349999999999</v>
      </c>
      <c r="M230" s="199">
        <v>21596.58</v>
      </c>
      <c r="N230" s="171">
        <f t="shared" si="67"/>
        <v>34597.93</v>
      </c>
      <c r="O230" s="205">
        <v>38189.11</v>
      </c>
      <c r="P230" s="241">
        <v>0</v>
      </c>
      <c r="Q230" s="199">
        <v>24177.399999999998</v>
      </c>
      <c r="R230" s="171">
        <f t="shared" si="68"/>
        <v>24177.399999999998</v>
      </c>
      <c r="S230" s="205">
        <v>0</v>
      </c>
      <c r="T230" s="241">
        <v>24177.399999999998</v>
      </c>
      <c r="U230" s="241">
        <v>24260.579999999998</v>
      </c>
      <c r="V230" s="171">
        <f t="shared" si="69"/>
        <v>48437.979999999996</v>
      </c>
      <c r="W230" s="56"/>
      <c r="X230" s="658">
        <f t="shared" si="64"/>
        <v>48437.979999999996</v>
      </c>
      <c r="Y230" s="659">
        <v>24324.579999999998</v>
      </c>
      <c r="Z230" s="171">
        <f t="shared" si="70"/>
        <v>72762.559999999998</v>
      </c>
      <c r="AA230" s="56"/>
      <c r="AB230" s="241">
        <f t="shared" si="65"/>
        <v>72762.559999999998</v>
      </c>
      <c r="AC230" s="241"/>
      <c r="AE230" s="531">
        <f t="shared" si="61"/>
        <v>0</v>
      </c>
      <c r="AG230" t="s">
        <v>1520</v>
      </c>
      <c r="AH230" t="s">
        <v>1743</v>
      </c>
      <c r="AI230" s="199">
        <v>20839.09</v>
      </c>
      <c r="AJ230" s="199">
        <v>12.26</v>
      </c>
      <c r="AK230" s="199">
        <v>47.49</v>
      </c>
      <c r="AL230" s="199">
        <v>0</v>
      </c>
      <c r="AM230" s="199">
        <v>1717.88</v>
      </c>
      <c r="AN230" s="199">
        <v>1147.26</v>
      </c>
      <c r="AO230" s="199">
        <v>560.6</v>
      </c>
      <c r="AP230" s="199">
        <v>0</v>
      </c>
      <c r="AQ230" s="199">
        <v>0</v>
      </c>
      <c r="AR230" s="199">
        <v>0</v>
      </c>
      <c r="AS230" s="199">
        <v>24324.579999999998</v>
      </c>
      <c r="AT230"/>
      <c r="AU230"/>
      <c r="AV230" t="str">
        <f t="shared" si="62"/>
        <v>05903</v>
      </c>
      <c r="AW230" s="241">
        <f t="shared" si="63"/>
        <v>24324.579999999998</v>
      </c>
      <c r="AY230" s="167">
        <f t="shared" si="66"/>
        <v>0</v>
      </c>
      <c r="BA230" s="197">
        <v>223</v>
      </c>
      <c r="BB230" s="73" t="s">
        <v>1520</v>
      </c>
      <c r="BC230" s="73" t="s">
        <v>1521</v>
      </c>
      <c r="BD230" s="56"/>
    </row>
    <row r="231" spans="1:56">
      <c r="A231" s="197">
        <v>224</v>
      </c>
      <c r="B231" s="73" t="s">
        <v>211</v>
      </c>
      <c r="C231" s="73" t="s">
        <v>1405</v>
      </c>
      <c r="D231" s="168">
        <v>17040.119999999992</v>
      </c>
      <c r="E231" s="170">
        <v>90435.91</v>
      </c>
      <c r="F231" s="171">
        <f t="shared" si="71"/>
        <v>107476.03</v>
      </c>
      <c r="G231" s="182">
        <v>63210.81</v>
      </c>
      <c r="H231" s="179">
        <v>44265.22</v>
      </c>
      <c r="I231" s="170">
        <v>126099.90000000001</v>
      </c>
      <c r="J231" s="171">
        <f t="shared" si="72"/>
        <v>170365.12</v>
      </c>
      <c r="K231" s="205">
        <v>128630.28000000001</v>
      </c>
      <c r="L231" s="171">
        <v>41734.839999999982</v>
      </c>
      <c r="M231" s="199">
        <v>132832.11000000002</v>
      </c>
      <c r="N231" s="171">
        <f t="shared" si="67"/>
        <v>174566.95</v>
      </c>
      <c r="O231" s="205">
        <v>136522.77000000002</v>
      </c>
      <c r="P231" s="241">
        <v>38044.179999999993</v>
      </c>
      <c r="Q231" s="199">
        <v>151856.5</v>
      </c>
      <c r="R231" s="171">
        <f t="shared" si="68"/>
        <v>189900.68</v>
      </c>
      <c r="S231" s="205">
        <v>127982.61</v>
      </c>
      <c r="T231" s="241">
        <v>61918.069999999992</v>
      </c>
      <c r="U231" s="241">
        <v>160381.10999999999</v>
      </c>
      <c r="V231" s="171">
        <f t="shared" si="69"/>
        <v>222299.18</v>
      </c>
      <c r="W231" s="56">
        <v>126573.15000000002</v>
      </c>
      <c r="X231" s="658">
        <f t="shared" si="64"/>
        <v>95726.02999999997</v>
      </c>
      <c r="Y231" s="659">
        <v>180726.52000000002</v>
      </c>
      <c r="Z231" s="171">
        <f t="shared" si="70"/>
        <v>276452.55</v>
      </c>
      <c r="AA231" s="56"/>
      <c r="AB231" s="241">
        <f t="shared" si="65"/>
        <v>276452.55</v>
      </c>
      <c r="AC231" s="241"/>
      <c r="AE231" s="531">
        <f t="shared" si="61"/>
        <v>0</v>
      </c>
      <c r="AG231" t="s">
        <v>211</v>
      </c>
      <c r="AH231" t="s">
        <v>1742</v>
      </c>
      <c r="AI231" s="199">
        <v>68259.710000000006</v>
      </c>
      <c r="AJ231" s="199">
        <v>2247.04</v>
      </c>
      <c r="AK231" s="199">
        <v>1024.72</v>
      </c>
      <c r="AL231" s="199">
        <v>0</v>
      </c>
      <c r="AM231" s="199">
        <v>58306.62</v>
      </c>
      <c r="AN231" s="199">
        <v>20764.04</v>
      </c>
      <c r="AO231" s="199">
        <v>16196.44</v>
      </c>
      <c r="AP231" s="199">
        <v>10365.17</v>
      </c>
      <c r="AQ231" s="199">
        <v>1755.35</v>
      </c>
      <c r="AR231" s="199">
        <v>1807.43</v>
      </c>
      <c r="AS231" s="199">
        <v>180726.52000000002</v>
      </c>
      <c r="AT231"/>
      <c r="AU231"/>
      <c r="AV231" t="str">
        <f t="shared" si="62"/>
        <v>05402</v>
      </c>
      <c r="AW231" s="241">
        <f t="shared" si="63"/>
        <v>180726.52000000002</v>
      </c>
      <c r="AY231" s="167">
        <f t="shared" si="66"/>
        <v>0</v>
      </c>
      <c r="BA231" s="197">
        <v>224</v>
      </c>
      <c r="BB231" s="73" t="s">
        <v>211</v>
      </c>
      <c r="BC231" s="73" t="s">
        <v>1405</v>
      </c>
      <c r="BD231" s="56">
        <v>126573.15000000002</v>
      </c>
    </row>
    <row r="232" spans="1:56">
      <c r="A232" s="197">
        <v>225</v>
      </c>
      <c r="B232" s="73" t="s">
        <v>311</v>
      </c>
      <c r="C232" s="202" t="s">
        <v>1406</v>
      </c>
      <c r="D232" s="168">
        <v>0</v>
      </c>
      <c r="E232" s="170">
        <v>17641.41</v>
      </c>
      <c r="F232" s="171">
        <f t="shared" si="71"/>
        <v>17641.41</v>
      </c>
      <c r="G232" s="182">
        <v>17853.939999999999</v>
      </c>
      <c r="H232" s="179">
        <v>0</v>
      </c>
      <c r="I232" s="170">
        <v>25238.93</v>
      </c>
      <c r="J232" s="171">
        <f t="shared" si="72"/>
        <v>25238.93</v>
      </c>
      <c r="K232" s="205">
        <v>25238.93</v>
      </c>
      <c r="L232" s="171">
        <v>0</v>
      </c>
      <c r="M232" s="199">
        <v>25675.96</v>
      </c>
      <c r="N232" s="171">
        <f t="shared" si="67"/>
        <v>25675.96</v>
      </c>
      <c r="O232" s="205">
        <v>25935.91</v>
      </c>
      <c r="P232" s="241">
        <v>0</v>
      </c>
      <c r="Q232" s="199">
        <v>29572.48</v>
      </c>
      <c r="R232" s="171">
        <f t="shared" si="68"/>
        <v>29572.48</v>
      </c>
      <c r="S232" s="205">
        <v>29572.48</v>
      </c>
      <c r="T232" s="241">
        <v>0</v>
      </c>
      <c r="U232" s="241">
        <v>28969.87</v>
      </c>
      <c r="V232" s="171">
        <f t="shared" si="69"/>
        <v>28969.87</v>
      </c>
      <c r="W232" s="56">
        <v>28971.460000000003</v>
      </c>
      <c r="X232" s="658">
        <f t="shared" si="64"/>
        <v>0</v>
      </c>
      <c r="Y232" s="659">
        <v>29438.179999999997</v>
      </c>
      <c r="Z232" s="171">
        <f t="shared" si="70"/>
        <v>29438.179999999997</v>
      </c>
      <c r="AA232" s="56"/>
      <c r="AB232" s="241">
        <f t="shared" si="65"/>
        <v>29438.179999999997</v>
      </c>
      <c r="AC232" s="241"/>
      <c r="AE232" s="531">
        <f t="shared" si="61"/>
        <v>0</v>
      </c>
      <c r="AG232" t="s">
        <v>311</v>
      </c>
      <c r="AH232" t="s">
        <v>1794</v>
      </c>
      <c r="AI232" s="199">
        <v>24420.26</v>
      </c>
      <c r="AJ232" s="199">
        <v>1033.9100000000001</v>
      </c>
      <c r="AK232" s="199">
        <v>0</v>
      </c>
      <c r="AL232" s="199">
        <v>0</v>
      </c>
      <c r="AM232" s="199">
        <v>0</v>
      </c>
      <c r="AN232" s="199">
        <v>2008.09</v>
      </c>
      <c r="AO232" s="199">
        <v>934.35</v>
      </c>
      <c r="AP232" s="199">
        <v>1041.57</v>
      </c>
      <c r="AQ232" s="199">
        <v>0</v>
      </c>
      <c r="AR232" s="199">
        <v>0</v>
      </c>
      <c r="AS232" s="199">
        <v>29438.179999999997</v>
      </c>
      <c r="AT232"/>
      <c r="AU232"/>
      <c r="AV232" t="str">
        <f t="shared" si="62"/>
        <v>14097</v>
      </c>
      <c r="AW232" s="241">
        <f t="shared" si="63"/>
        <v>29438.179999999997</v>
      </c>
      <c r="AY232" s="167">
        <f t="shared" si="66"/>
        <v>0</v>
      </c>
      <c r="BA232" s="197">
        <v>225</v>
      </c>
      <c r="BB232" s="73" t="s">
        <v>311</v>
      </c>
      <c r="BC232" s="202" t="s">
        <v>1406</v>
      </c>
      <c r="BD232" s="56">
        <v>28971.460000000003</v>
      </c>
    </row>
    <row r="233" spans="1:56">
      <c r="A233" s="197">
        <v>226</v>
      </c>
      <c r="B233" s="73" t="s">
        <v>279</v>
      </c>
      <c r="C233" s="73" t="s">
        <v>1407</v>
      </c>
      <c r="D233" s="168">
        <v>14332.380000000005</v>
      </c>
      <c r="E233" s="170">
        <v>209062.31999999998</v>
      </c>
      <c r="F233" s="171">
        <f t="shared" si="71"/>
        <v>223394.69999999998</v>
      </c>
      <c r="G233" s="182">
        <v>200417.46</v>
      </c>
      <c r="H233" s="179">
        <v>22977.239999999991</v>
      </c>
      <c r="I233" s="170">
        <v>311167.95999999996</v>
      </c>
      <c r="J233" s="171">
        <f t="shared" si="72"/>
        <v>334145.19999999995</v>
      </c>
      <c r="K233" s="205">
        <v>317765.91000000003</v>
      </c>
      <c r="L233" s="171">
        <v>16379.289999999921</v>
      </c>
      <c r="M233" s="199">
        <v>330666.53000000003</v>
      </c>
      <c r="N233" s="171">
        <f t="shared" si="67"/>
        <v>347045.81999999995</v>
      </c>
      <c r="O233" s="205">
        <v>338124.85</v>
      </c>
      <c r="P233" s="241">
        <v>8920.9699999999721</v>
      </c>
      <c r="Q233" s="199">
        <v>358400.6</v>
      </c>
      <c r="R233" s="171">
        <f t="shared" si="68"/>
        <v>367321.56999999995</v>
      </c>
      <c r="S233" s="205">
        <v>367656.59</v>
      </c>
      <c r="T233" s="241">
        <v>0</v>
      </c>
      <c r="U233" s="241">
        <v>363643.15</v>
      </c>
      <c r="V233" s="171">
        <f t="shared" si="69"/>
        <v>363643.15</v>
      </c>
      <c r="W233" s="56">
        <v>372157.18</v>
      </c>
      <c r="X233" s="658">
        <f t="shared" si="64"/>
        <v>0</v>
      </c>
      <c r="Y233" s="659">
        <v>384300.47000000003</v>
      </c>
      <c r="Z233" s="171">
        <f t="shared" si="70"/>
        <v>384300.47000000003</v>
      </c>
      <c r="AA233" s="56"/>
      <c r="AB233" s="241">
        <f t="shared" si="65"/>
        <v>384300.47000000003</v>
      </c>
      <c r="AC233" s="241"/>
      <c r="AE233" s="531">
        <f t="shared" si="61"/>
        <v>0</v>
      </c>
      <c r="AG233" t="s">
        <v>279</v>
      </c>
      <c r="AH233" t="s">
        <v>1778</v>
      </c>
      <c r="AI233" s="199">
        <v>236453.66</v>
      </c>
      <c r="AJ233" s="199">
        <v>23121.360000000001</v>
      </c>
      <c r="AK233" s="199">
        <v>4101.96</v>
      </c>
      <c r="AL233" s="199">
        <v>0</v>
      </c>
      <c r="AM233" s="199">
        <v>42150.239999999998</v>
      </c>
      <c r="AN233" s="199">
        <v>25469.49</v>
      </c>
      <c r="AO233" s="199">
        <v>14444.15</v>
      </c>
      <c r="AP233" s="199">
        <v>32230.53</v>
      </c>
      <c r="AQ233" s="199">
        <v>1406.12</v>
      </c>
      <c r="AR233" s="199">
        <v>4922.96</v>
      </c>
      <c r="AS233" s="199">
        <v>384300.47000000003</v>
      </c>
      <c r="AT233"/>
      <c r="AU233"/>
      <c r="AV233" t="str">
        <f t="shared" si="62"/>
        <v>13144</v>
      </c>
      <c r="AW233" s="241">
        <f t="shared" si="63"/>
        <v>384300.47000000003</v>
      </c>
      <c r="AY233" s="167">
        <f t="shared" si="66"/>
        <v>0</v>
      </c>
      <c r="BA233" s="197">
        <v>226</v>
      </c>
      <c r="BB233" s="73" t="s">
        <v>279</v>
      </c>
      <c r="BC233" s="73" t="s">
        <v>1407</v>
      </c>
      <c r="BD233" s="56">
        <v>372157.18</v>
      </c>
    </row>
    <row r="234" spans="1:56">
      <c r="A234" s="197">
        <v>227</v>
      </c>
      <c r="B234" s="73" t="s">
        <v>648</v>
      </c>
      <c r="C234" s="73" t="s">
        <v>1408</v>
      </c>
      <c r="D234" s="168">
        <v>1674.9500000000007</v>
      </c>
      <c r="E234" s="170">
        <v>56413.729999999996</v>
      </c>
      <c r="F234" s="171">
        <f t="shared" si="71"/>
        <v>58088.679999999993</v>
      </c>
      <c r="G234" s="182">
        <v>49413.32</v>
      </c>
      <c r="H234" s="179">
        <v>8675.3599999999933</v>
      </c>
      <c r="I234" s="170">
        <v>81492.94</v>
      </c>
      <c r="J234" s="171">
        <f t="shared" si="72"/>
        <v>90168.299999999988</v>
      </c>
      <c r="K234" s="205">
        <v>82966.819999999992</v>
      </c>
      <c r="L234" s="171">
        <v>7201.4799999999959</v>
      </c>
      <c r="M234" s="199">
        <v>82075.28</v>
      </c>
      <c r="N234" s="171">
        <f t="shared" si="67"/>
        <v>89276.76</v>
      </c>
      <c r="O234" s="205">
        <v>90466.61</v>
      </c>
      <c r="P234" s="241">
        <v>0</v>
      </c>
      <c r="Q234" s="199">
        <v>90243.96</v>
      </c>
      <c r="R234" s="171">
        <f t="shared" si="68"/>
        <v>90243.96</v>
      </c>
      <c r="S234" s="205">
        <v>99449.62999999999</v>
      </c>
      <c r="T234" s="241">
        <v>0</v>
      </c>
      <c r="U234" s="241">
        <v>95415.039999999994</v>
      </c>
      <c r="V234" s="171">
        <f t="shared" si="69"/>
        <v>95415.039999999994</v>
      </c>
      <c r="W234" s="56">
        <v>100495.22</v>
      </c>
      <c r="X234" s="658">
        <f t="shared" si="64"/>
        <v>0</v>
      </c>
      <c r="Y234" s="659">
        <v>104701.59000000001</v>
      </c>
      <c r="Z234" s="171">
        <f t="shared" si="70"/>
        <v>104701.59000000001</v>
      </c>
      <c r="AA234" s="56"/>
      <c r="AB234" s="241">
        <f t="shared" si="65"/>
        <v>104701.59000000001</v>
      </c>
      <c r="AC234" s="241"/>
      <c r="AE234" s="531">
        <f t="shared" si="61"/>
        <v>0</v>
      </c>
      <c r="AG234" t="s">
        <v>648</v>
      </c>
      <c r="AH234" t="s">
        <v>1967</v>
      </c>
      <c r="AI234" s="199">
        <v>76304.33</v>
      </c>
      <c r="AJ234" s="199">
        <v>6840.68</v>
      </c>
      <c r="AK234" s="199">
        <v>1156.45</v>
      </c>
      <c r="AL234" s="199">
        <v>0</v>
      </c>
      <c r="AM234" s="199">
        <v>15956.61</v>
      </c>
      <c r="AN234" s="199">
        <v>4019.24</v>
      </c>
      <c r="AO234" s="199">
        <v>0</v>
      </c>
      <c r="AP234" s="199">
        <v>0</v>
      </c>
      <c r="AQ234" s="199">
        <v>424.28</v>
      </c>
      <c r="AR234" s="199">
        <v>0</v>
      </c>
      <c r="AS234" s="199">
        <v>104701.59000000001</v>
      </c>
      <c r="AT234"/>
      <c r="AU234"/>
      <c r="AV234" t="str">
        <f t="shared" si="62"/>
        <v>34307</v>
      </c>
      <c r="AW234" s="241">
        <f t="shared" si="63"/>
        <v>104701.59000000001</v>
      </c>
      <c r="AY234" s="167">
        <f t="shared" si="66"/>
        <v>0</v>
      </c>
      <c r="BA234" s="197">
        <v>227</v>
      </c>
      <c r="BB234" s="73" t="s">
        <v>648</v>
      </c>
      <c r="BC234" s="73" t="s">
        <v>1408</v>
      </c>
      <c r="BD234" s="56">
        <v>100495.22</v>
      </c>
    </row>
    <row r="235" spans="1:56">
      <c r="A235" s="197">
        <v>228</v>
      </c>
      <c r="B235" s="73" t="s">
        <v>1410</v>
      </c>
      <c r="C235" s="73" t="s">
        <v>1411</v>
      </c>
      <c r="D235" s="168">
        <v>11361.8</v>
      </c>
      <c r="E235" s="170">
        <v>23693.480000000003</v>
      </c>
      <c r="F235" s="171">
        <f t="shared" si="71"/>
        <v>35055.279999999999</v>
      </c>
      <c r="G235" s="182">
        <v>45972.77</v>
      </c>
      <c r="H235" s="180">
        <v>0</v>
      </c>
      <c r="I235" s="170">
        <v>35336.960000000006</v>
      </c>
      <c r="J235" s="171">
        <f t="shared" si="72"/>
        <v>35336.960000000006</v>
      </c>
      <c r="K235" s="205">
        <v>32160.07</v>
      </c>
      <c r="L235" s="171">
        <v>3176.8900000000067</v>
      </c>
      <c r="M235" s="199">
        <v>33836.74</v>
      </c>
      <c r="N235" s="171">
        <f t="shared" si="67"/>
        <v>37013.630000000005</v>
      </c>
      <c r="O235" s="205"/>
      <c r="P235" s="241">
        <v>37013.630000000005</v>
      </c>
      <c r="Q235" s="199">
        <v>35693.909999999996</v>
      </c>
      <c r="R235" s="171">
        <f t="shared" si="68"/>
        <v>72707.540000000008</v>
      </c>
      <c r="S235" s="205">
        <v>0</v>
      </c>
      <c r="T235" s="241">
        <v>72707.540000000008</v>
      </c>
      <c r="U235" s="241">
        <v>38955.869999999995</v>
      </c>
      <c r="V235" s="171">
        <f t="shared" si="69"/>
        <v>111663.41</v>
      </c>
      <c r="W235" s="56"/>
      <c r="X235" s="658">
        <f t="shared" si="64"/>
        <v>111663.41</v>
      </c>
      <c r="Y235" s="659">
        <v>42137.579999999994</v>
      </c>
      <c r="Z235" s="171">
        <f t="shared" si="70"/>
        <v>153800.99</v>
      </c>
      <c r="AA235" s="56"/>
      <c r="AB235" s="241">
        <f t="shared" si="65"/>
        <v>153800.99</v>
      </c>
      <c r="AC235" s="241"/>
      <c r="AE235" s="531">
        <f t="shared" si="61"/>
        <v>0</v>
      </c>
      <c r="AG235" t="s">
        <v>1410</v>
      </c>
      <c r="AH235" t="s">
        <v>2019</v>
      </c>
      <c r="AI235" s="199">
        <v>30321.5</v>
      </c>
      <c r="AJ235" s="199">
        <v>0</v>
      </c>
      <c r="AK235" s="199">
        <v>0</v>
      </c>
      <c r="AL235" s="199">
        <v>0</v>
      </c>
      <c r="AM235" s="199">
        <v>2710.24</v>
      </c>
      <c r="AN235" s="199">
        <v>2915.39</v>
      </c>
      <c r="AO235" s="199">
        <v>1756.82</v>
      </c>
      <c r="AP235" s="199">
        <v>4433.63</v>
      </c>
      <c r="AQ235" s="199">
        <v>0</v>
      </c>
      <c r="AR235" s="199">
        <v>0</v>
      </c>
      <c r="AS235" s="199">
        <v>42137.579999999994</v>
      </c>
      <c r="AT235"/>
      <c r="AU235"/>
      <c r="AV235" t="str">
        <f t="shared" si="62"/>
        <v>17908</v>
      </c>
      <c r="AW235" s="241">
        <f t="shared" si="63"/>
        <v>42137.579999999994</v>
      </c>
      <c r="AY235" s="167">
        <f t="shared" si="66"/>
        <v>0</v>
      </c>
      <c r="BA235" s="197">
        <v>228</v>
      </c>
      <c r="BB235" s="73" t="s">
        <v>1410</v>
      </c>
      <c r="BC235" s="73" t="s">
        <v>1411</v>
      </c>
      <c r="BD235" s="56"/>
    </row>
    <row r="236" spans="1:56">
      <c r="A236" s="197">
        <v>229</v>
      </c>
      <c r="B236" s="73" t="s">
        <v>1516</v>
      </c>
      <c r="C236" s="73" t="s">
        <v>1544</v>
      </c>
      <c r="D236" s="168">
        <v>11819.37</v>
      </c>
      <c r="E236" s="170">
        <v>23951.08</v>
      </c>
      <c r="F236" s="171">
        <f t="shared" si="71"/>
        <v>35770.450000000004</v>
      </c>
      <c r="G236" s="182">
        <v>34427.06</v>
      </c>
      <c r="H236" s="180">
        <v>1343.3900000000067</v>
      </c>
      <c r="I236" s="170">
        <v>30327.27</v>
      </c>
      <c r="J236" s="171">
        <f t="shared" si="72"/>
        <v>31670.660000000007</v>
      </c>
      <c r="K236" s="205">
        <v>14153.65</v>
      </c>
      <c r="L236" s="171">
        <v>17517.010000000009</v>
      </c>
      <c r="M236" s="199">
        <v>26763.329999999998</v>
      </c>
      <c r="N236" s="171">
        <f t="shared" si="67"/>
        <v>44280.340000000011</v>
      </c>
      <c r="O236" s="205">
        <v>795</v>
      </c>
      <c r="P236" s="241">
        <v>43485.340000000011</v>
      </c>
      <c r="Q236" s="199">
        <v>29295.59</v>
      </c>
      <c r="R236" s="171">
        <f t="shared" si="68"/>
        <v>72780.930000000008</v>
      </c>
      <c r="S236" s="205">
        <v>3885</v>
      </c>
      <c r="T236" s="241">
        <v>68895.930000000008</v>
      </c>
      <c r="U236" s="241">
        <v>30116.37</v>
      </c>
      <c r="V236" s="171">
        <f t="shared" si="69"/>
        <v>99012.3</v>
      </c>
      <c r="W236" s="56">
        <v>35768.960000000006</v>
      </c>
      <c r="X236" s="658">
        <f t="shared" si="64"/>
        <v>63243.34</v>
      </c>
      <c r="Y236" s="659">
        <v>28585.710000000003</v>
      </c>
      <c r="Z236" s="171">
        <f t="shared" si="70"/>
        <v>91829.05</v>
      </c>
      <c r="AA236" s="56"/>
      <c r="AB236" s="241">
        <f t="shared" si="65"/>
        <v>91829.05</v>
      </c>
      <c r="AC236" s="241"/>
      <c r="AE236" s="531">
        <f t="shared" si="61"/>
        <v>0</v>
      </c>
      <c r="AG236" t="s">
        <v>1516</v>
      </c>
      <c r="AH236" t="s">
        <v>2020</v>
      </c>
      <c r="AI236" s="199">
        <v>23661.11</v>
      </c>
      <c r="AJ236" s="199">
        <v>345.22</v>
      </c>
      <c r="AK236" s="199">
        <v>0</v>
      </c>
      <c r="AL236" s="199">
        <v>0</v>
      </c>
      <c r="AM236" s="199">
        <v>2052.58</v>
      </c>
      <c r="AN236" s="199">
        <v>1238.0999999999999</v>
      </c>
      <c r="AO236" s="199">
        <v>798.88</v>
      </c>
      <c r="AP236" s="199">
        <v>489.82</v>
      </c>
      <c r="AQ236" s="199">
        <v>0</v>
      </c>
      <c r="AR236" s="199">
        <v>0</v>
      </c>
      <c r="AS236" s="199">
        <v>28585.710000000003</v>
      </c>
      <c r="AT236"/>
      <c r="AU236"/>
      <c r="AV236" t="str">
        <f t="shared" si="62"/>
        <v>17910</v>
      </c>
      <c r="AW236" s="241">
        <f t="shared" si="63"/>
        <v>28585.710000000003</v>
      </c>
      <c r="AY236" s="167">
        <f t="shared" si="66"/>
        <v>0</v>
      </c>
      <c r="BA236" s="197">
        <v>229</v>
      </c>
      <c r="BB236" s="73" t="s">
        <v>1516</v>
      </c>
      <c r="BC236" s="73" t="s">
        <v>1544</v>
      </c>
      <c r="BD236" s="56">
        <v>35768.960000000006</v>
      </c>
    </row>
    <row r="237" spans="1:56">
      <c r="A237" s="197">
        <v>230</v>
      </c>
      <c r="B237" s="73" t="s">
        <v>490</v>
      </c>
      <c r="C237" s="73" t="s">
        <v>1412</v>
      </c>
      <c r="D237" s="168">
        <v>0</v>
      </c>
      <c r="E237" s="170">
        <v>38537.83</v>
      </c>
      <c r="F237" s="171">
        <f t="shared" si="71"/>
        <v>38537.83</v>
      </c>
      <c r="G237" s="182">
        <v>47536.13</v>
      </c>
      <c r="H237" s="179">
        <v>0</v>
      </c>
      <c r="I237" s="170">
        <v>50240.2</v>
      </c>
      <c r="J237" s="171">
        <f t="shared" si="72"/>
        <v>50240.2</v>
      </c>
      <c r="K237" s="205">
        <v>43800.22</v>
      </c>
      <c r="L237" s="171">
        <v>6439.9799999999959</v>
      </c>
      <c r="M237" s="199">
        <v>49280.46</v>
      </c>
      <c r="N237" s="171">
        <f t="shared" si="67"/>
        <v>55720.439999999995</v>
      </c>
      <c r="O237" s="205">
        <v>23743.360000000001</v>
      </c>
      <c r="P237" s="241">
        <v>31977.079999999994</v>
      </c>
      <c r="Q237" s="199">
        <v>50024.97</v>
      </c>
      <c r="R237" s="171">
        <f t="shared" si="68"/>
        <v>82002.049999999988</v>
      </c>
      <c r="S237" s="205">
        <v>30128.84</v>
      </c>
      <c r="T237" s="241">
        <v>51873.209999999992</v>
      </c>
      <c r="U237" s="241">
        <v>56743.68</v>
      </c>
      <c r="V237" s="171">
        <f t="shared" si="69"/>
        <v>108616.88999999998</v>
      </c>
      <c r="W237" s="56">
        <v>44132.689999999995</v>
      </c>
      <c r="X237" s="658">
        <f t="shared" si="64"/>
        <v>64484.19999999999</v>
      </c>
      <c r="Y237" s="659">
        <v>59835.659999999996</v>
      </c>
      <c r="Z237" s="171">
        <f t="shared" si="70"/>
        <v>124319.85999999999</v>
      </c>
      <c r="AA237" s="56"/>
      <c r="AB237" s="241">
        <f t="shared" si="65"/>
        <v>124319.85999999999</v>
      </c>
      <c r="AC237" s="241"/>
      <c r="AE237" s="531">
        <f t="shared" si="61"/>
        <v>0</v>
      </c>
      <c r="AG237" t="s">
        <v>490</v>
      </c>
      <c r="AH237" t="s">
        <v>1886</v>
      </c>
      <c r="AI237" s="199">
        <v>40206.199999999997</v>
      </c>
      <c r="AJ237" s="199">
        <v>2988.4</v>
      </c>
      <c r="AK237" s="199">
        <v>0</v>
      </c>
      <c r="AL237" s="199">
        <v>0</v>
      </c>
      <c r="AM237" s="199">
        <v>6735.41</v>
      </c>
      <c r="AN237" s="199">
        <v>3153.82</v>
      </c>
      <c r="AO237" s="199">
        <v>2243.9699999999998</v>
      </c>
      <c r="AP237" s="199">
        <v>1426.03</v>
      </c>
      <c r="AQ237" s="199">
        <v>200.66</v>
      </c>
      <c r="AR237" s="199">
        <v>2881.17</v>
      </c>
      <c r="AS237" s="199">
        <v>59835.659999999996</v>
      </c>
      <c r="AT237"/>
      <c r="AU237"/>
      <c r="AV237" t="str">
        <f t="shared" si="62"/>
        <v>25116</v>
      </c>
      <c r="AW237" s="241">
        <f t="shared" si="63"/>
        <v>59835.659999999996</v>
      </c>
      <c r="AY237" s="167">
        <f t="shared" si="66"/>
        <v>0</v>
      </c>
      <c r="BA237" s="197">
        <v>230</v>
      </c>
      <c r="BB237" s="73" t="s">
        <v>490</v>
      </c>
      <c r="BC237" s="73" t="s">
        <v>1412</v>
      </c>
      <c r="BD237" s="56">
        <v>44132.689999999995</v>
      </c>
    </row>
    <row r="238" spans="1:56">
      <c r="A238" s="197">
        <v>231</v>
      </c>
      <c r="B238" s="73" t="s">
        <v>444</v>
      </c>
      <c r="C238" s="73" t="s">
        <v>1413</v>
      </c>
      <c r="D238" s="168">
        <v>4775.4500000000007</v>
      </c>
      <c r="E238" s="170">
        <v>39254.82</v>
      </c>
      <c r="F238" s="171">
        <f t="shared" si="71"/>
        <v>44030.270000000004</v>
      </c>
      <c r="G238" s="182">
        <v>47572.5</v>
      </c>
      <c r="H238" s="179">
        <v>0</v>
      </c>
      <c r="I238" s="170">
        <v>60142.759999999995</v>
      </c>
      <c r="J238" s="171">
        <f t="shared" si="72"/>
        <v>60142.759999999995</v>
      </c>
      <c r="K238" s="205">
        <v>48388.97</v>
      </c>
      <c r="L238" s="171">
        <v>11753.789999999994</v>
      </c>
      <c r="M238" s="199">
        <v>62017.55</v>
      </c>
      <c r="N238" s="171">
        <f t="shared" si="67"/>
        <v>73771.34</v>
      </c>
      <c r="O238" s="205">
        <v>73771.34</v>
      </c>
      <c r="P238" s="241">
        <v>0</v>
      </c>
      <c r="Q238" s="199">
        <v>70788.12000000001</v>
      </c>
      <c r="R238" s="171">
        <f t="shared" si="68"/>
        <v>70788.12000000001</v>
      </c>
      <c r="S238" s="205">
        <v>70788.13</v>
      </c>
      <c r="T238" s="241">
        <v>0</v>
      </c>
      <c r="U238" s="241">
        <v>66277.47</v>
      </c>
      <c r="V238" s="171">
        <f t="shared" si="69"/>
        <v>66277.47</v>
      </c>
      <c r="W238" s="56">
        <v>66277.48</v>
      </c>
      <c r="X238" s="658">
        <f t="shared" si="64"/>
        <v>0</v>
      </c>
      <c r="Y238" s="659">
        <v>70160.61</v>
      </c>
      <c r="Z238" s="171">
        <f t="shared" si="70"/>
        <v>70160.61</v>
      </c>
      <c r="AA238" s="56"/>
      <c r="AB238" s="241">
        <f t="shared" si="65"/>
        <v>70160.61</v>
      </c>
      <c r="AC238" s="241"/>
      <c r="AE238" s="531">
        <f t="shared" si="61"/>
        <v>0</v>
      </c>
      <c r="AG238" t="s">
        <v>444</v>
      </c>
      <c r="AH238" t="s">
        <v>1864</v>
      </c>
      <c r="AI238" s="199">
        <v>52976.18</v>
      </c>
      <c r="AJ238" s="199">
        <v>2619.25</v>
      </c>
      <c r="AK238" s="199">
        <v>1167.17</v>
      </c>
      <c r="AL238" s="199">
        <v>0</v>
      </c>
      <c r="AM238" s="199">
        <v>7779.65</v>
      </c>
      <c r="AN238" s="199">
        <v>3296.27</v>
      </c>
      <c r="AO238" s="199">
        <v>0</v>
      </c>
      <c r="AP238" s="199">
        <v>131.72999999999999</v>
      </c>
      <c r="AQ238" s="199">
        <v>306.35000000000002</v>
      </c>
      <c r="AR238" s="199">
        <v>1884.01</v>
      </c>
      <c r="AS238" s="199">
        <v>70160.61</v>
      </c>
      <c r="AT238"/>
      <c r="AU238"/>
      <c r="AV238" t="str">
        <f t="shared" si="62"/>
        <v>22009</v>
      </c>
      <c r="AW238" s="241">
        <f t="shared" si="63"/>
        <v>70160.61</v>
      </c>
      <c r="AY238" s="167">
        <f t="shared" si="66"/>
        <v>0</v>
      </c>
      <c r="BA238" s="197">
        <v>231</v>
      </c>
      <c r="BB238" s="73" t="s">
        <v>444</v>
      </c>
      <c r="BC238" s="73" t="s">
        <v>1413</v>
      </c>
      <c r="BD238" s="56">
        <v>66277.48</v>
      </c>
    </row>
    <row r="239" spans="1:56">
      <c r="A239" s="197">
        <v>232</v>
      </c>
      <c r="B239" s="73" t="s">
        <v>350</v>
      </c>
      <c r="C239" s="73" t="s">
        <v>1414</v>
      </c>
      <c r="D239" s="168">
        <v>21655.809999999939</v>
      </c>
      <c r="E239" s="170">
        <v>1194624.03</v>
      </c>
      <c r="F239" s="171">
        <f t="shared" si="71"/>
        <v>1216279.8399999999</v>
      </c>
      <c r="G239" s="182">
        <v>1177144.08</v>
      </c>
      <c r="H239" s="179">
        <v>39135.759999999776</v>
      </c>
      <c r="I239" s="170">
        <v>1707149.4400000002</v>
      </c>
      <c r="J239" s="171">
        <f t="shared" si="72"/>
        <v>1746285.2</v>
      </c>
      <c r="K239" s="205">
        <v>1804046.2899999998</v>
      </c>
      <c r="L239" s="171">
        <v>0</v>
      </c>
      <c r="M239" s="199">
        <v>1663089.19</v>
      </c>
      <c r="N239" s="171">
        <f t="shared" si="67"/>
        <v>1663089.19</v>
      </c>
      <c r="O239" s="205">
        <v>1941635.92</v>
      </c>
      <c r="P239" s="241">
        <v>0</v>
      </c>
      <c r="Q239" s="199">
        <v>1803769.42</v>
      </c>
      <c r="R239" s="171">
        <f t="shared" si="68"/>
        <v>1803769.42</v>
      </c>
      <c r="S239" s="205">
        <v>2034156.0699999998</v>
      </c>
      <c r="T239" s="241">
        <v>0</v>
      </c>
      <c r="U239" s="241">
        <v>1837865.79</v>
      </c>
      <c r="V239" s="171">
        <f t="shared" si="69"/>
        <v>1837865.79</v>
      </c>
      <c r="W239" s="56">
        <v>2054090.2799999986</v>
      </c>
      <c r="X239" s="658">
        <f t="shared" si="64"/>
        <v>0</v>
      </c>
      <c r="Y239" s="659">
        <v>1937771.52</v>
      </c>
      <c r="Z239" s="171">
        <f t="shared" si="70"/>
        <v>1937771.52</v>
      </c>
      <c r="AA239" s="56"/>
      <c r="AB239" s="241">
        <f t="shared" si="65"/>
        <v>1937771.52</v>
      </c>
      <c r="AC239" s="241"/>
      <c r="AE239" s="531">
        <f t="shared" si="61"/>
        <v>0</v>
      </c>
      <c r="AG239" t="s">
        <v>350</v>
      </c>
      <c r="AH239" t="s">
        <v>1814</v>
      </c>
      <c r="AI239" s="199">
        <v>1238091.92</v>
      </c>
      <c r="AJ239" s="199">
        <v>143443.34</v>
      </c>
      <c r="AK239" s="199">
        <v>22511.58</v>
      </c>
      <c r="AL239" s="199">
        <v>0</v>
      </c>
      <c r="AM239" s="199">
        <v>259477.37</v>
      </c>
      <c r="AN239" s="199">
        <v>88627.5</v>
      </c>
      <c r="AO239" s="199">
        <v>37829.58</v>
      </c>
      <c r="AP239" s="199">
        <v>105904.76</v>
      </c>
      <c r="AQ239" s="199">
        <v>7356.26</v>
      </c>
      <c r="AR239" s="199">
        <v>34529.21</v>
      </c>
      <c r="AS239" s="199">
        <v>1937771.52</v>
      </c>
      <c r="AT239"/>
      <c r="AU239"/>
      <c r="AV239" t="str">
        <f t="shared" si="62"/>
        <v>17403</v>
      </c>
      <c r="AW239" s="241">
        <f t="shared" si="63"/>
        <v>1937771.52</v>
      </c>
      <c r="AY239" s="167">
        <f t="shared" si="66"/>
        <v>0</v>
      </c>
      <c r="BA239" s="197">
        <v>232</v>
      </c>
      <c r="BB239" s="73" t="s">
        <v>350</v>
      </c>
      <c r="BC239" s="73" t="s">
        <v>1414</v>
      </c>
      <c r="BD239" s="56">
        <v>2054090.2799999986</v>
      </c>
    </row>
    <row r="240" spans="1:56">
      <c r="A240" s="197">
        <v>233</v>
      </c>
      <c r="B240" s="73" t="s">
        <v>265</v>
      </c>
      <c r="C240" s="73" t="s">
        <v>1415</v>
      </c>
      <c r="D240" s="168">
        <v>3385.1900000000014</v>
      </c>
      <c r="E240" s="170">
        <v>24168.840000000004</v>
      </c>
      <c r="F240" s="171">
        <f t="shared" si="71"/>
        <v>27554.030000000006</v>
      </c>
      <c r="G240" s="182">
        <v>13665.9</v>
      </c>
      <c r="H240" s="179">
        <v>13888.130000000006</v>
      </c>
      <c r="I240" s="170">
        <v>36300.76</v>
      </c>
      <c r="J240" s="171">
        <f t="shared" si="72"/>
        <v>50188.890000000007</v>
      </c>
      <c r="K240" s="205">
        <v>3740.8</v>
      </c>
      <c r="L240" s="171">
        <v>46448.090000000004</v>
      </c>
      <c r="M240" s="199">
        <v>35892.94</v>
      </c>
      <c r="N240" s="171">
        <f t="shared" si="67"/>
        <v>82341.03</v>
      </c>
      <c r="O240" s="205">
        <v>5982.88</v>
      </c>
      <c r="P240" s="241">
        <v>76358.149999999994</v>
      </c>
      <c r="Q240" s="199">
        <v>41511.72</v>
      </c>
      <c r="R240" s="171">
        <f t="shared" si="68"/>
        <v>117869.87</v>
      </c>
      <c r="S240" s="205">
        <v>26036.460000000003</v>
      </c>
      <c r="T240" s="241">
        <v>91833.409999999989</v>
      </c>
      <c r="U240" s="241">
        <v>44412.439999999995</v>
      </c>
      <c r="V240" s="171">
        <f t="shared" si="69"/>
        <v>136245.84999999998</v>
      </c>
      <c r="W240" s="56">
        <v>35216.11</v>
      </c>
      <c r="X240" s="658">
        <f t="shared" si="64"/>
        <v>101029.73999999998</v>
      </c>
      <c r="Y240" s="659">
        <v>46357.87</v>
      </c>
      <c r="Z240" s="171">
        <f t="shared" si="70"/>
        <v>147387.60999999999</v>
      </c>
      <c r="AA240" s="56"/>
      <c r="AB240" s="241">
        <f t="shared" si="65"/>
        <v>147387.60999999999</v>
      </c>
      <c r="AC240" s="241"/>
      <c r="AE240" s="531">
        <f t="shared" si="61"/>
        <v>0</v>
      </c>
      <c r="AG240" t="s">
        <v>265</v>
      </c>
      <c r="AH240" t="s">
        <v>1771</v>
      </c>
      <c r="AI240" s="199">
        <v>33488.79</v>
      </c>
      <c r="AJ240" s="199">
        <v>770.43</v>
      </c>
      <c r="AK240" s="199">
        <v>0</v>
      </c>
      <c r="AL240" s="199">
        <v>0</v>
      </c>
      <c r="AM240" s="199">
        <v>7934.01</v>
      </c>
      <c r="AN240" s="199">
        <v>2404.1</v>
      </c>
      <c r="AO240" s="199">
        <v>1530.03</v>
      </c>
      <c r="AP240" s="199">
        <v>0</v>
      </c>
      <c r="AQ240" s="199">
        <v>230.51</v>
      </c>
      <c r="AR240" s="199">
        <v>0</v>
      </c>
      <c r="AS240" s="199">
        <v>46357.87</v>
      </c>
      <c r="AT240"/>
      <c r="AU240"/>
      <c r="AV240" t="str">
        <f t="shared" si="62"/>
        <v>10309</v>
      </c>
      <c r="AW240" s="241">
        <f t="shared" si="63"/>
        <v>46357.87</v>
      </c>
      <c r="AY240" s="167">
        <f t="shared" si="66"/>
        <v>0</v>
      </c>
      <c r="BA240" s="197">
        <v>233</v>
      </c>
      <c r="BB240" s="73" t="s">
        <v>265</v>
      </c>
      <c r="BC240" s="73" t="s">
        <v>1415</v>
      </c>
      <c r="BD240" s="56">
        <v>35216.11</v>
      </c>
    </row>
    <row r="241" spans="1:56">
      <c r="A241" s="197">
        <v>234</v>
      </c>
      <c r="B241" s="73" t="s">
        <v>187</v>
      </c>
      <c r="C241" s="73" t="s">
        <v>1416</v>
      </c>
      <c r="D241" s="168">
        <v>72688.38</v>
      </c>
      <c r="E241" s="170">
        <v>823422.11</v>
      </c>
      <c r="F241" s="171">
        <f t="shared" si="71"/>
        <v>896110.49</v>
      </c>
      <c r="G241" s="182">
        <v>643085.67000000004</v>
      </c>
      <c r="H241" s="179">
        <v>253024.81999999995</v>
      </c>
      <c r="I241" s="170">
        <v>1161529.51</v>
      </c>
      <c r="J241" s="171">
        <f t="shared" si="72"/>
        <v>1414554.33</v>
      </c>
      <c r="K241" s="205">
        <v>1145743.9300000002</v>
      </c>
      <c r="L241" s="171">
        <v>268810.39999999991</v>
      </c>
      <c r="M241" s="199">
        <v>1160441.54</v>
      </c>
      <c r="N241" s="171">
        <f t="shared" si="67"/>
        <v>1429251.94</v>
      </c>
      <c r="O241" s="205">
        <v>1411096.7</v>
      </c>
      <c r="P241" s="241">
        <v>18155.239999999991</v>
      </c>
      <c r="Q241" s="199">
        <v>1299037.71</v>
      </c>
      <c r="R241" s="171">
        <f t="shared" si="68"/>
        <v>1317192.95</v>
      </c>
      <c r="S241" s="205">
        <v>1045495.7000000002</v>
      </c>
      <c r="T241" s="241">
        <v>271697.24999999977</v>
      </c>
      <c r="U241" s="241">
        <v>1323639.52</v>
      </c>
      <c r="V241" s="171">
        <f t="shared" si="69"/>
        <v>1595336.7699999998</v>
      </c>
      <c r="W241" s="56">
        <v>1569051.800000001</v>
      </c>
      <c r="X241" s="658">
        <f t="shared" si="64"/>
        <v>26284.969999998808</v>
      </c>
      <c r="Y241" s="659">
        <v>1375316.76</v>
      </c>
      <c r="Z241" s="171">
        <f t="shared" si="70"/>
        <v>1401601.7299999988</v>
      </c>
      <c r="AA241" s="56"/>
      <c r="AB241" s="241">
        <f t="shared" si="65"/>
        <v>1401601.7299999988</v>
      </c>
      <c r="AC241" s="241"/>
      <c r="AE241" s="531">
        <f t="shared" si="61"/>
        <v>0</v>
      </c>
      <c r="AG241" t="s">
        <v>187</v>
      </c>
      <c r="AH241" t="s">
        <v>1730</v>
      </c>
      <c r="AI241" s="199">
        <v>972527.86</v>
      </c>
      <c r="AJ241" s="199">
        <v>72638.91</v>
      </c>
      <c r="AK241" s="199">
        <v>12157.29</v>
      </c>
      <c r="AL241" s="199">
        <v>0</v>
      </c>
      <c r="AM241" s="199">
        <v>220377.51</v>
      </c>
      <c r="AN241" s="199">
        <v>49385.82</v>
      </c>
      <c r="AO241" s="199">
        <v>19754.63</v>
      </c>
      <c r="AP241" s="199">
        <v>22364.69</v>
      </c>
      <c r="AQ241" s="199">
        <v>6110.05</v>
      </c>
      <c r="AR241" s="199">
        <v>0</v>
      </c>
      <c r="AS241" s="199">
        <v>1375316.76</v>
      </c>
      <c r="AT241"/>
      <c r="AU241"/>
      <c r="AV241" t="str">
        <f t="shared" si="62"/>
        <v>03400</v>
      </c>
      <c r="AW241" s="241">
        <f t="shared" si="63"/>
        <v>1375316.76</v>
      </c>
      <c r="AY241" s="167">
        <f t="shared" si="66"/>
        <v>0</v>
      </c>
      <c r="BA241" s="197">
        <v>234</v>
      </c>
      <c r="BB241" s="73" t="s">
        <v>187</v>
      </c>
      <c r="BC241" s="73" t="s">
        <v>1416</v>
      </c>
      <c r="BD241" s="56">
        <v>1569051.800000001</v>
      </c>
    </row>
    <row r="242" spans="1:56">
      <c r="A242" s="197">
        <v>235</v>
      </c>
      <c r="B242" s="73" t="s">
        <v>227</v>
      </c>
      <c r="C242" s="73" t="s">
        <v>1417</v>
      </c>
      <c r="D242" s="168">
        <v>4099.410000000018</v>
      </c>
      <c r="E242" s="170">
        <v>206428.79999999999</v>
      </c>
      <c r="F242" s="171">
        <f t="shared" si="71"/>
        <v>210528.21000000002</v>
      </c>
      <c r="G242" s="182">
        <v>196572.95</v>
      </c>
      <c r="H242" s="179">
        <v>13955.260000000009</v>
      </c>
      <c r="I242" s="170">
        <v>302772.87</v>
      </c>
      <c r="J242" s="171">
        <f t="shared" si="72"/>
        <v>316728.13</v>
      </c>
      <c r="K242" s="205">
        <v>322298.9499999999</v>
      </c>
      <c r="L242" s="171">
        <v>0</v>
      </c>
      <c r="M242" s="199">
        <v>332242.14</v>
      </c>
      <c r="N242" s="171">
        <f t="shared" si="67"/>
        <v>332242.14</v>
      </c>
      <c r="O242" s="205">
        <v>320570.21999999997</v>
      </c>
      <c r="P242" s="241">
        <v>11671.920000000042</v>
      </c>
      <c r="Q242" s="199">
        <v>385007.83</v>
      </c>
      <c r="R242" s="171">
        <f t="shared" si="68"/>
        <v>396679.75000000006</v>
      </c>
      <c r="S242" s="205">
        <v>366385.5799999999</v>
      </c>
      <c r="T242" s="241">
        <v>30294.170000000158</v>
      </c>
      <c r="U242" s="241">
        <v>406704.52</v>
      </c>
      <c r="V242" s="171">
        <f t="shared" si="69"/>
        <v>436998.69000000018</v>
      </c>
      <c r="W242" s="56">
        <v>413506.25</v>
      </c>
      <c r="X242" s="658">
        <f t="shared" si="64"/>
        <v>23492.440000000177</v>
      </c>
      <c r="Y242" s="659">
        <v>436019.00999999995</v>
      </c>
      <c r="Z242" s="171">
        <f t="shared" si="70"/>
        <v>459511.45000000013</v>
      </c>
      <c r="AA242" s="56"/>
      <c r="AB242" s="241">
        <f t="shared" si="65"/>
        <v>459511.45000000013</v>
      </c>
      <c r="AC242" s="241"/>
      <c r="AE242" s="531">
        <f t="shared" si="61"/>
        <v>0</v>
      </c>
      <c r="AG242" t="s">
        <v>227</v>
      </c>
      <c r="AH242" t="s">
        <v>1752</v>
      </c>
      <c r="AI242" s="199">
        <v>335837.43</v>
      </c>
      <c r="AJ242" s="199">
        <v>19634.52</v>
      </c>
      <c r="AK242" s="199">
        <v>6559.46</v>
      </c>
      <c r="AL242" s="199">
        <v>0</v>
      </c>
      <c r="AM242" s="199">
        <v>55828.97</v>
      </c>
      <c r="AN242" s="199">
        <v>10644.49</v>
      </c>
      <c r="AO242" s="199">
        <v>0</v>
      </c>
      <c r="AP242" s="199">
        <v>5572.29</v>
      </c>
      <c r="AQ242" s="199">
        <v>1941.85</v>
      </c>
      <c r="AR242" s="199">
        <v>0</v>
      </c>
      <c r="AS242" s="199">
        <v>436019.00999999995</v>
      </c>
      <c r="AT242"/>
      <c r="AU242"/>
      <c r="AV242" t="str">
        <f t="shared" si="62"/>
        <v>06122</v>
      </c>
      <c r="AW242" s="241">
        <f t="shared" si="63"/>
        <v>436019.00999999995</v>
      </c>
      <c r="AY242" s="167">
        <f t="shared" si="66"/>
        <v>0</v>
      </c>
      <c r="BA242" s="197">
        <v>235</v>
      </c>
      <c r="BB242" s="73" t="s">
        <v>227</v>
      </c>
      <c r="BC242" s="73" t="s">
        <v>1417</v>
      </c>
      <c r="BD242" s="56">
        <v>413506.25</v>
      </c>
    </row>
    <row r="243" spans="1:56">
      <c r="A243" s="197">
        <v>236</v>
      </c>
      <c r="B243" s="73" t="s">
        <v>171</v>
      </c>
      <c r="C243" s="73" t="s">
        <v>1418</v>
      </c>
      <c r="D243" s="168">
        <v>0</v>
      </c>
      <c r="E243" s="170">
        <v>25733.16</v>
      </c>
      <c r="F243" s="171">
        <f t="shared" si="71"/>
        <v>25733.16</v>
      </c>
      <c r="G243" s="182">
        <v>6700</v>
      </c>
      <c r="H243" s="179">
        <v>19033.16</v>
      </c>
      <c r="I243" s="170">
        <v>37566.839999999997</v>
      </c>
      <c r="J243" s="171">
        <f t="shared" si="72"/>
        <v>56600</v>
      </c>
      <c r="K243" s="205">
        <v>40279.699999999997</v>
      </c>
      <c r="L243" s="171">
        <v>16320.300000000003</v>
      </c>
      <c r="M243" s="199">
        <v>36936.839999999997</v>
      </c>
      <c r="N243" s="171">
        <f t="shared" si="67"/>
        <v>53257.14</v>
      </c>
      <c r="O243" s="205">
        <v>40666.400000000001</v>
      </c>
      <c r="P243" s="241">
        <v>12590.739999999998</v>
      </c>
      <c r="Q243" s="199">
        <v>42631.82</v>
      </c>
      <c r="R243" s="171">
        <f t="shared" si="68"/>
        <v>55222.559999999998</v>
      </c>
      <c r="S243" s="205">
        <v>42963.839999999997</v>
      </c>
      <c r="T243" s="241">
        <v>12258.720000000001</v>
      </c>
      <c r="U243" s="241">
        <v>43568.930000000008</v>
      </c>
      <c r="V243" s="171">
        <f t="shared" si="69"/>
        <v>55827.650000000009</v>
      </c>
      <c r="W243" s="56">
        <v>42082.52</v>
      </c>
      <c r="X243" s="658">
        <f t="shared" si="64"/>
        <v>13745.130000000012</v>
      </c>
      <c r="Y243" s="659">
        <v>47617.200000000012</v>
      </c>
      <c r="Z243" s="171">
        <f t="shared" si="70"/>
        <v>61362.330000000024</v>
      </c>
      <c r="AA243" s="56"/>
      <c r="AB243" s="241">
        <f t="shared" si="65"/>
        <v>61362.330000000024</v>
      </c>
      <c r="AC243" s="241"/>
      <c r="AE243" s="531">
        <f t="shared" si="61"/>
        <v>0</v>
      </c>
      <c r="AG243" t="s">
        <v>171</v>
      </c>
      <c r="AH243" t="s">
        <v>1722</v>
      </c>
      <c r="AI243" s="199">
        <v>34308.28</v>
      </c>
      <c r="AJ243" s="199">
        <v>2943.85</v>
      </c>
      <c r="AK243" s="199">
        <v>861.81</v>
      </c>
      <c r="AL243" s="199">
        <v>0</v>
      </c>
      <c r="AM243" s="199">
        <v>5187.84</v>
      </c>
      <c r="AN243" s="199">
        <v>1972.12</v>
      </c>
      <c r="AO243" s="199">
        <v>794.91</v>
      </c>
      <c r="AP243" s="199">
        <v>0</v>
      </c>
      <c r="AQ243" s="199">
        <v>175.23</v>
      </c>
      <c r="AR243" s="199">
        <v>1373.16</v>
      </c>
      <c r="AS243" s="199">
        <v>47617.200000000012</v>
      </c>
      <c r="AT243"/>
      <c r="AU243"/>
      <c r="AV243" t="str">
        <f t="shared" si="62"/>
        <v>01160</v>
      </c>
      <c r="AW243" s="241">
        <f t="shared" si="63"/>
        <v>47617.200000000012</v>
      </c>
      <c r="AY243" s="167">
        <f t="shared" si="66"/>
        <v>0</v>
      </c>
      <c r="BA243" s="197">
        <v>236</v>
      </c>
      <c r="BB243" s="73" t="s">
        <v>171</v>
      </c>
      <c r="BC243" s="73" t="s">
        <v>1418</v>
      </c>
      <c r="BD243" s="56">
        <v>42082.52</v>
      </c>
    </row>
    <row r="244" spans="1:56">
      <c r="A244" s="197">
        <v>237</v>
      </c>
      <c r="B244" s="73" t="s">
        <v>616</v>
      </c>
      <c r="C244" s="73" t="s">
        <v>1419</v>
      </c>
      <c r="D244" s="168">
        <v>104.08000000000902</v>
      </c>
      <c r="E244" s="170">
        <v>83217.790000000008</v>
      </c>
      <c r="F244" s="171">
        <f t="shared" si="71"/>
        <v>83321.870000000024</v>
      </c>
      <c r="G244" s="182">
        <v>83380.490000000005</v>
      </c>
      <c r="H244" s="179">
        <v>0</v>
      </c>
      <c r="I244" s="170">
        <v>113194.91999999998</v>
      </c>
      <c r="J244" s="171">
        <f t="shared" si="72"/>
        <v>113194.91999999998</v>
      </c>
      <c r="K244" s="205">
        <v>130454.57</v>
      </c>
      <c r="L244" s="171">
        <v>0</v>
      </c>
      <c r="M244" s="199">
        <v>121861.47</v>
      </c>
      <c r="N244" s="171">
        <f t="shared" si="67"/>
        <v>121861.47</v>
      </c>
      <c r="O244" s="205">
        <v>124584.57999999999</v>
      </c>
      <c r="P244" s="241">
        <v>0</v>
      </c>
      <c r="Q244" s="199">
        <v>140431.66999999998</v>
      </c>
      <c r="R244" s="171">
        <f t="shared" si="68"/>
        <v>140431.66999999998</v>
      </c>
      <c r="S244" s="205">
        <v>131566.57999999999</v>
      </c>
      <c r="T244" s="241">
        <v>8865.0899999999965</v>
      </c>
      <c r="U244" s="241">
        <v>145480.27000000002</v>
      </c>
      <c r="V244" s="171">
        <f t="shared" si="69"/>
        <v>154345.36000000002</v>
      </c>
      <c r="W244" s="56">
        <v>139043.09999999998</v>
      </c>
      <c r="X244" s="658">
        <f t="shared" si="64"/>
        <v>15302.260000000038</v>
      </c>
      <c r="Y244" s="659">
        <v>146036.19999999998</v>
      </c>
      <c r="Z244" s="171">
        <f t="shared" si="70"/>
        <v>161338.46000000002</v>
      </c>
      <c r="AA244" s="56"/>
      <c r="AB244" s="241">
        <f t="shared" si="65"/>
        <v>161338.46000000002</v>
      </c>
      <c r="AC244" s="241"/>
      <c r="AE244" s="531">
        <f t="shared" si="61"/>
        <v>0</v>
      </c>
      <c r="AG244" t="s">
        <v>616</v>
      </c>
      <c r="AH244" t="s">
        <v>1950</v>
      </c>
      <c r="AI244" s="199">
        <v>102355.88</v>
      </c>
      <c r="AJ244" s="199">
        <v>8577.65</v>
      </c>
      <c r="AK244" s="199">
        <v>4249</v>
      </c>
      <c r="AL244" s="199">
        <v>0</v>
      </c>
      <c r="AM244" s="199">
        <v>18509.5</v>
      </c>
      <c r="AN244" s="199">
        <v>7641.77</v>
      </c>
      <c r="AO244" s="199">
        <v>3723.62</v>
      </c>
      <c r="AP244" s="199">
        <v>333.92</v>
      </c>
      <c r="AQ244" s="199">
        <v>644.86</v>
      </c>
      <c r="AR244" s="199">
        <v>0</v>
      </c>
      <c r="AS244" s="199">
        <v>146036.19999999998</v>
      </c>
      <c r="AT244"/>
      <c r="AU244"/>
      <c r="AV244" t="str">
        <f t="shared" si="62"/>
        <v>32416</v>
      </c>
      <c r="AW244" s="241">
        <f t="shared" si="63"/>
        <v>146036.19999999998</v>
      </c>
      <c r="AY244" s="167">
        <f t="shared" si="66"/>
        <v>0</v>
      </c>
      <c r="BA244" s="197">
        <v>237</v>
      </c>
      <c r="BB244" s="73" t="s">
        <v>616</v>
      </c>
      <c r="BC244" s="73" t="s">
        <v>1419</v>
      </c>
      <c r="BD244" s="56">
        <v>139043.09999999998</v>
      </c>
    </row>
    <row r="245" spans="1:56">
      <c r="A245" s="197">
        <v>238</v>
      </c>
      <c r="B245" s="73" t="s">
        <v>358</v>
      </c>
      <c r="C245" s="73" t="s">
        <v>1420</v>
      </c>
      <c r="D245" s="168">
        <v>23926.960000000006</v>
      </c>
      <c r="E245" s="170">
        <v>214822.33</v>
      </c>
      <c r="F245" s="171">
        <f t="shared" si="71"/>
        <v>238749.28999999998</v>
      </c>
      <c r="G245" s="182">
        <v>185987.85</v>
      </c>
      <c r="H245" s="179">
        <v>52761.439999999973</v>
      </c>
      <c r="I245" s="170">
        <v>288044.77</v>
      </c>
      <c r="J245" s="171">
        <f t="shared" si="72"/>
        <v>340806.20999999996</v>
      </c>
      <c r="K245" s="205">
        <v>231282.86000000002</v>
      </c>
      <c r="L245" s="171">
        <v>109523.34999999995</v>
      </c>
      <c r="M245" s="199">
        <v>292542</v>
      </c>
      <c r="N245" s="171">
        <f t="shared" si="67"/>
        <v>402065.35</v>
      </c>
      <c r="O245" s="205">
        <v>378581.08</v>
      </c>
      <c r="P245" s="241">
        <v>23484.26999999996</v>
      </c>
      <c r="Q245" s="199">
        <v>322245.41000000003</v>
      </c>
      <c r="R245" s="171">
        <f t="shared" si="68"/>
        <v>345729.68</v>
      </c>
      <c r="S245" s="205">
        <v>333173.77999999997</v>
      </c>
      <c r="T245" s="241">
        <v>12555.900000000023</v>
      </c>
      <c r="U245" s="241">
        <v>329214.7</v>
      </c>
      <c r="V245" s="171">
        <f t="shared" si="69"/>
        <v>341770.60000000003</v>
      </c>
      <c r="W245" s="56">
        <v>333637.04999999993</v>
      </c>
      <c r="X245" s="658">
        <f t="shared" si="64"/>
        <v>8133.5500000001048</v>
      </c>
      <c r="Y245" s="659">
        <v>336069.66000000003</v>
      </c>
      <c r="Z245" s="171">
        <f t="shared" si="70"/>
        <v>344203.21000000014</v>
      </c>
      <c r="AA245" s="56"/>
      <c r="AB245" s="241">
        <f t="shared" si="65"/>
        <v>344203.21000000014</v>
      </c>
      <c r="AC245" s="241"/>
      <c r="AE245" s="531">
        <f t="shared" si="61"/>
        <v>0</v>
      </c>
      <c r="AG245" t="s">
        <v>358</v>
      </c>
      <c r="AH245" t="s">
        <v>1818</v>
      </c>
      <c r="AI245" s="199">
        <v>263106.28000000003</v>
      </c>
      <c r="AJ245" s="199">
        <v>15876.49</v>
      </c>
      <c r="AK245" s="199">
        <v>2029.75</v>
      </c>
      <c r="AL245" s="199">
        <v>0</v>
      </c>
      <c r="AM245" s="199">
        <v>41060.39</v>
      </c>
      <c r="AN245" s="199">
        <v>6107.31</v>
      </c>
      <c r="AO245" s="199">
        <v>0</v>
      </c>
      <c r="AP245" s="199">
        <v>6349.51</v>
      </c>
      <c r="AQ245" s="199">
        <v>1539.93</v>
      </c>
      <c r="AR245" s="199">
        <v>0</v>
      </c>
      <c r="AS245" s="199">
        <v>336069.66000000003</v>
      </c>
      <c r="AT245"/>
      <c r="AU245"/>
      <c r="AV245" t="str">
        <f t="shared" si="62"/>
        <v>17407</v>
      </c>
      <c r="AW245" s="241">
        <f t="shared" si="63"/>
        <v>336069.66000000003</v>
      </c>
      <c r="AY245" s="167">
        <f t="shared" si="66"/>
        <v>0</v>
      </c>
      <c r="BA245" s="197">
        <v>238</v>
      </c>
      <c r="BB245" s="73" t="s">
        <v>358</v>
      </c>
      <c r="BC245" s="73" t="s">
        <v>1420</v>
      </c>
      <c r="BD245" s="56">
        <v>333637.04999999993</v>
      </c>
    </row>
    <row r="246" spans="1:56">
      <c r="A246" s="197">
        <v>239</v>
      </c>
      <c r="B246" s="73" t="s">
        <v>652</v>
      </c>
      <c r="C246" s="73" t="s">
        <v>1421</v>
      </c>
      <c r="D246" s="168">
        <v>5328.1700000000055</v>
      </c>
      <c r="E246" s="170">
        <v>138949.5</v>
      </c>
      <c r="F246" s="171">
        <f t="shared" si="71"/>
        <v>144277.67000000001</v>
      </c>
      <c r="G246" s="182">
        <v>134347.84</v>
      </c>
      <c r="H246" s="179">
        <v>9929.8300000000163</v>
      </c>
      <c r="I246" s="170">
        <v>199153.32</v>
      </c>
      <c r="J246" s="171">
        <f t="shared" si="72"/>
        <v>209083.15000000002</v>
      </c>
      <c r="K246" s="205">
        <v>241162.4</v>
      </c>
      <c r="L246" s="171">
        <v>0</v>
      </c>
      <c r="M246" s="199">
        <v>197274.45</v>
      </c>
      <c r="N246" s="171">
        <f t="shared" si="67"/>
        <v>197274.45</v>
      </c>
      <c r="O246" s="205">
        <v>145573.5</v>
      </c>
      <c r="P246" s="241">
        <v>51700.950000000012</v>
      </c>
      <c r="Q246" s="199">
        <v>215097.58000000002</v>
      </c>
      <c r="R246" s="171">
        <f t="shared" si="68"/>
        <v>266798.53000000003</v>
      </c>
      <c r="S246" s="205">
        <v>254578.34</v>
      </c>
      <c r="T246" s="241">
        <v>12220.190000000031</v>
      </c>
      <c r="U246" s="241">
        <v>221926.08000000002</v>
      </c>
      <c r="V246" s="171">
        <f t="shared" si="69"/>
        <v>234146.27000000005</v>
      </c>
      <c r="W246" s="56">
        <v>236173.19999999998</v>
      </c>
      <c r="X246" s="658">
        <f t="shared" si="64"/>
        <v>0</v>
      </c>
      <c r="Y246" s="659">
        <v>239189.07</v>
      </c>
      <c r="Z246" s="171">
        <f t="shared" si="70"/>
        <v>239189.07</v>
      </c>
      <c r="AA246" s="56"/>
      <c r="AB246" s="241">
        <f t="shared" si="65"/>
        <v>239189.07</v>
      </c>
      <c r="AC246" s="241"/>
      <c r="AE246" s="531">
        <f t="shared" si="61"/>
        <v>0</v>
      </c>
      <c r="AG246" t="s">
        <v>652</v>
      </c>
      <c r="AH246" t="s">
        <v>1969</v>
      </c>
      <c r="AI246" s="199">
        <v>161950.64000000001</v>
      </c>
      <c r="AJ246" s="199">
        <v>11570.63</v>
      </c>
      <c r="AK246" s="199">
        <v>0</v>
      </c>
      <c r="AL246" s="199">
        <v>0</v>
      </c>
      <c r="AM246" s="199">
        <v>34923.040000000001</v>
      </c>
      <c r="AN246" s="199">
        <v>13327.53</v>
      </c>
      <c r="AO246" s="199">
        <v>6897.36</v>
      </c>
      <c r="AP246" s="199">
        <v>5550.96</v>
      </c>
      <c r="AQ246" s="199">
        <v>911.37</v>
      </c>
      <c r="AR246" s="199">
        <v>4057.54</v>
      </c>
      <c r="AS246" s="199">
        <v>239189.07</v>
      </c>
      <c r="AT246"/>
      <c r="AU246"/>
      <c r="AV246" t="str">
        <f t="shared" si="62"/>
        <v>34401</v>
      </c>
      <c r="AW246" s="241">
        <f t="shared" si="63"/>
        <v>239189.07</v>
      </c>
      <c r="AY246" s="167">
        <f t="shared" si="66"/>
        <v>0</v>
      </c>
      <c r="BA246" s="197">
        <v>239</v>
      </c>
      <c r="BB246" s="73" t="s">
        <v>652</v>
      </c>
      <c r="BC246" s="73" t="s">
        <v>1421</v>
      </c>
      <c r="BD246" s="56">
        <v>236173.19999999998</v>
      </c>
    </row>
    <row r="247" spans="1:56">
      <c r="A247" s="197">
        <v>240</v>
      </c>
      <c r="B247" s="73" t="s">
        <v>408</v>
      </c>
      <c r="C247" s="73" t="s">
        <v>1422</v>
      </c>
      <c r="D247" s="168">
        <v>497.34000000000003</v>
      </c>
      <c r="E247" s="170">
        <v>2728.14</v>
      </c>
      <c r="F247" s="171">
        <f t="shared" si="71"/>
        <v>3225.48</v>
      </c>
      <c r="G247" s="182">
        <v>755.24</v>
      </c>
      <c r="H247" s="179">
        <v>2470.2399999999998</v>
      </c>
      <c r="I247" s="170">
        <v>4082.1</v>
      </c>
      <c r="J247" s="171">
        <f t="shared" si="72"/>
        <v>6552.34</v>
      </c>
      <c r="K247" s="205">
        <v>2111.2600000000002</v>
      </c>
      <c r="L247" s="171">
        <v>4441.08</v>
      </c>
      <c r="M247" s="199">
        <v>4210.38</v>
      </c>
      <c r="N247" s="171">
        <f t="shared" si="67"/>
        <v>8651.4599999999991</v>
      </c>
      <c r="O247" s="205">
        <v>3708.66</v>
      </c>
      <c r="P247" s="241">
        <v>4942.7999999999993</v>
      </c>
      <c r="Q247" s="199">
        <v>4456.18</v>
      </c>
      <c r="R247" s="171">
        <f t="shared" si="68"/>
        <v>9398.98</v>
      </c>
      <c r="S247" s="205">
        <v>3950.56</v>
      </c>
      <c r="T247" s="241">
        <v>5448.42</v>
      </c>
      <c r="U247" s="241">
        <v>4011.5</v>
      </c>
      <c r="V247" s="171">
        <f t="shared" si="69"/>
        <v>9459.92</v>
      </c>
      <c r="W247" s="56">
        <v>4078.9</v>
      </c>
      <c r="X247" s="658">
        <f t="shared" si="64"/>
        <v>5381.02</v>
      </c>
      <c r="Y247" s="659">
        <v>4668.6900000000005</v>
      </c>
      <c r="Z247" s="171">
        <f t="shared" si="70"/>
        <v>10049.710000000001</v>
      </c>
      <c r="AA247" s="56"/>
      <c r="AB247" s="241">
        <f t="shared" si="65"/>
        <v>10049.710000000001</v>
      </c>
      <c r="AC247" s="241"/>
      <c r="AE247" s="531">
        <f t="shared" si="61"/>
        <v>0</v>
      </c>
      <c r="AG247" t="s">
        <v>408</v>
      </c>
      <c r="AH247" t="s">
        <v>1846</v>
      </c>
      <c r="AI247" s="199">
        <v>4203.05</v>
      </c>
      <c r="AJ247" s="199">
        <v>0</v>
      </c>
      <c r="AK247" s="199">
        <v>0</v>
      </c>
      <c r="AL247" s="199">
        <v>0</v>
      </c>
      <c r="AM247" s="199">
        <v>0</v>
      </c>
      <c r="AN247" s="199">
        <v>153.16999999999999</v>
      </c>
      <c r="AO247" s="199">
        <v>0</v>
      </c>
      <c r="AP247" s="199">
        <v>312.47000000000003</v>
      </c>
      <c r="AQ247" s="199">
        <v>0</v>
      </c>
      <c r="AR247" s="199">
        <v>0</v>
      </c>
      <c r="AS247" s="199">
        <v>4668.6900000000005</v>
      </c>
      <c r="AT247"/>
      <c r="AU247"/>
      <c r="AV247" t="str">
        <f t="shared" si="62"/>
        <v>20403</v>
      </c>
      <c r="AW247" s="241">
        <f t="shared" si="63"/>
        <v>4668.6900000000005</v>
      </c>
      <c r="AY247" s="167">
        <f t="shared" si="66"/>
        <v>0</v>
      </c>
      <c r="BA247" s="197">
        <v>240</v>
      </c>
      <c r="BB247" s="73" t="s">
        <v>408</v>
      </c>
      <c r="BC247" s="73" t="s">
        <v>1422</v>
      </c>
      <c r="BD247" s="56">
        <v>4078.9</v>
      </c>
    </row>
    <row r="248" spans="1:56">
      <c r="A248" s="197">
        <v>241</v>
      </c>
      <c r="B248" s="298" t="s">
        <v>2368</v>
      </c>
      <c r="C248" s="303" t="s">
        <v>2395</v>
      </c>
      <c r="D248" s="168"/>
      <c r="E248" s="170"/>
      <c r="F248" s="171"/>
      <c r="G248" s="182"/>
      <c r="H248" s="179"/>
      <c r="I248" s="170"/>
      <c r="J248" s="171"/>
      <c r="K248" s="205"/>
      <c r="L248" s="171"/>
      <c r="M248" s="199"/>
      <c r="N248" s="171"/>
      <c r="O248" s="205"/>
      <c r="P248" s="241"/>
      <c r="Q248" s="199"/>
      <c r="R248" s="171"/>
      <c r="S248" s="205">
        <v>0</v>
      </c>
      <c r="T248" s="241">
        <v>0</v>
      </c>
      <c r="U248" s="241">
        <v>14612.630000000001</v>
      </c>
      <c r="V248" s="171"/>
      <c r="W248" s="56">
        <v>14296</v>
      </c>
      <c r="X248" s="658">
        <f t="shared" si="64"/>
        <v>0</v>
      </c>
      <c r="Y248" s="659">
        <v>15826.8</v>
      </c>
      <c r="Z248" s="171"/>
      <c r="AA248" s="56"/>
      <c r="AB248" s="241">
        <f t="shared" si="65"/>
        <v>0</v>
      </c>
      <c r="AC248" s="241"/>
      <c r="AE248" s="531">
        <f t="shared" si="61"/>
        <v>0</v>
      </c>
      <c r="AG248" t="s">
        <v>2368</v>
      </c>
      <c r="AH248" t="s">
        <v>2452</v>
      </c>
      <c r="AI248" s="199">
        <v>13969.68</v>
      </c>
      <c r="AJ248" s="199">
        <v>730.63</v>
      </c>
      <c r="AK248" s="199">
        <v>0</v>
      </c>
      <c r="AL248" s="199">
        <v>0</v>
      </c>
      <c r="AM248" s="199">
        <v>790.4</v>
      </c>
      <c r="AN248" s="199">
        <v>136.38</v>
      </c>
      <c r="AO248" s="199">
        <v>125.02</v>
      </c>
      <c r="AP248" s="199">
        <v>74.69</v>
      </c>
      <c r="AQ248" s="199">
        <v>0</v>
      </c>
      <c r="AR248" s="199">
        <v>0</v>
      </c>
      <c r="AS248" s="199">
        <v>15826.8</v>
      </c>
      <c r="AT248"/>
      <c r="AU248"/>
      <c r="AV248" t="str">
        <f t="shared" si="62"/>
        <v>06901</v>
      </c>
      <c r="AW248" s="241">
        <f t="shared" si="63"/>
        <v>15826.8</v>
      </c>
      <c r="AY248" s="167">
        <f t="shared" si="66"/>
        <v>0</v>
      </c>
      <c r="BA248" s="197">
        <v>241</v>
      </c>
      <c r="BB248" s="298" t="s">
        <v>2368</v>
      </c>
      <c r="BC248" s="303" t="s">
        <v>2395</v>
      </c>
      <c r="BD248" s="56">
        <v>14296</v>
      </c>
    </row>
    <row r="249" spans="1:56">
      <c r="A249" s="197">
        <v>242</v>
      </c>
      <c r="B249" s="73" t="s">
        <v>705</v>
      </c>
      <c r="C249" s="73" t="s">
        <v>1423</v>
      </c>
      <c r="D249" s="168">
        <v>1493.67</v>
      </c>
      <c r="E249" s="170">
        <v>18691.21</v>
      </c>
      <c r="F249" s="171">
        <f t="shared" ref="F249:F280" si="73">+D249+E249</f>
        <v>20184.879999999997</v>
      </c>
      <c r="G249" s="182">
        <v>20261.78</v>
      </c>
      <c r="H249" s="179">
        <v>0</v>
      </c>
      <c r="I249" s="170">
        <v>27156.05</v>
      </c>
      <c r="J249" s="171">
        <f t="shared" ref="J249:J280" si="74">+H249+I249</f>
        <v>27156.05</v>
      </c>
      <c r="K249" s="205">
        <v>22758.06</v>
      </c>
      <c r="L249" s="171">
        <v>4397.989999999998</v>
      </c>
      <c r="M249" s="199">
        <v>25809.1</v>
      </c>
      <c r="N249" s="171">
        <f t="shared" ref="N249:N280" si="75">+L249+M249</f>
        <v>30207.089999999997</v>
      </c>
      <c r="O249" s="205">
        <v>25939.53</v>
      </c>
      <c r="P249" s="241">
        <v>4267.5599999999977</v>
      </c>
      <c r="Q249" s="199">
        <v>27100.699999999997</v>
      </c>
      <c r="R249" s="171">
        <f t="shared" ref="R249:R280" si="76">+P249+Q249</f>
        <v>31368.259999999995</v>
      </c>
      <c r="S249" s="205">
        <v>28105.42</v>
      </c>
      <c r="T249" s="241">
        <v>3262.8399999999965</v>
      </c>
      <c r="U249" s="241">
        <v>27732.15</v>
      </c>
      <c r="V249" s="171">
        <f t="shared" ref="V249:V280" si="77">+T249+U249</f>
        <v>30994.989999999998</v>
      </c>
      <c r="W249" s="56">
        <v>29802.02</v>
      </c>
      <c r="X249" s="658">
        <f t="shared" si="64"/>
        <v>1192.9699999999975</v>
      </c>
      <c r="Y249" s="659">
        <v>28992.150000000005</v>
      </c>
      <c r="Z249" s="171">
        <f t="shared" ref="Z249:Z280" si="78">+X249+Y249</f>
        <v>30185.120000000003</v>
      </c>
      <c r="AA249" s="56"/>
      <c r="AB249" s="241">
        <f t="shared" si="65"/>
        <v>30185.120000000003</v>
      </c>
      <c r="AC249" s="241"/>
      <c r="AE249" s="531">
        <f t="shared" si="61"/>
        <v>0</v>
      </c>
      <c r="AG249" t="s">
        <v>705</v>
      </c>
      <c r="AH249" t="s">
        <v>1998</v>
      </c>
      <c r="AI249" s="199">
        <v>23033.08</v>
      </c>
      <c r="AJ249" s="199">
        <v>487.45</v>
      </c>
      <c r="AK249" s="199">
        <v>203.9</v>
      </c>
      <c r="AL249" s="199">
        <v>0</v>
      </c>
      <c r="AM249" s="199">
        <v>2413.09</v>
      </c>
      <c r="AN249" s="199">
        <v>955.79</v>
      </c>
      <c r="AO249" s="199">
        <v>688.17</v>
      </c>
      <c r="AP249" s="199">
        <v>0</v>
      </c>
      <c r="AQ249" s="199">
        <v>62.13</v>
      </c>
      <c r="AR249" s="199">
        <v>1148.54</v>
      </c>
      <c r="AS249" s="199">
        <v>28992.150000000005</v>
      </c>
      <c r="AT249"/>
      <c r="AU249"/>
      <c r="AV249" t="str">
        <f t="shared" si="62"/>
        <v>38320</v>
      </c>
      <c r="AW249" s="241">
        <f t="shared" si="63"/>
        <v>28992.150000000005</v>
      </c>
      <c r="AY249" s="167">
        <f t="shared" si="66"/>
        <v>0</v>
      </c>
      <c r="BA249" s="197">
        <v>242</v>
      </c>
      <c r="BB249" s="73" t="s">
        <v>705</v>
      </c>
      <c r="BC249" s="73" t="s">
        <v>1423</v>
      </c>
      <c r="BD249" s="56">
        <v>29802.02</v>
      </c>
    </row>
    <row r="250" spans="1:56">
      <c r="A250" s="197">
        <v>243</v>
      </c>
      <c r="B250" s="73" t="s">
        <v>287</v>
      </c>
      <c r="C250" s="73" t="s">
        <v>1424</v>
      </c>
      <c r="D250" s="168">
        <v>7750.9299999999857</v>
      </c>
      <c r="E250" s="170">
        <v>122833.44000000002</v>
      </c>
      <c r="F250" s="171">
        <f t="shared" si="73"/>
        <v>130584.37</v>
      </c>
      <c r="G250" s="182">
        <v>135755.6</v>
      </c>
      <c r="H250" s="179">
        <v>0</v>
      </c>
      <c r="I250" s="170">
        <v>182292.43</v>
      </c>
      <c r="J250" s="171">
        <f t="shared" si="74"/>
        <v>182292.43</v>
      </c>
      <c r="K250" s="205">
        <v>202137.95999999996</v>
      </c>
      <c r="L250" s="171">
        <v>0</v>
      </c>
      <c r="M250" s="199">
        <v>186093.03000000003</v>
      </c>
      <c r="N250" s="171">
        <f t="shared" si="75"/>
        <v>186093.03000000003</v>
      </c>
      <c r="O250" s="205">
        <v>202307.72000000003</v>
      </c>
      <c r="P250" s="241">
        <v>0</v>
      </c>
      <c r="Q250" s="199">
        <v>199938.52000000002</v>
      </c>
      <c r="R250" s="171">
        <f t="shared" si="76"/>
        <v>199938.52000000002</v>
      </c>
      <c r="S250" s="205">
        <v>185828.08000000002</v>
      </c>
      <c r="T250" s="241">
        <v>14110.440000000002</v>
      </c>
      <c r="U250" s="241">
        <v>196016.11000000002</v>
      </c>
      <c r="V250" s="171">
        <f t="shared" si="77"/>
        <v>210126.55000000002</v>
      </c>
      <c r="W250" s="56">
        <v>265948.94999999995</v>
      </c>
      <c r="X250" s="658">
        <f t="shared" si="64"/>
        <v>0</v>
      </c>
      <c r="Y250" s="659">
        <v>209031.71</v>
      </c>
      <c r="Z250" s="171">
        <f t="shared" si="78"/>
        <v>209031.71</v>
      </c>
      <c r="AA250" s="56"/>
      <c r="AB250" s="241">
        <f t="shared" si="65"/>
        <v>209031.71</v>
      </c>
      <c r="AC250" s="241"/>
      <c r="AE250" s="531">
        <f t="shared" si="61"/>
        <v>0</v>
      </c>
      <c r="AG250" t="s">
        <v>287</v>
      </c>
      <c r="AH250" t="s">
        <v>1782</v>
      </c>
      <c r="AI250" s="199">
        <v>131673.06</v>
      </c>
      <c r="AJ250" s="199">
        <v>10470.86</v>
      </c>
      <c r="AK250" s="199">
        <v>1536.31</v>
      </c>
      <c r="AL250" s="199">
        <v>0</v>
      </c>
      <c r="AM250" s="199">
        <v>20730.84</v>
      </c>
      <c r="AN250" s="199">
        <v>12806.73</v>
      </c>
      <c r="AO250" s="199">
        <v>7693.85</v>
      </c>
      <c r="AP250" s="199">
        <v>18682.43</v>
      </c>
      <c r="AQ250" s="199">
        <v>742.89</v>
      </c>
      <c r="AR250" s="199">
        <v>4694.74</v>
      </c>
      <c r="AS250" s="199">
        <v>209031.71</v>
      </c>
      <c r="AT250"/>
      <c r="AU250"/>
      <c r="AV250" t="str">
        <f t="shared" si="62"/>
        <v>13160</v>
      </c>
      <c r="AW250" s="241">
        <f t="shared" si="63"/>
        <v>209031.71</v>
      </c>
      <c r="AY250" s="167">
        <f t="shared" si="66"/>
        <v>0</v>
      </c>
      <c r="BA250" s="197">
        <v>243</v>
      </c>
      <c r="BB250" s="73" t="s">
        <v>287</v>
      </c>
      <c r="BC250" s="73" t="s">
        <v>1424</v>
      </c>
      <c r="BD250" s="56">
        <v>265948.94999999995</v>
      </c>
    </row>
    <row r="251" spans="1:56">
      <c r="A251" s="197">
        <v>244</v>
      </c>
      <c r="B251" s="73" t="s">
        <v>541</v>
      </c>
      <c r="C251" s="73" t="s">
        <v>1425</v>
      </c>
      <c r="D251" s="168">
        <v>2606.3599999999969</v>
      </c>
      <c r="E251" s="170">
        <v>54049.679999999993</v>
      </c>
      <c r="F251" s="171">
        <f t="shared" si="73"/>
        <v>56656.039999999994</v>
      </c>
      <c r="G251" s="182">
        <v>102950.93</v>
      </c>
      <c r="H251" s="179">
        <v>0</v>
      </c>
      <c r="I251" s="170">
        <v>71628.490000000005</v>
      </c>
      <c r="J251" s="171">
        <f t="shared" si="74"/>
        <v>71628.490000000005</v>
      </c>
      <c r="K251" s="205">
        <v>13547.11</v>
      </c>
      <c r="L251" s="171">
        <v>58081.380000000005</v>
      </c>
      <c r="M251" s="199">
        <v>75736.63</v>
      </c>
      <c r="N251" s="171">
        <f t="shared" si="75"/>
        <v>133818.01</v>
      </c>
      <c r="O251" s="205">
        <v>47463.11</v>
      </c>
      <c r="P251" s="241">
        <v>86354.900000000009</v>
      </c>
      <c r="Q251" s="199">
        <v>82690.38</v>
      </c>
      <c r="R251" s="171">
        <f t="shared" si="76"/>
        <v>169045.28000000003</v>
      </c>
      <c r="S251" s="205">
        <v>108782.04</v>
      </c>
      <c r="T251" s="241">
        <v>60263.240000000034</v>
      </c>
      <c r="U251" s="241">
        <v>86583.360000000001</v>
      </c>
      <c r="V251" s="171">
        <f t="shared" si="77"/>
        <v>146846.60000000003</v>
      </c>
      <c r="W251" s="56">
        <v>108205.37</v>
      </c>
      <c r="X251" s="658">
        <f t="shared" si="64"/>
        <v>38641.23000000004</v>
      </c>
      <c r="Y251" s="659">
        <v>96161.790000000008</v>
      </c>
      <c r="Z251" s="171">
        <f t="shared" si="78"/>
        <v>134803.02000000005</v>
      </c>
      <c r="AA251" s="56"/>
      <c r="AB251" s="241">
        <f t="shared" si="65"/>
        <v>134803.02000000005</v>
      </c>
      <c r="AC251" s="241"/>
      <c r="AE251" s="531">
        <f t="shared" si="61"/>
        <v>0</v>
      </c>
      <c r="AG251" t="s">
        <v>541</v>
      </c>
      <c r="AH251" t="s">
        <v>1911</v>
      </c>
      <c r="AI251" s="199">
        <v>71371.199999999997</v>
      </c>
      <c r="AJ251" s="199">
        <v>2446.35</v>
      </c>
      <c r="AK251" s="199">
        <v>0</v>
      </c>
      <c r="AL251" s="199">
        <v>0</v>
      </c>
      <c r="AM251" s="199">
        <v>14274.39</v>
      </c>
      <c r="AN251" s="199">
        <v>3408.75</v>
      </c>
      <c r="AO251" s="199">
        <v>0</v>
      </c>
      <c r="AP251" s="199">
        <v>2113.5300000000002</v>
      </c>
      <c r="AQ251" s="199">
        <v>386</v>
      </c>
      <c r="AR251" s="199">
        <v>2161.5700000000002</v>
      </c>
      <c r="AS251" s="199">
        <v>96161.790000000008</v>
      </c>
      <c r="AT251"/>
      <c r="AU251"/>
      <c r="AV251" t="str">
        <f t="shared" si="62"/>
        <v>28149</v>
      </c>
      <c r="AW251" s="241">
        <f t="shared" si="63"/>
        <v>96161.790000000008</v>
      </c>
      <c r="AY251" s="167">
        <f t="shared" si="66"/>
        <v>0</v>
      </c>
      <c r="BA251" s="197">
        <v>244</v>
      </c>
      <c r="BB251" s="73" t="s">
        <v>541</v>
      </c>
      <c r="BC251" s="73" t="s">
        <v>1425</v>
      </c>
      <c r="BD251" s="56">
        <v>108205.37</v>
      </c>
    </row>
    <row r="252" spans="1:56">
      <c r="A252" s="197">
        <v>245</v>
      </c>
      <c r="B252" s="73" t="s">
        <v>314</v>
      </c>
      <c r="C252" s="73" t="s">
        <v>1426</v>
      </c>
      <c r="D252" s="168">
        <v>177.67999999999984</v>
      </c>
      <c r="E252" s="170">
        <v>4348.53</v>
      </c>
      <c r="F252" s="171">
        <f t="shared" si="73"/>
        <v>4526.2099999999991</v>
      </c>
      <c r="G252" s="182">
        <v>637.66</v>
      </c>
      <c r="H252" s="179">
        <v>3888.5499999999993</v>
      </c>
      <c r="I252" s="170">
        <v>6202.24</v>
      </c>
      <c r="J252" s="171">
        <f t="shared" si="74"/>
        <v>10090.789999999999</v>
      </c>
      <c r="K252" s="205">
        <v>3701.81</v>
      </c>
      <c r="L252" s="171">
        <v>6388.98</v>
      </c>
      <c r="M252" s="199">
        <v>6293.8799999999992</v>
      </c>
      <c r="N252" s="171">
        <f t="shared" si="75"/>
        <v>12682.859999999999</v>
      </c>
      <c r="O252" s="205">
        <v>2572.4299999999998</v>
      </c>
      <c r="P252" s="241">
        <v>10110.429999999998</v>
      </c>
      <c r="Q252" s="199">
        <v>6810.9</v>
      </c>
      <c r="R252" s="171">
        <f t="shared" si="76"/>
        <v>16921.329999999998</v>
      </c>
      <c r="S252" s="205">
        <v>87.69</v>
      </c>
      <c r="T252" s="241">
        <v>16833.64</v>
      </c>
      <c r="U252" s="241">
        <v>7508.44</v>
      </c>
      <c r="V252" s="171">
        <f t="shared" si="77"/>
        <v>24342.079999999998</v>
      </c>
      <c r="W252" s="56">
        <v>80.150000000000006</v>
      </c>
      <c r="X252" s="658">
        <f t="shared" si="64"/>
        <v>24261.929999999997</v>
      </c>
      <c r="Y252" s="659">
        <v>9076.06</v>
      </c>
      <c r="Z252" s="171">
        <f t="shared" si="78"/>
        <v>33337.99</v>
      </c>
      <c r="AA252" s="56"/>
      <c r="AB252" s="241">
        <f t="shared" si="65"/>
        <v>33337.99</v>
      </c>
      <c r="AC252" s="241"/>
      <c r="AE252" s="531">
        <f t="shared" si="61"/>
        <v>0</v>
      </c>
      <c r="AG252" t="s">
        <v>314</v>
      </c>
      <c r="AH252" t="s">
        <v>1796</v>
      </c>
      <c r="AI252" s="199">
        <v>6819.23</v>
      </c>
      <c r="AJ252" s="199">
        <v>0</v>
      </c>
      <c r="AK252" s="199">
        <v>0</v>
      </c>
      <c r="AL252" s="199">
        <v>0</v>
      </c>
      <c r="AM252" s="199">
        <v>1638.01</v>
      </c>
      <c r="AN252" s="199">
        <v>358.43</v>
      </c>
      <c r="AO252" s="199">
        <v>260.39</v>
      </c>
      <c r="AP252" s="199">
        <v>0</v>
      </c>
      <c r="AQ252" s="199">
        <v>0</v>
      </c>
      <c r="AR252" s="199">
        <v>0</v>
      </c>
      <c r="AS252" s="199">
        <v>9076.06</v>
      </c>
      <c r="AT252"/>
      <c r="AU252"/>
      <c r="AV252" t="str">
        <f t="shared" si="62"/>
        <v>14104</v>
      </c>
      <c r="AW252" s="241">
        <f t="shared" si="63"/>
        <v>9076.06</v>
      </c>
      <c r="AY252" s="167">
        <f t="shared" si="66"/>
        <v>0</v>
      </c>
      <c r="BA252" s="197">
        <v>245</v>
      </c>
      <c r="BB252" s="73" t="s">
        <v>314</v>
      </c>
      <c r="BC252" s="73" t="s">
        <v>1426</v>
      </c>
      <c r="BD252" s="56">
        <v>80.150000000000006</v>
      </c>
    </row>
    <row r="253" spans="1:56">
      <c r="A253" s="197">
        <v>246</v>
      </c>
      <c r="B253" s="73" t="s">
        <v>338</v>
      </c>
      <c r="C253" s="73" t="s">
        <v>1427</v>
      </c>
      <c r="D253" s="168">
        <v>85696.029999999795</v>
      </c>
      <c r="E253" s="170">
        <v>4006125.8599999994</v>
      </c>
      <c r="F253" s="171">
        <f t="shared" si="73"/>
        <v>4091821.8899999992</v>
      </c>
      <c r="G253" s="182">
        <v>3949713.35</v>
      </c>
      <c r="H253" s="179">
        <v>142108.53999999911</v>
      </c>
      <c r="I253" s="170">
        <v>5715357.5499999989</v>
      </c>
      <c r="J253" s="171">
        <f t="shared" si="74"/>
        <v>5857466.089999998</v>
      </c>
      <c r="K253" s="205">
        <v>5978305.4299999997</v>
      </c>
      <c r="L253" s="171">
        <v>0</v>
      </c>
      <c r="M253" s="199">
        <v>5619358.6300000008</v>
      </c>
      <c r="N253" s="171">
        <f t="shared" si="75"/>
        <v>5619358.6300000008</v>
      </c>
      <c r="O253" s="205">
        <v>5920582.790000001</v>
      </c>
      <c r="P253" s="241">
        <v>0</v>
      </c>
      <c r="Q253" s="199">
        <v>6022197.8699999992</v>
      </c>
      <c r="R253" s="171">
        <f t="shared" si="76"/>
        <v>6022197.8699999992</v>
      </c>
      <c r="S253" s="205">
        <v>6476166.1000000006</v>
      </c>
      <c r="T253" s="241">
        <v>0</v>
      </c>
      <c r="U253" s="241">
        <v>6164419.4900000002</v>
      </c>
      <c r="V253" s="171">
        <f t="shared" si="77"/>
        <v>6164419.4900000002</v>
      </c>
      <c r="W253" s="56">
        <v>6501022.2599999998</v>
      </c>
      <c r="X253" s="658">
        <f t="shared" si="64"/>
        <v>0</v>
      </c>
      <c r="Y253" s="659">
        <v>6586205.9000000013</v>
      </c>
      <c r="Z253" s="171">
        <f t="shared" si="78"/>
        <v>6586205.9000000013</v>
      </c>
      <c r="AA253" s="56"/>
      <c r="AB253" s="241">
        <f t="shared" si="65"/>
        <v>6586205.9000000013</v>
      </c>
      <c r="AC253" s="241"/>
      <c r="AE253" s="531">
        <f t="shared" si="61"/>
        <v>0</v>
      </c>
      <c r="AG253" t="s">
        <v>338</v>
      </c>
      <c r="AH253" t="s">
        <v>1808</v>
      </c>
      <c r="AI253" s="199">
        <v>4780014.42</v>
      </c>
      <c r="AJ253" s="199">
        <v>194311.75</v>
      </c>
      <c r="AK253" s="199">
        <v>40670.870000000003</v>
      </c>
      <c r="AL253" s="199">
        <v>21020.45</v>
      </c>
      <c r="AM253" s="199">
        <v>1003192.17</v>
      </c>
      <c r="AN253" s="199">
        <v>232732.36</v>
      </c>
      <c r="AO253" s="199">
        <v>74068.62</v>
      </c>
      <c r="AP253" s="199">
        <v>214256.78</v>
      </c>
      <c r="AQ253" s="199">
        <v>25938.48</v>
      </c>
      <c r="AR253" s="199">
        <v>0</v>
      </c>
      <c r="AS253" s="199">
        <v>6586205.9000000013</v>
      </c>
      <c r="AT253"/>
      <c r="AU253"/>
      <c r="AV253" t="str">
        <f t="shared" si="62"/>
        <v>17001</v>
      </c>
      <c r="AW253" s="241">
        <f t="shared" si="63"/>
        <v>6586205.9000000013</v>
      </c>
      <c r="AY253" s="167">
        <f t="shared" si="66"/>
        <v>0</v>
      </c>
      <c r="BA253" s="197">
        <v>246</v>
      </c>
      <c r="BB253" s="73" t="s">
        <v>338</v>
      </c>
      <c r="BC253" s="73" t="s">
        <v>1427</v>
      </c>
      <c r="BD253" s="56">
        <v>6501022.2599999998</v>
      </c>
    </row>
    <row r="254" spans="1:56">
      <c r="A254" s="197">
        <v>247</v>
      </c>
      <c r="B254" s="73" t="s">
        <v>546</v>
      </c>
      <c r="C254" s="73" t="s">
        <v>1428</v>
      </c>
      <c r="D254" s="168">
        <v>0</v>
      </c>
      <c r="E254" s="170">
        <v>326824.48</v>
      </c>
      <c r="F254" s="171">
        <f t="shared" si="73"/>
        <v>326824.48</v>
      </c>
      <c r="G254" s="182">
        <v>372555.02</v>
      </c>
      <c r="H254" s="179">
        <v>0</v>
      </c>
      <c r="I254" s="170">
        <v>441489.9</v>
      </c>
      <c r="J254" s="171">
        <f t="shared" si="74"/>
        <v>441489.9</v>
      </c>
      <c r="K254" s="205">
        <v>503681.72999999992</v>
      </c>
      <c r="L254" s="171">
        <v>0</v>
      </c>
      <c r="M254" s="199">
        <v>436777.56</v>
      </c>
      <c r="N254" s="171">
        <f t="shared" si="75"/>
        <v>436777.56</v>
      </c>
      <c r="O254" s="205">
        <v>512997.68999999994</v>
      </c>
      <c r="P254" s="241">
        <v>0</v>
      </c>
      <c r="Q254" s="199">
        <v>510111.6</v>
      </c>
      <c r="R254" s="171">
        <f t="shared" si="76"/>
        <v>510111.6</v>
      </c>
      <c r="S254" s="205">
        <v>530937.66</v>
      </c>
      <c r="T254" s="241">
        <v>0</v>
      </c>
      <c r="U254" s="241">
        <v>515993.16000000003</v>
      </c>
      <c r="V254" s="171">
        <f t="shared" si="77"/>
        <v>515993.16000000003</v>
      </c>
      <c r="W254" s="56">
        <v>552160.39999999991</v>
      </c>
      <c r="X254" s="658">
        <f t="shared" si="64"/>
        <v>0</v>
      </c>
      <c r="Y254" s="659">
        <v>564028.68000000005</v>
      </c>
      <c r="Z254" s="171">
        <f t="shared" si="78"/>
        <v>564028.68000000005</v>
      </c>
      <c r="AA254" s="56"/>
      <c r="AB254" s="241">
        <f t="shared" si="65"/>
        <v>564028.68000000005</v>
      </c>
      <c r="AC254" s="241"/>
      <c r="AE254" s="531">
        <f t="shared" si="61"/>
        <v>0</v>
      </c>
      <c r="AG254" t="s">
        <v>546</v>
      </c>
      <c r="AH254" t="s">
        <v>1914</v>
      </c>
      <c r="AI254" s="199">
        <v>376171.13</v>
      </c>
      <c r="AJ254" s="199">
        <v>35012.26</v>
      </c>
      <c r="AK254" s="199">
        <v>3719.27</v>
      </c>
      <c r="AL254" s="199">
        <v>0</v>
      </c>
      <c r="AM254" s="199">
        <v>86797.37</v>
      </c>
      <c r="AN254" s="199">
        <v>24058.6</v>
      </c>
      <c r="AO254" s="199">
        <v>11293.33</v>
      </c>
      <c r="AP254" s="199">
        <v>11434.01</v>
      </c>
      <c r="AQ254" s="199">
        <v>2132.41</v>
      </c>
      <c r="AR254" s="199">
        <v>13410.3</v>
      </c>
      <c r="AS254" s="199">
        <v>564028.68000000005</v>
      </c>
      <c r="AT254"/>
      <c r="AU254"/>
      <c r="AV254" t="str">
        <f t="shared" si="62"/>
        <v>29101</v>
      </c>
      <c r="AW254" s="241">
        <f t="shared" si="63"/>
        <v>564028.68000000005</v>
      </c>
      <c r="AY254" s="167">
        <f t="shared" si="66"/>
        <v>0</v>
      </c>
      <c r="BA254" s="197">
        <v>247</v>
      </c>
      <c r="BB254" s="73" t="s">
        <v>546</v>
      </c>
      <c r="BC254" s="73" t="s">
        <v>1428</v>
      </c>
      <c r="BD254" s="56">
        <v>552160.39999999991</v>
      </c>
    </row>
    <row r="255" spans="1:56">
      <c r="A255" s="197">
        <v>248</v>
      </c>
      <c r="B255" s="73" t="s">
        <v>718</v>
      </c>
      <c r="C255" s="73" t="s">
        <v>1429</v>
      </c>
      <c r="D255" s="168">
        <v>0</v>
      </c>
      <c r="E255" s="170">
        <v>234367.50000000003</v>
      </c>
      <c r="F255" s="171">
        <f t="shared" si="73"/>
        <v>234367.50000000003</v>
      </c>
      <c r="G255" s="182">
        <v>202752.59</v>
      </c>
      <c r="H255" s="179">
        <v>31614.910000000033</v>
      </c>
      <c r="I255" s="170">
        <v>316445.63</v>
      </c>
      <c r="J255" s="171">
        <f t="shared" si="74"/>
        <v>348060.54000000004</v>
      </c>
      <c r="K255" s="205">
        <v>348060.54000000004</v>
      </c>
      <c r="L255" s="171">
        <v>0</v>
      </c>
      <c r="M255" s="199">
        <v>342731.2</v>
      </c>
      <c r="N255" s="171">
        <f t="shared" si="75"/>
        <v>342731.2</v>
      </c>
      <c r="O255" s="205">
        <v>342731.21</v>
      </c>
      <c r="P255" s="241">
        <v>0</v>
      </c>
      <c r="Q255" s="199">
        <v>384242.38</v>
      </c>
      <c r="R255" s="171">
        <f t="shared" si="76"/>
        <v>384242.38</v>
      </c>
      <c r="S255" s="205">
        <v>384242.38</v>
      </c>
      <c r="T255" s="241">
        <v>0</v>
      </c>
      <c r="U255" s="241">
        <v>397476.85000000003</v>
      </c>
      <c r="V255" s="171">
        <f t="shared" si="77"/>
        <v>397476.85000000003</v>
      </c>
      <c r="W255" s="56">
        <v>397476.83999999997</v>
      </c>
      <c r="X255" s="658">
        <f t="shared" si="64"/>
        <v>1.0000000067520887E-2</v>
      </c>
      <c r="Y255" s="659">
        <v>409567.41</v>
      </c>
      <c r="Z255" s="171">
        <f t="shared" si="78"/>
        <v>409567.42000000004</v>
      </c>
      <c r="AA255" s="56"/>
      <c r="AB255" s="241">
        <f t="shared" si="65"/>
        <v>409567.42000000004</v>
      </c>
      <c r="AC255" s="241"/>
      <c r="AE255" s="531">
        <f t="shared" si="61"/>
        <v>0</v>
      </c>
      <c r="AG255" t="s">
        <v>718</v>
      </c>
      <c r="AH255" t="s">
        <v>2005</v>
      </c>
      <c r="AI255" s="199">
        <v>254361.03</v>
      </c>
      <c r="AJ255" s="199">
        <v>37798.339999999997</v>
      </c>
      <c r="AK255" s="199">
        <v>16322.04</v>
      </c>
      <c r="AL255" s="199">
        <v>0</v>
      </c>
      <c r="AM255" s="199">
        <v>48361.01</v>
      </c>
      <c r="AN255" s="199">
        <v>22283.52</v>
      </c>
      <c r="AO255" s="199">
        <v>16418.54</v>
      </c>
      <c r="AP255" s="199">
        <v>10368.24</v>
      </c>
      <c r="AQ255" s="199">
        <v>1597.58</v>
      </c>
      <c r="AR255" s="199">
        <v>2057.11</v>
      </c>
      <c r="AS255" s="199">
        <v>409567.41</v>
      </c>
      <c r="AT255"/>
      <c r="AU255"/>
      <c r="AV255" t="str">
        <f t="shared" si="62"/>
        <v>39119</v>
      </c>
      <c r="AW255" s="241">
        <f t="shared" si="63"/>
        <v>409567.41</v>
      </c>
      <c r="AY255" s="167">
        <f t="shared" si="66"/>
        <v>0</v>
      </c>
      <c r="BA255" s="197">
        <v>248</v>
      </c>
      <c r="BB255" s="73" t="s">
        <v>718</v>
      </c>
      <c r="BC255" s="73" t="s">
        <v>1429</v>
      </c>
      <c r="BD255" s="56">
        <v>397476.83999999997</v>
      </c>
    </row>
    <row r="256" spans="1:56">
      <c r="A256" s="197">
        <v>249</v>
      </c>
      <c r="B256" s="73" t="s">
        <v>503</v>
      </c>
      <c r="C256" s="73" t="s">
        <v>1430</v>
      </c>
      <c r="D256" s="168">
        <v>0</v>
      </c>
      <c r="E256" s="170">
        <v>22162.429999999997</v>
      </c>
      <c r="F256" s="171">
        <f t="shared" si="73"/>
        <v>22162.429999999997</v>
      </c>
      <c r="G256" s="182">
        <v>20641.32</v>
      </c>
      <c r="H256" s="179">
        <v>1521.1099999999969</v>
      </c>
      <c r="I256" s="170">
        <v>30447.85</v>
      </c>
      <c r="J256" s="171">
        <f t="shared" si="74"/>
        <v>31968.959999999995</v>
      </c>
      <c r="K256" s="205">
        <v>11355.039999999999</v>
      </c>
      <c r="L256" s="171">
        <v>20613.919999999998</v>
      </c>
      <c r="M256" s="199">
        <v>31580.34</v>
      </c>
      <c r="N256" s="171">
        <f t="shared" si="75"/>
        <v>52194.259999999995</v>
      </c>
      <c r="O256" s="205">
        <v>8646.5299999999988</v>
      </c>
      <c r="P256" s="241">
        <v>43547.729999999996</v>
      </c>
      <c r="Q256" s="199">
        <v>35744.409999999996</v>
      </c>
      <c r="R256" s="171">
        <f t="shared" si="76"/>
        <v>79292.139999999985</v>
      </c>
      <c r="S256" s="205">
        <v>17470.46</v>
      </c>
      <c r="T256" s="241">
        <v>61821.679999999986</v>
      </c>
      <c r="U256" s="241">
        <v>34679.630000000005</v>
      </c>
      <c r="V256" s="171">
        <f t="shared" si="77"/>
        <v>96501.31</v>
      </c>
      <c r="W256" s="56">
        <v>15617.429999999995</v>
      </c>
      <c r="X256" s="658">
        <f t="shared" si="64"/>
        <v>80883.88</v>
      </c>
      <c r="Y256" s="659">
        <v>37855.140000000007</v>
      </c>
      <c r="Z256" s="171">
        <f t="shared" si="78"/>
        <v>118739.02000000002</v>
      </c>
      <c r="AA256" s="56"/>
      <c r="AB256" s="241">
        <f t="shared" si="65"/>
        <v>118739.02000000002</v>
      </c>
      <c r="AC256" s="241"/>
      <c r="AE256" s="531">
        <f t="shared" si="61"/>
        <v>0</v>
      </c>
      <c r="AG256" t="s">
        <v>503</v>
      </c>
      <c r="AH256" t="s">
        <v>1893</v>
      </c>
      <c r="AI256" s="199">
        <v>27898.81</v>
      </c>
      <c r="AJ256" s="199">
        <v>1596.06</v>
      </c>
      <c r="AK256" s="199">
        <v>439.6</v>
      </c>
      <c r="AL256" s="199">
        <v>0</v>
      </c>
      <c r="AM256" s="199">
        <v>4108.22</v>
      </c>
      <c r="AN256" s="199">
        <v>1637.41</v>
      </c>
      <c r="AO256" s="199">
        <v>1148.79</v>
      </c>
      <c r="AP256" s="199">
        <v>0</v>
      </c>
      <c r="AQ256" s="199">
        <v>0</v>
      </c>
      <c r="AR256" s="199">
        <v>1026.25</v>
      </c>
      <c r="AS256" s="199">
        <v>37855.140000000007</v>
      </c>
      <c r="AT256"/>
      <c r="AU256"/>
      <c r="AV256" t="str">
        <f t="shared" si="62"/>
        <v>26070</v>
      </c>
      <c r="AW256" s="241">
        <f t="shared" si="63"/>
        <v>37855.140000000007</v>
      </c>
      <c r="AY256" s="167">
        <f t="shared" si="66"/>
        <v>0</v>
      </c>
      <c r="BA256" s="197">
        <v>249</v>
      </c>
      <c r="BB256" s="73" t="s">
        <v>503</v>
      </c>
      <c r="BC256" s="73" t="s">
        <v>1430</v>
      </c>
      <c r="BD256" s="56">
        <v>15617.429999999995</v>
      </c>
    </row>
    <row r="257" spans="1:56">
      <c r="A257" s="197">
        <v>250</v>
      </c>
      <c r="B257" s="73" t="s">
        <v>207</v>
      </c>
      <c r="C257" s="73" t="s">
        <v>1431</v>
      </c>
      <c r="D257" s="168">
        <v>86400.67</v>
      </c>
      <c r="E257" s="170">
        <v>171485.53000000003</v>
      </c>
      <c r="F257" s="171">
        <f t="shared" si="73"/>
        <v>257886.2</v>
      </c>
      <c r="G257" s="182">
        <v>207289.22</v>
      </c>
      <c r="H257" s="179">
        <v>50596.98000000001</v>
      </c>
      <c r="I257" s="170">
        <v>231308.81</v>
      </c>
      <c r="J257" s="171">
        <f t="shared" si="74"/>
        <v>281905.79000000004</v>
      </c>
      <c r="K257" s="205">
        <v>277159.50999999995</v>
      </c>
      <c r="L257" s="171">
        <v>4746.2800000000861</v>
      </c>
      <c r="M257" s="199">
        <v>226138.65999999997</v>
      </c>
      <c r="N257" s="171">
        <f t="shared" si="75"/>
        <v>230884.94000000006</v>
      </c>
      <c r="O257" s="205">
        <v>262784.74</v>
      </c>
      <c r="P257" s="241">
        <v>0</v>
      </c>
      <c r="Q257" s="199">
        <v>245266.73</v>
      </c>
      <c r="R257" s="171">
        <f t="shared" si="76"/>
        <v>245266.73</v>
      </c>
      <c r="S257" s="205">
        <v>266507.88</v>
      </c>
      <c r="T257" s="241">
        <v>0</v>
      </c>
      <c r="U257" s="241">
        <v>261080.64</v>
      </c>
      <c r="V257" s="171">
        <f t="shared" si="77"/>
        <v>261080.64</v>
      </c>
      <c r="W257" s="56">
        <v>285217.73</v>
      </c>
      <c r="X257" s="658">
        <f t="shared" si="64"/>
        <v>0</v>
      </c>
      <c r="Y257" s="659">
        <v>276458.38</v>
      </c>
      <c r="Z257" s="171">
        <f t="shared" si="78"/>
        <v>276458.38</v>
      </c>
      <c r="AA257" s="56"/>
      <c r="AB257" s="241">
        <f t="shared" si="65"/>
        <v>276458.38</v>
      </c>
      <c r="AC257" s="241"/>
      <c r="AE257" s="531">
        <f t="shared" si="61"/>
        <v>0</v>
      </c>
      <c r="AG257" t="s">
        <v>207</v>
      </c>
      <c r="AH257" t="s">
        <v>1740</v>
      </c>
      <c r="AI257" s="199">
        <v>184158.23</v>
      </c>
      <c r="AJ257" s="199">
        <v>21920.59</v>
      </c>
      <c r="AK257" s="199">
        <v>6348.38</v>
      </c>
      <c r="AL257" s="199">
        <v>0</v>
      </c>
      <c r="AM257" s="199">
        <v>45114.31</v>
      </c>
      <c r="AN257" s="199">
        <v>13368.94</v>
      </c>
      <c r="AO257" s="199">
        <v>3146.59</v>
      </c>
      <c r="AP257" s="199">
        <v>1201.48</v>
      </c>
      <c r="AQ257" s="199">
        <v>1199.8599999999999</v>
      </c>
      <c r="AR257" s="199">
        <v>0</v>
      </c>
      <c r="AS257" s="199">
        <v>276458.38</v>
      </c>
      <c r="AT257"/>
      <c r="AU257"/>
      <c r="AV257" t="str">
        <f t="shared" si="62"/>
        <v>05323</v>
      </c>
      <c r="AW257" s="241">
        <f t="shared" si="63"/>
        <v>276458.38</v>
      </c>
      <c r="AY257" s="167">
        <f t="shared" si="66"/>
        <v>0</v>
      </c>
      <c r="BA257" s="197">
        <v>250</v>
      </c>
      <c r="BB257" s="73" t="s">
        <v>207</v>
      </c>
      <c r="BC257" s="73" t="s">
        <v>1431</v>
      </c>
      <c r="BD257" s="56">
        <v>285217.73</v>
      </c>
    </row>
    <row r="258" spans="1:56">
      <c r="A258" s="197">
        <v>251</v>
      </c>
      <c r="B258" s="73" t="s">
        <v>535</v>
      </c>
      <c r="C258" s="73" t="s">
        <v>1432</v>
      </c>
      <c r="D258" s="168">
        <v>1004.73</v>
      </c>
      <c r="E258" s="170">
        <v>1795.3899999999999</v>
      </c>
      <c r="F258" s="171">
        <f t="shared" si="73"/>
        <v>2800.12</v>
      </c>
      <c r="G258" s="182"/>
      <c r="H258" s="179">
        <v>2800.12</v>
      </c>
      <c r="I258" s="170">
        <v>3135.13</v>
      </c>
      <c r="J258" s="171">
        <f t="shared" si="74"/>
        <v>5935.25</v>
      </c>
      <c r="K258" s="205">
        <v>53.07</v>
      </c>
      <c r="L258" s="171">
        <v>5882.18</v>
      </c>
      <c r="M258" s="199">
        <v>3328.58</v>
      </c>
      <c r="N258" s="171">
        <f t="shared" si="75"/>
        <v>9210.76</v>
      </c>
      <c r="O258" s="205">
        <v>483.36</v>
      </c>
      <c r="P258" s="241">
        <v>8727.4</v>
      </c>
      <c r="Q258" s="199">
        <v>3408.11</v>
      </c>
      <c r="R258" s="171">
        <f t="shared" si="76"/>
        <v>12135.51</v>
      </c>
      <c r="S258" s="205">
        <v>599.83999999999992</v>
      </c>
      <c r="T258" s="241">
        <v>11535.67</v>
      </c>
      <c r="U258" s="241">
        <v>3667.29</v>
      </c>
      <c r="V258" s="171">
        <f t="shared" si="77"/>
        <v>15202.96</v>
      </c>
      <c r="W258" s="56">
        <v>545.15</v>
      </c>
      <c r="X258" s="658">
        <f t="shared" si="64"/>
        <v>14657.81</v>
      </c>
      <c r="Y258" s="659">
        <v>3462.3199999999997</v>
      </c>
      <c r="Z258" s="171">
        <f t="shared" si="78"/>
        <v>18120.129999999997</v>
      </c>
      <c r="AA258" s="56"/>
      <c r="AB258" s="241">
        <f t="shared" si="65"/>
        <v>18120.129999999997</v>
      </c>
      <c r="AC258" s="241"/>
      <c r="AE258" s="531">
        <f t="shared" si="61"/>
        <v>0</v>
      </c>
      <c r="AG258" t="s">
        <v>535</v>
      </c>
      <c r="AH258" t="s">
        <v>1909</v>
      </c>
      <c r="AI258" s="199">
        <v>3114.2</v>
      </c>
      <c r="AJ258" s="199">
        <v>0</v>
      </c>
      <c r="AK258" s="199">
        <v>0</v>
      </c>
      <c r="AL258" s="199">
        <v>0</v>
      </c>
      <c r="AM258" s="199">
        <v>66.150000000000006</v>
      </c>
      <c r="AN258" s="199">
        <v>0</v>
      </c>
      <c r="AO258" s="199">
        <v>0</v>
      </c>
      <c r="AP258" s="199">
        <v>0</v>
      </c>
      <c r="AQ258" s="199">
        <v>1.81</v>
      </c>
      <c r="AR258" s="199">
        <v>280.16000000000003</v>
      </c>
      <c r="AS258" s="199">
        <v>3462.3199999999997</v>
      </c>
      <c r="AT258"/>
      <c r="AU258"/>
      <c r="AV258" t="str">
        <f t="shared" si="62"/>
        <v>28010</v>
      </c>
      <c r="AW258" s="241">
        <f t="shared" si="63"/>
        <v>3462.3199999999997</v>
      </c>
      <c r="AY258" s="167">
        <f t="shared" si="66"/>
        <v>0</v>
      </c>
      <c r="BA258" s="197">
        <v>251</v>
      </c>
      <c r="BB258" s="73" t="s">
        <v>535</v>
      </c>
      <c r="BC258" s="73" t="s">
        <v>1432</v>
      </c>
      <c r="BD258" s="56">
        <v>545.15</v>
      </c>
    </row>
    <row r="259" spans="1:56">
      <c r="A259" s="197">
        <v>252</v>
      </c>
      <c r="B259" s="73" t="s">
        <v>462</v>
      </c>
      <c r="C259" s="73" t="s">
        <v>1433</v>
      </c>
      <c r="D259" s="168">
        <v>20416.619999999995</v>
      </c>
      <c r="E259" s="170">
        <v>293199.54000000004</v>
      </c>
      <c r="F259" s="171">
        <f t="shared" si="73"/>
        <v>313616.16000000003</v>
      </c>
      <c r="G259" s="182">
        <v>256509.12</v>
      </c>
      <c r="H259" s="179">
        <v>57107.040000000037</v>
      </c>
      <c r="I259" s="170">
        <v>423141.12</v>
      </c>
      <c r="J259" s="171">
        <f t="shared" si="74"/>
        <v>480248.16000000003</v>
      </c>
      <c r="K259" s="205">
        <v>317707.33999999997</v>
      </c>
      <c r="L259" s="171">
        <v>162540.82000000007</v>
      </c>
      <c r="M259" s="199">
        <v>422905.93999999994</v>
      </c>
      <c r="N259" s="171">
        <f t="shared" si="75"/>
        <v>585446.76</v>
      </c>
      <c r="O259" s="205">
        <v>195827.55</v>
      </c>
      <c r="P259" s="241">
        <v>389619.21</v>
      </c>
      <c r="Q259" s="199">
        <v>469512.87999999995</v>
      </c>
      <c r="R259" s="171">
        <f t="shared" si="76"/>
        <v>859132.09</v>
      </c>
      <c r="S259" s="205">
        <v>409727.37000000005</v>
      </c>
      <c r="T259" s="241">
        <v>449404.71999999991</v>
      </c>
      <c r="U259" s="241">
        <v>485417.54999999993</v>
      </c>
      <c r="V259" s="171">
        <f t="shared" si="77"/>
        <v>934822.26999999979</v>
      </c>
      <c r="W259" s="56">
        <v>589707.91000000015</v>
      </c>
      <c r="X259" s="658">
        <f t="shared" si="64"/>
        <v>345114.35999999964</v>
      </c>
      <c r="Y259" s="659">
        <v>504615.22000000003</v>
      </c>
      <c r="Z259" s="171">
        <f t="shared" si="78"/>
        <v>849729.57999999961</v>
      </c>
      <c r="AA259" s="56"/>
      <c r="AB259" s="241">
        <f t="shared" si="65"/>
        <v>849729.57999999961</v>
      </c>
      <c r="AC259" s="241"/>
      <c r="AE259" s="531">
        <f t="shared" si="61"/>
        <v>0</v>
      </c>
      <c r="AG259" t="s">
        <v>462</v>
      </c>
      <c r="AH259" t="s">
        <v>1873</v>
      </c>
      <c r="AI259" s="199">
        <v>285298.78000000003</v>
      </c>
      <c r="AJ259" s="199">
        <v>57309.43</v>
      </c>
      <c r="AK259" s="199">
        <v>11388.36</v>
      </c>
      <c r="AL259" s="199">
        <v>0</v>
      </c>
      <c r="AM259" s="199">
        <v>73985.009999999995</v>
      </c>
      <c r="AN259" s="199">
        <v>28948.04</v>
      </c>
      <c r="AO259" s="199">
        <v>19379.36</v>
      </c>
      <c r="AP259" s="199">
        <v>26391.59</v>
      </c>
      <c r="AQ259" s="199">
        <v>1914.65</v>
      </c>
      <c r="AR259" s="199">
        <v>0</v>
      </c>
      <c r="AS259" s="199">
        <v>504615.22000000003</v>
      </c>
      <c r="AT259"/>
      <c r="AU259"/>
      <c r="AV259" t="str">
        <f t="shared" si="62"/>
        <v>23309</v>
      </c>
      <c r="AW259" s="241">
        <f t="shared" si="63"/>
        <v>504615.22000000003</v>
      </c>
      <c r="AY259" s="167">
        <f t="shared" si="66"/>
        <v>0</v>
      </c>
      <c r="BA259" s="197">
        <v>252</v>
      </c>
      <c r="BB259" s="73" t="s">
        <v>462</v>
      </c>
      <c r="BC259" s="73" t="s">
        <v>1433</v>
      </c>
      <c r="BD259" s="56">
        <v>589707.91000000015</v>
      </c>
    </row>
    <row r="260" spans="1:56">
      <c r="A260" s="197">
        <v>253</v>
      </c>
      <c r="B260" s="73" t="s">
        <v>366</v>
      </c>
      <c r="C260" s="73" t="s">
        <v>1434</v>
      </c>
      <c r="D260" s="168">
        <v>75325.960000000079</v>
      </c>
      <c r="E260" s="170">
        <v>711022.36</v>
      </c>
      <c r="F260" s="171">
        <f t="shared" si="73"/>
        <v>786348.32000000007</v>
      </c>
      <c r="G260" s="182">
        <v>482758.55</v>
      </c>
      <c r="H260" s="179">
        <v>303589.77000000008</v>
      </c>
      <c r="I260" s="170">
        <v>985179.79</v>
      </c>
      <c r="J260" s="171">
        <f t="shared" si="74"/>
        <v>1288769.56</v>
      </c>
      <c r="K260" s="205">
        <v>968723.29999999981</v>
      </c>
      <c r="L260" s="171">
        <v>320046.26000000024</v>
      </c>
      <c r="M260" s="199">
        <v>957176.64</v>
      </c>
      <c r="N260" s="171">
        <f t="shared" si="75"/>
        <v>1277222.9000000004</v>
      </c>
      <c r="O260" s="205">
        <v>839126.78</v>
      </c>
      <c r="P260" s="241">
        <v>438096.12000000034</v>
      </c>
      <c r="Q260" s="199">
        <v>1023839.79</v>
      </c>
      <c r="R260" s="171">
        <f t="shared" si="76"/>
        <v>1461935.9100000004</v>
      </c>
      <c r="S260" s="205">
        <v>1135895.6100000001</v>
      </c>
      <c r="T260" s="241">
        <v>326040.30000000028</v>
      </c>
      <c r="U260" s="241">
        <v>1072409.56</v>
      </c>
      <c r="V260" s="171">
        <f t="shared" si="77"/>
        <v>1398449.8600000003</v>
      </c>
      <c r="W260" s="56">
        <v>777529.42999999993</v>
      </c>
      <c r="X260" s="658">
        <f t="shared" si="64"/>
        <v>620920.4300000004</v>
      </c>
      <c r="Y260" s="659">
        <v>1144983.3</v>
      </c>
      <c r="Z260" s="171">
        <f t="shared" si="78"/>
        <v>1765903.7300000004</v>
      </c>
      <c r="AA260" s="56"/>
      <c r="AB260" s="241">
        <f t="shared" si="65"/>
        <v>1765903.7300000004</v>
      </c>
      <c r="AC260" s="241"/>
      <c r="AE260" s="531">
        <f t="shared" si="61"/>
        <v>0</v>
      </c>
      <c r="AG260" t="s">
        <v>366</v>
      </c>
      <c r="AH260" t="s">
        <v>1823</v>
      </c>
      <c r="AI260" s="199">
        <v>873492.83</v>
      </c>
      <c r="AJ260" s="199">
        <v>46387.78</v>
      </c>
      <c r="AK260" s="199">
        <v>2926.23</v>
      </c>
      <c r="AL260" s="199">
        <v>0</v>
      </c>
      <c r="AM260" s="199">
        <v>154066.95000000001</v>
      </c>
      <c r="AN260" s="199">
        <v>31136.66</v>
      </c>
      <c r="AO260" s="199">
        <v>0</v>
      </c>
      <c r="AP260" s="199">
        <v>32165.08</v>
      </c>
      <c r="AQ260" s="199">
        <v>4807.7700000000004</v>
      </c>
      <c r="AR260" s="199">
        <v>0</v>
      </c>
      <c r="AS260" s="199">
        <v>1144983.3</v>
      </c>
      <c r="AT260"/>
      <c r="AU260"/>
      <c r="AV260" t="str">
        <f t="shared" si="62"/>
        <v>17412</v>
      </c>
      <c r="AW260" s="241">
        <f t="shared" si="63"/>
        <v>1144983.3</v>
      </c>
      <c r="AY260" s="167">
        <f t="shared" si="66"/>
        <v>0</v>
      </c>
      <c r="BA260" s="197">
        <v>253</v>
      </c>
      <c r="BB260" s="73" t="s">
        <v>366</v>
      </c>
      <c r="BC260" s="73" t="s">
        <v>1434</v>
      </c>
      <c r="BD260" s="56">
        <v>777529.42999999993</v>
      </c>
    </row>
    <row r="261" spans="1:56">
      <c r="A261" s="197">
        <v>254</v>
      </c>
      <c r="B261" s="173" t="s">
        <v>556</v>
      </c>
      <c r="C261" s="73" t="s">
        <v>1435</v>
      </c>
      <c r="D261" s="168">
        <v>39.069999999999709</v>
      </c>
      <c r="E261" s="170">
        <v>4769.91</v>
      </c>
      <c r="F261" s="171">
        <f t="shared" si="73"/>
        <v>4808.9799999999996</v>
      </c>
      <c r="G261" s="182">
        <v>5909.02</v>
      </c>
      <c r="H261" s="179">
        <v>0</v>
      </c>
      <c r="I261" s="170">
        <v>6342.04</v>
      </c>
      <c r="J261" s="171">
        <f t="shared" si="74"/>
        <v>6342.04</v>
      </c>
      <c r="K261" s="205">
        <v>8237.2099999999991</v>
      </c>
      <c r="L261" s="171">
        <v>0</v>
      </c>
      <c r="M261" s="199">
        <v>6674.61</v>
      </c>
      <c r="N261" s="171">
        <f t="shared" si="75"/>
        <v>6674.61</v>
      </c>
      <c r="O261" s="205">
        <v>7482.6100000000006</v>
      </c>
      <c r="P261" s="241">
        <v>0</v>
      </c>
      <c r="Q261" s="199">
        <v>8612.81</v>
      </c>
      <c r="R261" s="171">
        <f t="shared" si="76"/>
        <v>8612.81</v>
      </c>
      <c r="S261" s="205">
        <v>9500.73</v>
      </c>
      <c r="T261" s="241">
        <v>0</v>
      </c>
      <c r="U261" s="241">
        <v>9167.23</v>
      </c>
      <c r="V261" s="171">
        <f t="shared" si="77"/>
        <v>9167.23</v>
      </c>
      <c r="W261" s="56">
        <v>10399.35</v>
      </c>
      <c r="X261" s="658">
        <f t="shared" si="64"/>
        <v>0</v>
      </c>
      <c r="Y261" s="659">
        <v>12972.79</v>
      </c>
      <c r="Z261" s="171">
        <f t="shared" si="78"/>
        <v>12972.79</v>
      </c>
      <c r="AA261" s="56"/>
      <c r="AB261" s="241">
        <f t="shared" si="65"/>
        <v>12972.79</v>
      </c>
      <c r="AC261" s="241"/>
      <c r="AE261" s="531">
        <f t="shared" si="61"/>
        <v>0</v>
      </c>
      <c r="AG261" t="s">
        <v>556</v>
      </c>
      <c r="AH261" t="s">
        <v>1919</v>
      </c>
      <c r="AI261" s="199">
        <v>11058.53</v>
      </c>
      <c r="AJ261" s="199">
        <v>0</v>
      </c>
      <c r="AK261" s="199">
        <v>0</v>
      </c>
      <c r="AL261" s="199">
        <v>0</v>
      </c>
      <c r="AM261" s="199">
        <v>0</v>
      </c>
      <c r="AN261" s="199">
        <v>565.02</v>
      </c>
      <c r="AO261" s="199">
        <v>391.3</v>
      </c>
      <c r="AP261" s="199">
        <v>0</v>
      </c>
      <c r="AQ261" s="199">
        <v>0</v>
      </c>
      <c r="AR261" s="199">
        <v>957.94</v>
      </c>
      <c r="AS261" s="199">
        <v>12972.79</v>
      </c>
      <c r="AT261"/>
      <c r="AU261"/>
      <c r="AV261" t="str">
        <f t="shared" si="62"/>
        <v>30002</v>
      </c>
      <c r="AW261" s="241">
        <f t="shared" si="63"/>
        <v>12972.79</v>
      </c>
      <c r="AY261" s="167">
        <f t="shared" si="66"/>
        <v>0</v>
      </c>
      <c r="BA261" s="197">
        <v>254</v>
      </c>
      <c r="BB261" s="173" t="s">
        <v>556</v>
      </c>
      <c r="BC261" s="73" t="s">
        <v>1435</v>
      </c>
      <c r="BD261" s="56">
        <v>10399.35</v>
      </c>
    </row>
    <row r="262" spans="1:56">
      <c r="A262" s="197">
        <v>255</v>
      </c>
      <c r="B262" s="73" t="s">
        <v>352</v>
      </c>
      <c r="C262" s="73" t="s">
        <v>1436</v>
      </c>
      <c r="D262" s="168">
        <v>0</v>
      </c>
      <c r="E262" s="170">
        <v>14760.720000000001</v>
      </c>
      <c r="F262" s="171">
        <f t="shared" si="73"/>
        <v>14760.720000000001</v>
      </c>
      <c r="G262" s="182">
        <v>14199.78</v>
      </c>
      <c r="H262" s="179">
        <v>560.94000000000051</v>
      </c>
      <c r="I262" s="170">
        <v>22207.269999999997</v>
      </c>
      <c r="J262" s="171">
        <f t="shared" si="74"/>
        <v>22768.21</v>
      </c>
      <c r="K262" s="205"/>
      <c r="L262" s="171">
        <v>22768.21</v>
      </c>
      <c r="M262" s="199">
        <v>21567.53</v>
      </c>
      <c r="N262" s="171">
        <f t="shared" si="75"/>
        <v>44335.74</v>
      </c>
      <c r="O262" s="205">
        <v>16118.58</v>
      </c>
      <c r="P262" s="241">
        <v>28217.159999999996</v>
      </c>
      <c r="Q262" s="199">
        <v>23220.83</v>
      </c>
      <c r="R262" s="171">
        <f t="shared" si="76"/>
        <v>51437.99</v>
      </c>
      <c r="S262" s="205">
        <v>18024.79</v>
      </c>
      <c r="T262" s="241">
        <v>33413.199999999997</v>
      </c>
      <c r="U262" s="241">
        <v>23382.21</v>
      </c>
      <c r="V262" s="171">
        <f t="shared" si="77"/>
        <v>56795.409999999996</v>
      </c>
      <c r="W262" s="56">
        <v>16823.760000000002</v>
      </c>
      <c r="X262" s="658">
        <f t="shared" si="64"/>
        <v>39971.649999999994</v>
      </c>
      <c r="Y262" s="659">
        <v>24408.170000000002</v>
      </c>
      <c r="Z262" s="171">
        <f t="shared" si="78"/>
        <v>64379.819999999992</v>
      </c>
      <c r="AA262" s="56"/>
      <c r="AB262" s="241">
        <f t="shared" si="65"/>
        <v>64379.819999999992</v>
      </c>
      <c r="AC262" s="241"/>
      <c r="AE262" s="531">
        <f t="shared" si="61"/>
        <v>0</v>
      </c>
      <c r="AG262" t="s">
        <v>352</v>
      </c>
      <c r="AH262" t="s">
        <v>1815</v>
      </c>
      <c r="AI262" s="199">
        <v>22779.08</v>
      </c>
      <c r="AJ262" s="199">
        <v>157.25</v>
      </c>
      <c r="AK262" s="199">
        <v>0</v>
      </c>
      <c r="AL262" s="199">
        <v>0</v>
      </c>
      <c r="AM262" s="199">
        <v>853.71</v>
      </c>
      <c r="AN262" s="199">
        <v>390.4</v>
      </c>
      <c r="AO262" s="199">
        <v>227.73</v>
      </c>
      <c r="AP262" s="199">
        <v>0</v>
      </c>
      <c r="AQ262" s="199">
        <v>0</v>
      </c>
      <c r="AR262" s="199">
        <v>0</v>
      </c>
      <c r="AS262" s="199">
        <v>24408.170000000002</v>
      </c>
      <c r="AT262"/>
      <c r="AU262"/>
      <c r="AV262" t="str">
        <f t="shared" si="62"/>
        <v>17404</v>
      </c>
      <c r="AW262" s="241">
        <f t="shared" si="63"/>
        <v>24408.170000000002</v>
      </c>
      <c r="AY262" s="167">
        <f t="shared" si="66"/>
        <v>0</v>
      </c>
      <c r="BA262" s="197">
        <v>255</v>
      </c>
      <c r="BB262" s="73" t="s">
        <v>352</v>
      </c>
      <c r="BC262" s="73" t="s">
        <v>1436</v>
      </c>
      <c r="BD262" s="56">
        <v>16823.760000000002</v>
      </c>
    </row>
    <row r="263" spans="1:56">
      <c r="A263" s="197">
        <v>256</v>
      </c>
      <c r="B263" s="73" t="s">
        <v>580</v>
      </c>
      <c r="C263" s="73" t="s">
        <v>1437</v>
      </c>
      <c r="D263" s="168">
        <v>0</v>
      </c>
      <c r="E263" s="170">
        <v>698058.64</v>
      </c>
      <c r="F263" s="171">
        <f t="shared" si="73"/>
        <v>698058.64</v>
      </c>
      <c r="G263" s="182">
        <v>673071.44</v>
      </c>
      <c r="H263" s="179">
        <v>24987.20000000007</v>
      </c>
      <c r="I263" s="170">
        <v>928516.82000000007</v>
      </c>
      <c r="J263" s="171">
        <f t="shared" si="74"/>
        <v>953504.02000000014</v>
      </c>
      <c r="K263" s="205">
        <v>1015219.68</v>
      </c>
      <c r="L263" s="171">
        <v>0</v>
      </c>
      <c r="M263" s="199">
        <v>956466.37999999989</v>
      </c>
      <c r="N263" s="171">
        <f t="shared" si="75"/>
        <v>956466.37999999989</v>
      </c>
      <c r="O263" s="205">
        <v>1024671.46</v>
      </c>
      <c r="P263" s="241">
        <v>0</v>
      </c>
      <c r="Q263" s="199">
        <v>1023746.98</v>
      </c>
      <c r="R263" s="171">
        <f t="shared" si="76"/>
        <v>1023746.98</v>
      </c>
      <c r="S263" s="205">
        <v>1090080.2799999998</v>
      </c>
      <c r="T263" s="241">
        <v>0</v>
      </c>
      <c r="U263" s="241">
        <v>1103363.08</v>
      </c>
      <c r="V263" s="171">
        <f t="shared" si="77"/>
        <v>1103363.08</v>
      </c>
      <c r="W263" s="56">
        <v>1133443.3899999999</v>
      </c>
      <c r="X263" s="658">
        <f t="shared" si="64"/>
        <v>0</v>
      </c>
      <c r="Y263" s="659">
        <v>1196851.1799999997</v>
      </c>
      <c r="Z263" s="171">
        <f t="shared" si="78"/>
        <v>1196851.1799999997</v>
      </c>
      <c r="AA263" s="56"/>
      <c r="AB263" s="241">
        <f t="shared" si="65"/>
        <v>1196851.1799999997</v>
      </c>
      <c r="AC263" s="241"/>
      <c r="AE263" s="531">
        <f t="shared" si="61"/>
        <v>0</v>
      </c>
      <c r="AG263" t="s">
        <v>580</v>
      </c>
      <c r="AH263" t="s">
        <v>1931</v>
      </c>
      <c r="AI263" s="199">
        <v>913122.74</v>
      </c>
      <c r="AJ263" s="199">
        <v>45899.07</v>
      </c>
      <c r="AK263" s="199">
        <v>12466.12</v>
      </c>
      <c r="AL263" s="199">
        <v>0</v>
      </c>
      <c r="AM263" s="199">
        <v>168683.64</v>
      </c>
      <c r="AN263" s="199">
        <v>24298.74</v>
      </c>
      <c r="AO263" s="199">
        <v>175.65</v>
      </c>
      <c r="AP263" s="199">
        <v>18759.91</v>
      </c>
      <c r="AQ263" s="199">
        <v>5112.7700000000004</v>
      </c>
      <c r="AR263" s="199">
        <v>8332.5400000000009</v>
      </c>
      <c r="AS263" s="199">
        <v>1196851.1799999997</v>
      </c>
      <c r="AT263"/>
      <c r="AU263"/>
      <c r="AV263" t="str">
        <f t="shared" si="62"/>
        <v>31201</v>
      </c>
      <c r="AW263" s="241">
        <f t="shared" si="63"/>
        <v>1196851.1799999997</v>
      </c>
      <c r="AY263" s="167">
        <f t="shared" si="66"/>
        <v>0</v>
      </c>
      <c r="BA263" s="197">
        <v>256</v>
      </c>
      <c r="BB263" s="73" t="s">
        <v>580</v>
      </c>
      <c r="BC263" s="73" t="s">
        <v>1437</v>
      </c>
      <c r="BD263" s="56">
        <v>1133443.3899999999</v>
      </c>
    </row>
    <row r="264" spans="1:56">
      <c r="A264" s="197">
        <v>257</v>
      </c>
      <c r="B264" s="73" t="s">
        <v>363</v>
      </c>
      <c r="C264" s="73" t="s">
        <v>1438</v>
      </c>
      <c r="D264" s="168">
        <v>5617.1099999999278</v>
      </c>
      <c r="E264" s="170">
        <v>482396.76999999996</v>
      </c>
      <c r="F264" s="171">
        <f t="shared" si="73"/>
        <v>488013.87999999989</v>
      </c>
      <c r="G264" s="182">
        <v>574907.93000000005</v>
      </c>
      <c r="H264" s="179">
        <v>0</v>
      </c>
      <c r="I264" s="170">
        <v>661678.12999999989</v>
      </c>
      <c r="J264" s="171">
        <f t="shared" si="74"/>
        <v>661678.12999999989</v>
      </c>
      <c r="K264" s="205">
        <v>961690.07999999984</v>
      </c>
      <c r="L264" s="171">
        <v>0</v>
      </c>
      <c r="M264" s="199">
        <v>685908.19000000006</v>
      </c>
      <c r="N264" s="171">
        <f t="shared" si="75"/>
        <v>685908.19000000006</v>
      </c>
      <c r="O264" s="205">
        <v>1160180.8</v>
      </c>
      <c r="P264" s="241">
        <v>0</v>
      </c>
      <c r="Q264" s="199">
        <v>744400.6100000001</v>
      </c>
      <c r="R264" s="171">
        <f t="shared" si="76"/>
        <v>744400.6100000001</v>
      </c>
      <c r="S264" s="205">
        <v>1109823.1599999999</v>
      </c>
      <c r="T264" s="241">
        <v>0</v>
      </c>
      <c r="U264" s="241">
        <v>766613.84000000008</v>
      </c>
      <c r="V264" s="171">
        <f t="shared" si="77"/>
        <v>766613.84000000008</v>
      </c>
      <c r="W264" s="56">
        <v>1143073.6399999999</v>
      </c>
      <c r="X264" s="658">
        <f t="shared" si="64"/>
        <v>0</v>
      </c>
      <c r="Y264" s="659">
        <v>815263.91999999993</v>
      </c>
      <c r="Z264" s="171">
        <f t="shared" si="78"/>
        <v>815263.91999999993</v>
      </c>
      <c r="AA264" s="56"/>
      <c r="AB264" s="241">
        <f t="shared" si="65"/>
        <v>815263.91999999993</v>
      </c>
      <c r="AC264" s="241"/>
      <c r="AE264" s="531">
        <f t="shared" ref="AE264:AE327" si="79">+AG264-B264</f>
        <v>0</v>
      </c>
      <c r="AG264" t="s">
        <v>363</v>
      </c>
      <c r="AH264" t="s">
        <v>1821</v>
      </c>
      <c r="AI264" s="199">
        <v>640979.16</v>
      </c>
      <c r="AJ264" s="199">
        <v>44972.56</v>
      </c>
      <c r="AK264" s="199">
        <v>4773.43</v>
      </c>
      <c r="AL264" s="199">
        <v>0</v>
      </c>
      <c r="AM264" s="199">
        <v>100163.73</v>
      </c>
      <c r="AN264" s="199">
        <v>9895.69</v>
      </c>
      <c r="AO264" s="199">
        <v>0</v>
      </c>
      <c r="AP264" s="199">
        <v>8948.6</v>
      </c>
      <c r="AQ264" s="199">
        <v>3656.44</v>
      </c>
      <c r="AR264" s="199">
        <v>1874.31</v>
      </c>
      <c r="AS264" s="199">
        <v>815263.91999999993</v>
      </c>
      <c r="AT264"/>
      <c r="AU264"/>
      <c r="AV264" t="str">
        <f t="shared" ref="AV264:AV327" si="80">TEXT(AG264, "00000")</f>
        <v>17410</v>
      </c>
      <c r="AW264" s="241">
        <f t="shared" ref="AW264:AW327" si="81">AS264</f>
        <v>815263.91999999993</v>
      </c>
      <c r="AY264" s="167">
        <f t="shared" si="66"/>
        <v>0</v>
      </c>
      <c r="BA264" s="197">
        <v>257</v>
      </c>
      <c r="BB264" s="73" t="s">
        <v>363</v>
      </c>
      <c r="BC264" s="73" t="s">
        <v>1438</v>
      </c>
      <c r="BD264" s="56">
        <v>1143073.6399999999</v>
      </c>
    </row>
    <row r="265" spans="1:56">
      <c r="A265" s="197">
        <v>258</v>
      </c>
      <c r="B265" s="73" t="s">
        <v>285</v>
      </c>
      <c r="C265" s="73" t="s">
        <v>1439</v>
      </c>
      <c r="D265" s="168">
        <v>0</v>
      </c>
      <c r="E265" s="170">
        <v>38339.94</v>
      </c>
      <c r="F265" s="171">
        <f t="shared" si="73"/>
        <v>38339.94</v>
      </c>
      <c r="G265" s="182">
        <v>30276.66</v>
      </c>
      <c r="H265" s="179">
        <v>8063.2800000000025</v>
      </c>
      <c r="I265" s="170">
        <v>55770.030000000006</v>
      </c>
      <c r="J265" s="171">
        <f t="shared" si="74"/>
        <v>63833.310000000012</v>
      </c>
      <c r="K265" s="205">
        <v>37086.780000000013</v>
      </c>
      <c r="L265" s="171">
        <v>26746.53</v>
      </c>
      <c r="M265" s="199">
        <v>57281.38</v>
      </c>
      <c r="N265" s="171">
        <f t="shared" si="75"/>
        <v>84027.91</v>
      </c>
      <c r="O265" s="205">
        <v>58363.54</v>
      </c>
      <c r="P265" s="241">
        <v>25664.370000000003</v>
      </c>
      <c r="Q265" s="199">
        <v>61090.39</v>
      </c>
      <c r="R265" s="171">
        <f t="shared" si="76"/>
        <v>86754.760000000009</v>
      </c>
      <c r="S265" s="205">
        <v>48723.349999999991</v>
      </c>
      <c r="T265" s="241">
        <v>38031.410000000018</v>
      </c>
      <c r="U265" s="241">
        <v>62809.67</v>
      </c>
      <c r="V265" s="171">
        <f t="shared" si="77"/>
        <v>100841.08000000002</v>
      </c>
      <c r="W265" s="56">
        <v>56865.81</v>
      </c>
      <c r="X265" s="658">
        <f t="shared" ref="X265:X328" si="82">IF(+V265-W265&lt;0,0,(+V265-W265))</f>
        <v>43975.270000000019</v>
      </c>
      <c r="Y265" s="659">
        <v>70922.81</v>
      </c>
      <c r="Z265" s="171">
        <f t="shared" si="78"/>
        <v>114898.08000000002</v>
      </c>
      <c r="AA265" s="56"/>
      <c r="AB265" s="241">
        <f t="shared" ref="AB265:AB328" si="83">IF(+Z265-AA265&lt;0,0,(+Z265-AA265))</f>
        <v>114898.08000000002</v>
      </c>
      <c r="AC265" s="241"/>
      <c r="AE265" s="531">
        <f t="shared" si="79"/>
        <v>0</v>
      </c>
      <c r="AG265" t="s">
        <v>285</v>
      </c>
      <c r="AH265" t="s">
        <v>1781</v>
      </c>
      <c r="AI265" s="199">
        <v>44994.37</v>
      </c>
      <c r="AJ265" s="199">
        <v>2780.08</v>
      </c>
      <c r="AK265" s="199">
        <v>206.78</v>
      </c>
      <c r="AL265" s="199">
        <v>0</v>
      </c>
      <c r="AM265" s="199">
        <v>8877.2900000000009</v>
      </c>
      <c r="AN265" s="199">
        <v>3950.31</v>
      </c>
      <c r="AO265" s="199">
        <v>2407.87</v>
      </c>
      <c r="AP265" s="199">
        <v>3596.49</v>
      </c>
      <c r="AQ265" s="199">
        <v>226.7</v>
      </c>
      <c r="AR265" s="199">
        <v>3882.92</v>
      </c>
      <c r="AS265" s="199">
        <v>70922.81</v>
      </c>
      <c r="AT265"/>
      <c r="AU265"/>
      <c r="AV265" t="str">
        <f t="shared" si="80"/>
        <v>13156</v>
      </c>
      <c r="AW265" s="241">
        <f t="shared" si="81"/>
        <v>70922.81</v>
      </c>
      <c r="AY265" s="167">
        <f t="shared" ref="AY265:AY328" si="84">+BB265-B265</f>
        <v>0</v>
      </c>
      <c r="BA265" s="197">
        <v>258</v>
      </c>
      <c r="BB265" s="73" t="s">
        <v>285</v>
      </c>
      <c r="BC265" s="73" t="s">
        <v>1439</v>
      </c>
      <c r="BD265" s="56">
        <v>56865.81</v>
      </c>
    </row>
    <row r="266" spans="1:56">
      <c r="A266" s="197">
        <v>259</v>
      </c>
      <c r="B266" s="73" t="s">
        <v>492</v>
      </c>
      <c r="C266" s="73" t="s">
        <v>1440</v>
      </c>
      <c r="D266" s="168">
        <v>593.52000000000044</v>
      </c>
      <c r="E266" s="170">
        <v>38506.43</v>
      </c>
      <c r="F266" s="171">
        <f t="shared" si="73"/>
        <v>39099.949999999997</v>
      </c>
      <c r="G266" s="182">
        <v>28556.23</v>
      </c>
      <c r="H266" s="179">
        <v>10543.719999999998</v>
      </c>
      <c r="I266" s="170">
        <v>57029.45</v>
      </c>
      <c r="J266" s="171">
        <f t="shared" si="74"/>
        <v>67573.17</v>
      </c>
      <c r="K266" s="205">
        <v>45042.710000000006</v>
      </c>
      <c r="L266" s="171">
        <v>22530.459999999992</v>
      </c>
      <c r="M266" s="199">
        <v>58518.17</v>
      </c>
      <c r="N266" s="171">
        <f t="shared" si="75"/>
        <v>81048.62999999999</v>
      </c>
      <c r="O266" s="205">
        <v>71508.3</v>
      </c>
      <c r="P266" s="241">
        <v>9540.3299999999872</v>
      </c>
      <c r="Q266" s="199">
        <v>62536.529999999992</v>
      </c>
      <c r="R266" s="171">
        <f t="shared" si="76"/>
        <v>72076.859999999986</v>
      </c>
      <c r="S266" s="205">
        <v>54180.15</v>
      </c>
      <c r="T266" s="241">
        <v>17896.709999999985</v>
      </c>
      <c r="U266" s="241">
        <v>63905.34</v>
      </c>
      <c r="V266" s="171">
        <f t="shared" si="77"/>
        <v>81802.049999999988</v>
      </c>
      <c r="W266" s="56">
        <v>72351.73</v>
      </c>
      <c r="X266" s="658">
        <f t="shared" si="82"/>
        <v>9450.3199999999924</v>
      </c>
      <c r="Y266" s="659">
        <v>71460.45</v>
      </c>
      <c r="Z266" s="171">
        <f t="shared" si="78"/>
        <v>80910.76999999999</v>
      </c>
      <c r="AA266" s="56"/>
      <c r="AB266" s="241">
        <f t="shared" si="83"/>
        <v>80910.76999999999</v>
      </c>
      <c r="AC266" s="241"/>
      <c r="AE266" s="531">
        <f t="shared" si="79"/>
        <v>0</v>
      </c>
      <c r="AG266" t="s">
        <v>492</v>
      </c>
      <c r="AH266" t="s">
        <v>1887</v>
      </c>
      <c r="AI266" s="199">
        <v>41194.160000000003</v>
      </c>
      <c r="AJ266" s="199">
        <v>3227.34</v>
      </c>
      <c r="AK266" s="199">
        <v>595.85</v>
      </c>
      <c r="AL266" s="199">
        <v>0</v>
      </c>
      <c r="AM266" s="199">
        <v>16120.82</v>
      </c>
      <c r="AN266" s="199">
        <v>3703.7</v>
      </c>
      <c r="AO266" s="199">
        <v>2391.02</v>
      </c>
      <c r="AP266" s="199">
        <v>3235</v>
      </c>
      <c r="AQ266" s="199">
        <v>0</v>
      </c>
      <c r="AR266" s="199">
        <v>992.56</v>
      </c>
      <c r="AS266" s="199">
        <v>71460.45</v>
      </c>
      <c r="AT266"/>
      <c r="AU266"/>
      <c r="AV266" t="str">
        <f t="shared" si="80"/>
        <v>25118</v>
      </c>
      <c r="AW266" s="241">
        <f t="shared" si="81"/>
        <v>71460.45</v>
      </c>
      <c r="AY266" s="167">
        <f t="shared" si="84"/>
        <v>0</v>
      </c>
      <c r="BA266" s="197">
        <v>259</v>
      </c>
      <c r="BB266" s="73" t="s">
        <v>492</v>
      </c>
      <c r="BC266" s="73" t="s">
        <v>1440</v>
      </c>
      <c r="BD266" s="56">
        <v>72351.73</v>
      </c>
    </row>
    <row r="267" spans="1:56">
      <c r="A267" s="197">
        <v>260</v>
      </c>
      <c r="B267" s="73" t="s">
        <v>382</v>
      </c>
      <c r="C267" s="73" t="s">
        <v>1441</v>
      </c>
      <c r="D267" s="168">
        <v>92036.890000000043</v>
      </c>
      <c r="E267" s="170">
        <v>681166.57</v>
      </c>
      <c r="F267" s="171">
        <f t="shared" si="73"/>
        <v>773203.46</v>
      </c>
      <c r="G267" s="182">
        <v>485198.22</v>
      </c>
      <c r="H267" s="179">
        <v>288005.24</v>
      </c>
      <c r="I267" s="170">
        <v>913578.49</v>
      </c>
      <c r="J267" s="171">
        <f t="shared" si="74"/>
        <v>1201583.73</v>
      </c>
      <c r="K267" s="205">
        <v>650689.18999999994</v>
      </c>
      <c r="L267" s="171">
        <v>550894.54</v>
      </c>
      <c r="M267" s="199">
        <v>921973.61</v>
      </c>
      <c r="N267" s="171">
        <f t="shared" si="75"/>
        <v>1472868.15</v>
      </c>
      <c r="O267" s="205"/>
      <c r="P267" s="241">
        <v>1472868.15</v>
      </c>
      <c r="Q267" s="199">
        <v>1014075.41</v>
      </c>
      <c r="R267" s="171">
        <f t="shared" si="76"/>
        <v>2486943.56</v>
      </c>
      <c r="S267" s="205">
        <v>1311224.8999999999</v>
      </c>
      <c r="T267" s="241">
        <v>1175718.6600000001</v>
      </c>
      <c r="U267" s="241">
        <v>1076705.1200000001</v>
      </c>
      <c r="V267" s="171">
        <f t="shared" si="77"/>
        <v>2252423.7800000003</v>
      </c>
      <c r="W267" s="56">
        <v>1319364.3300000008</v>
      </c>
      <c r="X267" s="658">
        <f t="shared" si="82"/>
        <v>933059.44999999949</v>
      </c>
      <c r="Y267" s="659">
        <v>1139660.08</v>
      </c>
      <c r="Z267" s="171">
        <f t="shared" si="78"/>
        <v>2072719.5299999996</v>
      </c>
      <c r="AA267" s="56"/>
      <c r="AB267" s="241">
        <f t="shared" si="83"/>
        <v>2072719.5299999996</v>
      </c>
      <c r="AC267" s="241"/>
      <c r="AE267" s="531">
        <f t="shared" si="79"/>
        <v>0</v>
      </c>
      <c r="AG267" t="s">
        <v>382</v>
      </c>
      <c r="AH267" t="s">
        <v>1832</v>
      </c>
      <c r="AI267" s="199">
        <v>789474.28</v>
      </c>
      <c r="AJ267" s="199">
        <v>68163.740000000005</v>
      </c>
      <c r="AK267" s="199">
        <v>33721.279999999999</v>
      </c>
      <c r="AL267" s="199">
        <v>0</v>
      </c>
      <c r="AM267" s="199">
        <v>182689.13</v>
      </c>
      <c r="AN267" s="199">
        <v>46644.43</v>
      </c>
      <c r="AO267" s="199">
        <v>6873.67</v>
      </c>
      <c r="AP267" s="199">
        <v>7325.53</v>
      </c>
      <c r="AQ267" s="199">
        <v>4768.0200000000004</v>
      </c>
      <c r="AR267" s="199">
        <v>0</v>
      </c>
      <c r="AS267" s="199">
        <v>1139660.08</v>
      </c>
      <c r="AT267"/>
      <c r="AU267"/>
      <c r="AV267" t="str">
        <f t="shared" si="80"/>
        <v>18402</v>
      </c>
      <c r="AW267" s="241">
        <f t="shared" si="81"/>
        <v>1139660.08</v>
      </c>
      <c r="AY267" s="167">
        <f t="shared" si="84"/>
        <v>0</v>
      </c>
      <c r="BA267" s="197">
        <v>260</v>
      </c>
      <c r="BB267" s="73" t="s">
        <v>382</v>
      </c>
      <c r="BC267" s="73" t="s">
        <v>1441</v>
      </c>
      <c r="BD267" s="56">
        <v>1319364.3300000008</v>
      </c>
    </row>
    <row r="268" spans="1:56">
      <c r="A268" s="197">
        <v>261</v>
      </c>
      <c r="B268" s="73" t="s">
        <v>326</v>
      </c>
      <c r="C268" s="73" t="s">
        <v>1442</v>
      </c>
      <c r="D268" s="168">
        <v>0</v>
      </c>
      <c r="E268" s="170">
        <v>96474.500000000015</v>
      </c>
      <c r="F268" s="171">
        <f t="shared" si="73"/>
        <v>96474.500000000015</v>
      </c>
      <c r="G268" s="182">
        <v>88822.92</v>
      </c>
      <c r="H268" s="179">
        <v>7651.5800000000163</v>
      </c>
      <c r="I268" s="170">
        <v>130950.89</v>
      </c>
      <c r="J268" s="171">
        <f t="shared" si="74"/>
        <v>138602.47000000003</v>
      </c>
      <c r="K268" s="205">
        <v>137178.56999999998</v>
      </c>
      <c r="L268" s="171">
        <v>1423.9000000000524</v>
      </c>
      <c r="M268" s="199">
        <v>122238.06</v>
      </c>
      <c r="N268" s="171">
        <f t="shared" si="75"/>
        <v>123661.96000000005</v>
      </c>
      <c r="O268" s="205">
        <v>195163.91999999998</v>
      </c>
      <c r="P268" s="241">
        <v>0</v>
      </c>
      <c r="Q268" s="199">
        <v>128903.36</v>
      </c>
      <c r="R268" s="171">
        <f t="shared" si="76"/>
        <v>128903.36</v>
      </c>
      <c r="S268" s="205">
        <v>152624.91999999998</v>
      </c>
      <c r="T268" s="241">
        <v>0</v>
      </c>
      <c r="U268" s="241">
        <v>127376.13</v>
      </c>
      <c r="V268" s="171">
        <f t="shared" si="77"/>
        <v>127376.13</v>
      </c>
      <c r="W268" s="56">
        <v>129637.97</v>
      </c>
      <c r="X268" s="658">
        <f t="shared" si="82"/>
        <v>0</v>
      </c>
      <c r="Y268" s="659">
        <v>138886.52999999997</v>
      </c>
      <c r="Z268" s="171">
        <f t="shared" si="78"/>
        <v>138886.52999999997</v>
      </c>
      <c r="AA268" s="56"/>
      <c r="AB268" s="241">
        <f t="shared" si="83"/>
        <v>138886.52999999997</v>
      </c>
      <c r="AC268" s="241"/>
      <c r="AE268" s="531">
        <f t="shared" si="79"/>
        <v>0</v>
      </c>
      <c r="AG268" t="s">
        <v>326</v>
      </c>
      <c r="AH268" t="s">
        <v>1802</v>
      </c>
      <c r="AI268" s="199">
        <v>103539.53</v>
      </c>
      <c r="AJ268" s="199">
        <v>6430.66</v>
      </c>
      <c r="AK268" s="199">
        <v>0</v>
      </c>
      <c r="AL268" s="199">
        <v>0</v>
      </c>
      <c r="AM268" s="199">
        <v>21565.17</v>
      </c>
      <c r="AN268" s="199">
        <v>4194.16</v>
      </c>
      <c r="AO268" s="199">
        <v>131.24</v>
      </c>
      <c r="AP268" s="199">
        <v>333.56</v>
      </c>
      <c r="AQ268" s="199">
        <v>614.27</v>
      </c>
      <c r="AR268" s="199">
        <v>2077.94</v>
      </c>
      <c r="AS268" s="199">
        <v>138886.52999999997</v>
      </c>
      <c r="AT268"/>
      <c r="AU268"/>
      <c r="AV268" t="str">
        <f t="shared" si="80"/>
        <v>15206</v>
      </c>
      <c r="AW268" s="241">
        <f t="shared" si="81"/>
        <v>138886.52999999997</v>
      </c>
      <c r="AY268" s="167">
        <f t="shared" si="84"/>
        <v>0</v>
      </c>
      <c r="BA268" s="197">
        <v>261</v>
      </c>
      <c r="BB268" s="73" t="s">
        <v>326</v>
      </c>
      <c r="BC268" s="73" t="s">
        <v>1442</v>
      </c>
      <c r="BD268" s="56">
        <v>129637.97</v>
      </c>
    </row>
    <row r="269" spans="1:56">
      <c r="A269" s="197">
        <v>262</v>
      </c>
      <c r="B269" s="73" t="s">
        <v>458</v>
      </c>
      <c r="C269" s="73" t="s">
        <v>1443</v>
      </c>
      <c r="D269" s="168">
        <v>0</v>
      </c>
      <c r="E269" s="170">
        <v>11687.57</v>
      </c>
      <c r="F269" s="171">
        <f t="shared" si="73"/>
        <v>11687.57</v>
      </c>
      <c r="G269" s="182"/>
      <c r="H269" s="179">
        <v>11687.57</v>
      </c>
      <c r="I269" s="170">
        <v>19453</v>
      </c>
      <c r="J269" s="171">
        <f t="shared" si="74"/>
        <v>31140.57</v>
      </c>
      <c r="K269" s="205"/>
      <c r="L269" s="171">
        <v>31140.57</v>
      </c>
      <c r="M269" s="199">
        <v>19572.96</v>
      </c>
      <c r="N269" s="171">
        <f t="shared" si="75"/>
        <v>50713.53</v>
      </c>
      <c r="O269" s="205">
        <v>22292.82</v>
      </c>
      <c r="P269" s="241">
        <v>28420.71</v>
      </c>
      <c r="Q269" s="199">
        <v>20621.170000000002</v>
      </c>
      <c r="R269" s="171">
        <f t="shared" si="76"/>
        <v>49041.880000000005</v>
      </c>
      <c r="S269" s="205">
        <v>16767.849999999999</v>
      </c>
      <c r="T269" s="241">
        <v>32274.030000000006</v>
      </c>
      <c r="U269" s="241">
        <v>23815.27</v>
      </c>
      <c r="V269" s="171">
        <f t="shared" si="77"/>
        <v>56089.3</v>
      </c>
      <c r="W269" s="56"/>
      <c r="X269" s="658">
        <f t="shared" si="82"/>
        <v>56089.3</v>
      </c>
      <c r="Y269" s="659">
        <v>25657.420000000002</v>
      </c>
      <c r="Z269" s="171">
        <f t="shared" si="78"/>
        <v>81746.720000000001</v>
      </c>
      <c r="AA269" s="56"/>
      <c r="AB269" s="241">
        <f t="shared" si="83"/>
        <v>81746.720000000001</v>
      </c>
      <c r="AC269" s="241"/>
      <c r="AE269" s="531">
        <f t="shared" si="79"/>
        <v>0</v>
      </c>
      <c r="AG269" t="s">
        <v>458</v>
      </c>
      <c r="AH269" t="s">
        <v>1871</v>
      </c>
      <c r="AI269" s="199">
        <v>19647.41</v>
      </c>
      <c r="AJ269" s="199">
        <v>0</v>
      </c>
      <c r="AK269" s="199">
        <v>0</v>
      </c>
      <c r="AL269" s="199">
        <v>0</v>
      </c>
      <c r="AM269" s="199">
        <v>4469.1000000000004</v>
      </c>
      <c r="AN269" s="199">
        <v>1029.32</v>
      </c>
      <c r="AO269" s="199">
        <v>0</v>
      </c>
      <c r="AP269" s="199">
        <v>419.69</v>
      </c>
      <c r="AQ269" s="199">
        <v>91.9</v>
      </c>
      <c r="AR269" s="199">
        <v>0</v>
      </c>
      <c r="AS269" s="199">
        <v>25657.420000000002</v>
      </c>
      <c r="AT269"/>
      <c r="AU269"/>
      <c r="AV269" t="str">
        <f t="shared" si="80"/>
        <v>23042</v>
      </c>
      <c r="AW269" s="241">
        <f t="shared" si="81"/>
        <v>25657.420000000002</v>
      </c>
      <c r="AY269" s="167">
        <f t="shared" si="84"/>
        <v>0</v>
      </c>
      <c r="BA269" s="197">
        <v>262</v>
      </c>
      <c r="BB269" s="73" t="s">
        <v>458</v>
      </c>
      <c r="BC269" s="73" t="s">
        <v>1443</v>
      </c>
      <c r="BD269" s="56"/>
    </row>
    <row r="270" spans="1:56">
      <c r="A270" s="197">
        <v>263</v>
      </c>
      <c r="B270" s="73" t="s">
        <v>592</v>
      </c>
      <c r="C270" s="73" t="s">
        <v>1444</v>
      </c>
      <c r="D270" s="168">
        <v>0</v>
      </c>
      <c r="E270" s="170">
        <v>2026171.1</v>
      </c>
      <c r="F270" s="171">
        <f t="shared" si="73"/>
        <v>2026171.1</v>
      </c>
      <c r="G270" s="182">
        <v>2025772.12</v>
      </c>
      <c r="H270" s="179">
        <v>398.97999999998137</v>
      </c>
      <c r="I270" s="170">
        <v>2771932.5</v>
      </c>
      <c r="J270" s="171">
        <f t="shared" si="74"/>
        <v>2772331.48</v>
      </c>
      <c r="K270" s="205">
        <v>2717516.1799999992</v>
      </c>
      <c r="L270" s="171">
        <v>54815.300000000745</v>
      </c>
      <c r="M270" s="199">
        <v>2765232.42</v>
      </c>
      <c r="N270" s="171">
        <f t="shared" si="75"/>
        <v>2820047.7200000007</v>
      </c>
      <c r="O270" s="205">
        <v>2765232.42</v>
      </c>
      <c r="P270" s="241">
        <v>54815.300000000745</v>
      </c>
      <c r="Q270" s="199">
        <v>2986523.9399999995</v>
      </c>
      <c r="R270" s="171">
        <f t="shared" si="76"/>
        <v>3041339.24</v>
      </c>
      <c r="S270" s="205">
        <v>2987037.46</v>
      </c>
      <c r="T270" s="241">
        <v>54301.780000000261</v>
      </c>
      <c r="U270" s="241">
        <v>3018244.88</v>
      </c>
      <c r="V270" s="171">
        <f t="shared" si="77"/>
        <v>3072546.66</v>
      </c>
      <c r="W270" s="56">
        <v>3448875.6800000034</v>
      </c>
      <c r="X270" s="658">
        <f t="shared" si="82"/>
        <v>0</v>
      </c>
      <c r="Y270" s="659">
        <v>3184198.95</v>
      </c>
      <c r="Z270" s="171">
        <f t="shared" si="78"/>
        <v>3184198.95</v>
      </c>
      <c r="AA270" s="56"/>
      <c r="AB270" s="241">
        <f t="shared" si="83"/>
        <v>3184198.95</v>
      </c>
      <c r="AC270" s="241"/>
      <c r="AE270" s="531">
        <f t="shared" si="79"/>
        <v>0</v>
      </c>
      <c r="AG270" t="s">
        <v>592</v>
      </c>
      <c r="AH270" t="s">
        <v>1937</v>
      </c>
      <c r="AI270" s="199">
        <v>2193032.5299999998</v>
      </c>
      <c r="AJ270" s="199">
        <v>96553.71</v>
      </c>
      <c r="AK270" s="199">
        <v>22055.29</v>
      </c>
      <c r="AL270" s="199">
        <v>49422.58</v>
      </c>
      <c r="AM270" s="199">
        <v>484798.62</v>
      </c>
      <c r="AN270" s="199">
        <v>167896.78</v>
      </c>
      <c r="AO270" s="199">
        <v>79943.7</v>
      </c>
      <c r="AP270" s="199">
        <v>65502.61</v>
      </c>
      <c r="AQ270" s="199">
        <v>12645.91</v>
      </c>
      <c r="AR270" s="199">
        <v>12347.22</v>
      </c>
      <c r="AS270" s="199">
        <v>3184198.95</v>
      </c>
      <c r="AT270"/>
      <c r="AU270"/>
      <c r="AV270" t="str">
        <f t="shared" si="80"/>
        <v>32081</v>
      </c>
      <c r="AW270" s="241">
        <f t="shared" si="81"/>
        <v>3184198.95</v>
      </c>
      <c r="AY270" s="167">
        <f t="shared" si="84"/>
        <v>0</v>
      </c>
      <c r="BA270" s="197">
        <v>263</v>
      </c>
      <c r="BB270" s="73" t="s">
        <v>592</v>
      </c>
      <c r="BC270" s="73" t="s">
        <v>1444</v>
      </c>
      <c r="BD270" s="56">
        <v>3448875.6800000034</v>
      </c>
    </row>
    <row r="271" spans="1:56">
      <c r="A271" s="197">
        <v>264</v>
      </c>
      <c r="B271" s="73" t="s">
        <v>1446</v>
      </c>
      <c r="C271" s="73" t="s">
        <v>1447</v>
      </c>
      <c r="D271" s="168">
        <v>3782.8700000000008</v>
      </c>
      <c r="E271" s="170">
        <v>29981.399999999998</v>
      </c>
      <c r="F271" s="171">
        <f t="shared" si="73"/>
        <v>33764.269999999997</v>
      </c>
      <c r="G271" s="182">
        <v>24954.42</v>
      </c>
      <c r="H271" s="180">
        <v>8809.8499999999985</v>
      </c>
      <c r="I271" s="170">
        <v>60079.340000000004</v>
      </c>
      <c r="J271" s="171">
        <f t="shared" si="74"/>
        <v>68889.19</v>
      </c>
      <c r="K271" s="205">
        <v>52371.63</v>
      </c>
      <c r="L271" s="171">
        <v>16517.560000000005</v>
      </c>
      <c r="M271" s="199">
        <v>80523.959999999992</v>
      </c>
      <c r="N271" s="171">
        <f t="shared" si="75"/>
        <v>97041.51999999999</v>
      </c>
      <c r="O271" s="205">
        <v>98642.880000000005</v>
      </c>
      <c r="P271" s="241">
        <v>0</v>
      </c>
      <c r="Q271" s="199">
        <v>91473.76999999999</v>
      </c>
      <c r="R271" s="171">
        <f t="shared" si="76"/>
        <v>91473.76999999999</v>
      </c>
      <c r="S271" s="205">
        <v>111080.93000000001</v>
      </c>
      <c r="T271" s="241">
        <v>0</v>
      </c>
      <c r="U271" s="241">
        <v>92057.98000000001</v>
      </c>
      <c r="V271" s="171">
        <f t="shared" si="77"/>
        <v>92057.98000000001</v>
      </c>
      <c r="W271" s="56">
        <v>129812.30999999998</v>
      </c>
      <c r="X271" s="658">
        <f t="shared" si="82"/>
        <v>0</v>
      </c>
      <c r="Y271" s="659">
        <v>98552.36</v>
      </c>
      <c r="Z271" s="171">
        <f t="shared" si="78"/>
        <v>98552.36</v>
      </c>
      <c r="AA271" s="56"/>
      <c r="AB271" s="241">
        <f t="shared" si="83"/>
        <v>98552.36</v>
      </c>
      <c r="AC271" s="241"/>
      <c r="AE271" s="531">
        <f t="shared" si="79"/>
        <v>0</v>
      </c>
      <c r="AG271" t="s">
        <v>1446</v>
      </c>
      <c r="AH271" t="s">
        <v>2026</v>
      </c>
      <c r="AI271" s="199">
        <v>82359.23</v>
      </c>
      <c r="AJ271" s="199">
        <v>0</v>
      </c>
      <c r="AK271" s="199">
        <v>0</v>
      </c>
      <c r="AL271" s="199">
        <v>0</v>
      </c>
      <c r="AM271" s="199">
        <v>10741.72</v>
      </c>
      <c r="AN271" s="199">
        <v>3777.23</v>
      </c>
      <c r="AO271" s="199">
        <v>0</v>
      </c>
      <c r="AP271" s="199">
        <v>1309.6300000000001</v>
      </c>
      <c r="AQ271" s="199">
        <v>364.55</v>
      </c>
      <c r="AR271" s="199">
        <v>0</v>
      </c>
      <c r="AS271" s="199">
        <v>98552.36</v>
      </c>
      <c r="AT271"/>
      <c r="AU271"/>
      <c r="AV271" t="str">
        <f t="shared" si="80"/>
        <v>32901</v>
      </c>
      <c r="AW271" s="241">
        <f t="shared" si="81"/>
        <v>98552.36</v>
      </c>
      <c r="AY271" s="167">
        <f t="shared" si="84"/>
        <v>0</v>
      </c>
      <c r="BA271" s="197">
        <v>264</v>
      </c>
      <c r="BB271" s="73" t="s">
        <v>1446</v>
      </c>
      <c r="BC271" s="73" t="s">
        <v>1447</v>
      </c>
      <c r="BD271" s="56">
        <v>129812.30999999998</v>
      </c>
    </row>
    <row r="272" spans="1:56">
      <c r="A272" s="197">
        <v>265</v>
      </c>
      <c r="B272" s="73" t="s">
        <v>442</v>
      </c>
      <c r="C272" s="73" t="s">
        <v>1448</v>
      </c>
      <c r="D272" s="168">
        <v>0</v>
      </c>
      <c r="E272" s="170">
        <v>11826.68</v>
      </c>
      <c r="F272" s="171">
        <f t="shared" si="73"/>
        <v>11826.68</v>
      </c>
      <c r="G272" s="182">
        <v>5760.83</v>
      </c>
      <c r="H272" s="179">
        <v>6065.85</v>
      </c>
      <c r="I272" s="170">
        <v>17912.149999999998</v>
      </c>
      <c r="J272" s="171">
        <f t="shared" si="74"/>
        <v>23978</v>
      </c>
      <c r="K272" s="205">
        <v>13827.349999999999</v>
      </c>
      <c r="L272" s="171">
        <v>10150.650000000001</v>
      </c>
      <c r="M272" s="199">
        <v>17930.599999999999</v>
      </c>
      <c r="N272" s="171">
        <f t="shared" si="75"/>
        <v>28081.25</v>
      </c>
      <c r="O272" s="205">
        <v>15983.18</v>
      </c>
      <c r="P272" s="241">
        <v>12098.07</v>
      </c>
      <c r="Q272" s="199">
        <v>18956.64</v>
      </c>
      <c r="R272" s="171">
        <f t="shared" si="76"/>
        <v>31054.71</v>
      </c>
      <c r="S272" s="205">
        <v>17877.059999999998</v>
      </c>
      <c r="T272" s="241">
        <v>13177.650000000001</v>
      </c>
      <c r="U272" s="241">
        <v>19031.84</v>
      </c>
      <c r="V272" s="171">
        <f t="shared" si="77"/>
        <v>32209.49</v>
      </c>
      <c r="W272" s="56">
        <v>19563.060000000005</v>
      </c>
      <c r="X272" s="658">
        <f t="shared" si="82"/>
        <v>12646.429999999997</v>
      </c>
      <c r="Y272" s="659">
        <v>19526.700000000004</v>
      </c>
      <c r="Z272" s="171">
        <f t="shared" si="78"/>
        <v>32173.13</v>
      </c>
      <c r="AA272" s="56"/>
      <c r="AB272" s="241">
        <f t="shared" si="83"/>
        <v>32173.13</v>
      </c>
      <c r="AC272" s="241"/>
      <c r="AE272" s="531">
        <f t="shared" si="79"/>
        <v>0</v>
      </c>
      <c r="AG272" t="s">
        <v>442</v>
      </c>
      <c r="AH272" t="s">
        <v>1863</v>
      </c>
      <c r="AI272" s="199">
        <v>17767.990000000002</v>
      </c>
      <c r="AJ272" s="199">
        <v>277.24</v>
      </c>
      <c r="AK272" s="199">
        <v>0</v>
      </c>
      <c r="AL272" s="199">
        <v>0</v>
      </c>
      <c r="AM272" s="199">
        <v>896.33</v>
      </c>
      <c r="AN272" s="199">
        <v>402.85</v>
      </c>
      <c r="AO272" s="199">
        <v>160.84</v>
      </c>
      <c r="AP272" s="199">
        <v>0</v>
      </c>
      <c r="AQ272" s="199">
        <v>21.45</v>
      </c>
      <c r="AR272" s="199">
        <v>0</v>
      </c>
      <c r="AS272" s="199">
        <v>19526.700000000004</v>
      </c>
      <c r="AT272"/>
      <c r="AU272"/>
      <c r="AV272" t="str">
        <f t="shared" si="80"/>
        <v>22008</v>
      </c>
      <c r="AW272" s="241">
        <f t="shared" si="81"/>
        <v>19526.700000000004</v>
      </c>
      <c r="AY272" s="167">
        <f t="shared" si="84"/>
        <v>0</v>
      </c>
      <c r="BA272" s="197">
        <v>265</v>
      </c>
      <c r="BB272" s="73" t="s">
        <v>442</v>
      </c>
      <c r="BC272" s="73" t="s">
        <v>1448</v>
      </c>
      <c r="BD272" s="56">
        <v>19563.060000000005</v>
      </c>
    </row>
    <row r="273" spans="1:56">
      <c r="A273" s="197">
        <v>266</v>
      </c>
      <c r="B273" s="73" t="s">
        <v>707</v>
      </c>
      <c r="C273" s="73" t="s">
        <v>1449</v>
      </c>
      <c r="D273" s="168">
        <v>0</v>
      </c>
      <c r="E273" s="170">
        <v>14023.789999999999</v>
      </c>
      <c r="F273" s="171">
        <f t="shared" si="73"/>
        <v>14023.789999999999</v>
      </c>
      <c r="G273" s="182">
        <v>13063.94</v>
      </c>
      <c r="H273" s="179">
        <v>959.84999999999854</v>
      </c>
      <c r="I273" s="170">
        <v>21847.350000000002</v>
      </c>
      <c r="J273" s="171">
        <f t="shared" si="74"/>
        <v>22807.200000000001</v>
      </c>
      <c r="K273" s="205">
        <v>20262.52</v>
      </c>
      <c r="L273" s="171">
        <v>2544.6800000000003</v>
      </c>
      <c r="M273" s="199">
        <v>21300.260000000002</v>
      </c>
      <c r="N273" s="171">
        <f t="shared" si="75"/>
        <v>23844.940000000002</v>
      </c>
      <c r="O273" s="205">
        <v>21485.74</v>
      </c>
      <c r="P273" s="241">
        <v>2359.2000000000007</v>
      </c>
      <c r="Q273" s="199">
        <v>24425.62</v>
      </c>
      <c r="R273" s="171">
        <f t="shared" si="76"/>
        <v>26784.82</v>
      </c>
      <c r="S273" s="205">
        <v>21067.61</v>
      </c>
      <c r="T273" s="241">
        <v>5717.2099999999991</v>
      </c>
      <c r="U273" s="241">
        <v>24284.949999999997</v>
      </c>
      <c r="V273" s="171">
        <f t="shared" si="77"/>
        <v>30002.159999999996</v>
      </c>
      <c r="W273" s="56"/>
      <c r="X273" s="658">
        <f t="shared" si="82"/>
        <v>30002.159999999996</v>
      </c>
      <c r="Y273" s="659">
        <v>28014.84</v>
      </c>
      <c r="Z273" s="171">
        <f t="shared" si="78"/>
        <v>58017</v>
      </c>
      <c r="AA273" s="56"/>
      <c r="AB273" s="241">
        <f t="shared" si="83"/>
        <v>58017</v>
      </c>
      <c r="AC273" s="241"/>
      <c r="AE273" s="531">
        <f t="shared" si="79"/>
        <v>0</v>
      </c>
      <c r="AG273" t="s">
        <v>707</v>
      </c>
      <c r="AH273" t="s">
        <v>1999</v>
      </c>
      <c r="AI273" s="199">
        <v>22974.32</v>
      </c>
      <c r="AJ273" s="199">
        <v>1010.94</v>
      </c>
      <c r="AK273" s="199">
        <v>0</v>
      </c>
      <c r="AL273" s="199">
        <v>0</v>
      </c>
      <c r="AM273" s="199">
        <v>2407.48</v>
      </c>
      <c r="AN273" s="199">
        <v>637.20000000000005</v>
      </c>
      <c r="AO273" s="199">
        <v>185.34</v>
      </c>
      <c r="AP273" s="199">
        <v>0</v>
      </c>
      <c r="AQ273" s="199">
        <v>0</v>
      </c>
      <c r="AR273" s="199">
        <v>799.56</v>
      </c>
      <c r="AS273" s="199">
        <v>28014.84</v>
      </c>
      <c r="AT273"/>
      <c r="AU273"/>
      <c r="AV273" t="str">
        <f t="shared" si="80"/>
        <v>38322</v>
      </c>
      <c r="AW273" s="241">
        <f t="shared" si="81"/>
        <v>28014.84</v>
      </c>
      <c r="AY273" s="167">
        <f t="shared" si="84"/>
        <v>0</v>
      </c>
      <c r="BA273" s="197">
        <v>266</v>
      </c>
      <c r="BB273" s="73" t="s">
        <v>707</v>
      </c>
      <c r="BC273" s="73" t="s">
        <v>1449</v>
      </c>
      <c r="BD273" s="56"/>
    </row>
    <row r="274" spans="1:56">
      <c r="A274" s="197">
        <v>267</v>
      </c>
      <c r="B274" s="73" t="s">
        <v>590</v>
      </c>
      <c r="C274" s="73" t="s">
        <v>1450</v>
      </c>
      <c r="D274" s="168">
        <v>3504.6899999999732</v>
      </c>
      <c r="E274" s="170">
        <v>340178.78</v>
      </c>
      <c r="F274" s="171">
        <f t="shared" si="73"/>
        <v>343683.47</v>
      </c>
      <c r="G274" s="182">
        <v>324945.01</v>
      </c>
      <c r="H274" s="179">
        <v>18738.459999999963</v>
      </c>
      <c r="I274" s="170">
        <v>453492.13</v>
      </c>
      <c r="J274" s="171">
        <f t="shared" si="74"/>
        <v>472230.58999999997</v>
      </c>
      <c r="K274" s="205">
        <v>483278.98999999987</v>
      </c>
      <c r="L274" s="171">
        <v>0</v>
      </c>
      <c r="M274" s="199">
        <v>480010.82</v>
      </c>
      <c r="N274" s="171">
        <f t="shared" si="75"/>
        <v>480010.82</v>
      </c>
      <c r="O274" s="205">
        <v>480010.81000000006</v>
      </c>
      <c r="P274" s="241">
        <v>9.9999999511055648E-3</v>
      </c>
      <c r="Q274" s="199">
        <v>532344.94999999995</v>
      </c>
      <c r="R274" s="171">
        <f t="shared" si="76"/>
        <v>532344.96</v>
      </c>
      <c r="S274" s="205">
        <v>532344.94999999995</v>
      </c>
      <c r="T274" s="241">
        <v>1.0000000009313226E-2</v>
      </c>
      <c r="U274" s="241">
        <v>542546.99</v>
      </c>
      <c r="V274" s="171">
        <f t="shared" si="77"/>
        <v>542547</v>
      </c>
      <c r="W274" s="56">
        <v>542547.00000000035</v>
      </c>
      <c r="X274" s="658">
        <f t="shared" si="82"/>
        <v>0</v>
      </c>
      <c r="Y274" s="659">
        <v>578249.12</v>
      </c>
      <c r="Z274" s="171">
        <f t="shared" si="78"/>
        <v>578249.12</v>
      </c>
      <c r="AA274" s="56"/>
      <c r="AB274" s="241">
        <f t="shared" si="83"/>
        <v>578249.12</v>
      </c>
      <c r="AC274" s="241"/>
      <c r="AE274" s="531">
        <f t="shared" si="79"/>
        <v>0</v>
      </c>
      <c r="AG274" t="s">
        <v>590</v>
      </c>
      <c r="AH274" t="s">
        <v>1936</v>
      </c>
      <c r="AI274" s="199">
        <v>410065.66</v>
      </c>
      <c r="AJ274" s="199">
        <v>37589.96</v>
      </c>
      <c r="AK274" s="199">
        <v>8546.41</v>
      </c>
      <c r="AL274" s="199">
        <v>0</v>
      </c>
      <c r="AM274" s="199">
        <v>92893.38</v>
      </c>
      <c r="AN274" s="199">
        <v>16833.39</v>
      </c>
      <c r="AO274" s="199">
        <v>0</v>
      </c>
      <c r="AP274" s="199">
        <v>4900.41</v>
      </c>
      <c r="AQ274" s="199">
        <v>2432.4299999999998</v>
      </c>
      <c r="AR274" s="199">
        <v>4987.4799999999996</v>
      </c>
      <c r="AS274" s="199">
        <v>578249.12</v>
      </c>
      <c r="AT274"/>
      <c r="AU274"/>
      <c r="AV274" t="str">
        <f t="shared" si="80"/>
        <v>31401</v>
      </c>
      <c r="AW274" s="241">
        <f t="shared" si="81"/>
        <v>578249.12</v>
      </c>
      <c r="AY274" s="167">
        <f t="shared" si="84"/>
        <v>0</v>
      </c>
      <c r="BA274" s="197">
        <v>267</v>
      </c>
      <c r="BB274" s="73" t="s">
        <v>590</v>
      </c>
      <c r="BC274" s="73" t="s">
        <v>1450</v>
      </c>
      <c r="BD274" s="56">
        <v>542547.00000000035</v>
      </c>
    </row>
    <row r="275" spans="1:56">
      <c r="A275" s="197">
        <v>268</v>
      </c>
      <c r="B275" s="73" t="s">
        <v>271</v>
      </c>
      <c r="C275" s="73" t="s">
        <v>1451</v>
      </c>
      <c r="D275" s="168">
        <v>32.439999999999827</v>
      </c>
      <c r="E275" s="170">
        <v>2068.1799999999998</v>
      </c>
      <c r="F275" s="171">
        <f t="shared" si="73"/>
        <v>2100.62</v>
      </c>
      <c r="G275" s="182"/>
      <c r="H275" s="179">
        <v>2100.62</v>
      </c>
      <c r="I275" s="170">
        <v>3150.87</v>
      </c>
      <c r="J275" s="171">
        <f t="shared" si="74"/>
        <v>5251.49</v>
      </c>
      <c r="K275" s="205"/>
      <c r="L275" s="171">
        <v>5251.49</v>
      </c>
      <c r="M275" s="199">
        <v>2915.85</v>
      </c>
      <c r="N275" s="171">
        <f t="shared" si="75"/>
        <v>8167.34</v>
      </c>
      <c r="O275" s="205">
        <v>2434.67</v>
      </c>
      <c r="P275" s="241">
        <v>5732.67</v>
      </c>
      <c r="Q275" s="199">
        <v>3056.14</v>
      </c>
      <c r="R275" s="171">
        <f t="shared" si="76"/>
        <v>8788.81</v>
      </c>
      <c r="S275" s="205">
        <v>5017.83</v>
      </c>
      <c r="T275" s="241">
        <v>3770.9799999999996</v>
      </c>
      <c r="U275" s="241">
        <v>2933.41</v>
      </c>
      <c r="V275" s="171">
        <f t="shared" si="77"/>
        <v>6704.3899999999994</v>
      </c>
      <c r="W275" s="56">
        <v>7274.6799999999994</v>
      </c>
      <c r="X275" s="658">
        <f t="shared" si="82"/>
        <v>0</v>
      </c>
      <c r="Y275" s="659">
        <v>3205.9</v>
      </c>
      <c r="Z275" s="171">
        <f t="shared" si="78"/>
        <v>3205.9</v>
      </c>
      <c r="AA275" s="56"/>
      <c r="AB275" s="241">
        <f t="shared" si="83"/>
        <v>3205.9</v>
      </c>
      <c r="AC275" s="241"/>
      <c r="AE275" s="531">
        <f t="shared" si="79"/>
        <v>0</v>
      </c>
      <c r="AG275" t="s">
        <v>271</v>
      </c>
      <c r="AH275" t="s">
        <v>1774</v>
      </c>
      <c r="AI275" s="199">
        <v>3205.9</v>
      </c>
      <c r="AJ275" s="199">
        <v>0</v>
      </c>
      <c r="AK275" s="199">
        <v>0</v>
      </c>
      <c r="AL275" s="199">
        <v>0</v>
      </c>
      <c r="AM275" s="199">
        <v>0</v>
      </c>
      <c r="AN275" s="199">
        <v>0</v>
      </c>
      <c r="AO275" s="199">
        <v>0</v>
      </c>
      <c r="AP275" s="199">
        <v>0</v>
      </c>
      <c r="AQ275" s="199">
        <v>0</v>
      </c>
      <c r="AR275" s="199">
        <v>0</v>
      </c>
      <c r="AS275" s="199">
        <v>3205.9</v>
      </c>
      <c r="AT275"/>
      <c r="AU275"/>
      <c r="AV275" t="str">
        <f t="shared" si="80"/>
        <v>11054</v>
      </c>
      <c r="AW275" s="241">
        <f t="shared" si="81"/>
        <v>3205.9</v>
      </c>
      <c r="AY275" s="167">
        <f t="shared" si="84"/>
        <v>0</v>
      </c>
      <c r="BA275" s="197">
        <v>268</v>
      </c>
      <c r="BB275" s="73" t="s">
        <v>271</v>
      </c>
      <c r="BC275" s="73" t="s">
        <v>1451</v>
      </c>
      <c r="BD275" s="56">
        <v>7274.6799999999994</v>
      </c>
    </row>
    <row r="276" spans="1:56">
      <c r="A276" s="197">
        <v>269</v>
      </c>
      <c r="B276" s="73" t="s">
        <v>231</v>
      </c>
      <c r="C276" s="73" t="s">
        <v>1452</v>
      </c>
      <c r="D276" s="168">
        <v>144.45000000000027</v>
      </c>
      <c r="E276" s="170">
        <v>3646.2400000000002</v>
      </c>
      <c r="F276" s="171">
        <f t="shared" si="73"/>
        <v>3790.6900000000005</v>
      </c>
      <c r="G276" s="182"/>
      <c r="H276" s="179">
        <v>3790.6900000000005</v>
      </c>
      <c r="I276" s="170">
        <v>5362.2</v>
      </c>
      <c r="J276" s="171">
        <f t="shared" si="74"/>
        <v>9152.89</v>
      </c>
      <c r="K276" s="205">
        <v>3527</v>
      </c>
      <c r="L276" s="171">
        <v>5625.8899999999994</v>
      </c>
      <c r="M276" s="199">
        <v>14781.189999999999</v>
      </c>
      <c r="N276" s="171">
        <f t="shared" si="75"/>
        <v>20407.079999999998</v>
      </c>
      <c r="O276" s="205">
        <v>4862.67</v>
      </c>
      <c r="P276" s="241">
        <v>15544.409999999998</v>
      </c>
      <c r="Q276" s="199">
        <v>15594.35</v>
      </c>
      <c r="R276" s="171">
        <f t="shared" si="76"/>
        <v>31138.76</v>
      </c>
      <c r="S276" s="205">
        <v>5395.7300000000005</v>
      </c>
      <c r="T276" s="241">
        <v>25743.03</v>
      </c>
      <c r="U276" s="241">
        <v>13648.61</v>
      </c>
      <c r="V276" s="171">
        <f t="shared" si="77"/>
        <v>39391.64</v>
      </c>
      <c r="W276" s="56">
        <v>3758.1</v>
      </c>
      <c r="X276" s="658">
        <f t="shared" si="82"/>
        <v>35633.54</v>
      </c>
      <c r="Y276" s="659">
        <v>18387.900000000001</v>
      </c>
      <c r="Z276" s="171">
        <f t="shared" si="78"/>
        <v>54021.440000000002</v>
      </c>
      <c r="AA276" s="56"/>
      <c r="AB276" s="241">
        <f t="shared" si="83"/>
        <v>54021.440000000002</v>
      </c>
      <c r="AC276" s="241"/>
      <c r="AE276" s="531">
        <f t="shared" si="79"/>
        <v>0</v>
      </c>
      <c r="AG276" t="s">
        <v>231</v>
      </c>
      <c r="AH276" t="s">
        <v>1754</v>
      </c>
      <c r="AI276" s="199">
        <v>1433.69</v>
      </c>
      <c r="AJ276" s="199">
        <v>0</v>
      </c>
      <c r="AK276" s="199">
        <v>0</v>
      </c>
      <c r="AL276" s="199">
        <v>0</v>
      </c>
      <c r="AM276" s="199">
        <v>10729.28</v>
      </c>
      <c r="AN276" s="199">
        <v>5825.15</v>
      </c>
      <c r="AO276" s="199">
        <v>110.28</v>
      </c>
      <c r="AP276" s="199">
        <v>0</v>
      </c>
      <c r="AQ276" s="199">
        <v>0</v>
      </c>
      <c r="AR276" s="199">
        <v>289.5</v>
      </c>
      <c r="AS276" s="199">
        <v>18387.900000000001</v>
      </c>
      <c r="AT276"/>
      <c r="AU276"/>
      <c r="AV276" t="str">
        <f t="shared" si="80"/>
        <v>07035</v>
      </c>
      <c r="AW276" s="241">
        <f t="shared" si="81"/>
        <v>18387.900000000001</v>
      </c>
      <c r="AY276" s="167">
        <f t="shared" si="84"/>
        <v>0</v>
      </c>
      <c r="BA276" s="197">
        <v>269</v>
      </c>
      <c r="BB276" s="73" t="s">
        <v>231</v>
      </c>
      <c r="BC276" s="73" t="s">
        <v>1452</v>
      </c>
      <c r="BD276" s="56">
        <v>3758.1</v>
      </c>
    </row>
    <row r="277" spans="1:56">
      <c r="A277" s="197">
        <v>270</v>
      </c>
      <c r="B277" s="73" t="s">
        <v>191</v>
      </c>
      <c r="C277" s="73" t="s">
        <v>1453</v>
      </c>
      <c r="D277" s="168">
        <v>872.78</v>
      </c>
      <c r="E277" s="170">
        <v>2073.58</v>
      </c>
      <c r="F277" s="171">
        <f t="shared" si="73"/>
        <v>2946.3599999999997</v>
      </c>
      <c r="G277" s="182"/>
      <c r="H277" s="179">
        <v>2946.3599999999997</v>
      </c>
      <c r="I277" s="170">
        <v>2889.57</v>
      </c>
      <c r="J277" s="171">
        <f t="shared" si="74"/>
        <v>5835.93</v>
      </c>
      <c r="K277" s="205"/>
      <c r="L277" s="171">
        <v>5835.93</v>
      </c>
      <c r="M277" s="199">
        <v>3327.13</v>
      </c>
      <c r="N277" s="171">
        <f t="shared" si="75"/>
        <v>9163.0600000000013</v>
      </c>
      <c r="O277" s="205"/>
      <c r="P277" s="241">
        <v>9163.0600000000013</v>
      </c>
      <c r="Q277" s="199">
        <v>3250.33</v>
      </c>
      <c r="R277" s="171">
        <f t="shared" si="76"/>
        <v>12413.390000000001</v>
      </c>
      <c r="S277" s="205">
        <v>0</v>
      </c>
      <c r="T277" s="241">
        <v>12413.390000000001</v>
      </c>
      <c r="U277" s="241">
        <v>3249.85</v>
      </c>
      <c r="V277" s="171">
        <f t="shared" si="77"/>
        <v>15663.240000000002</v>
      </c>
      <c r="W277" s="56">
        <v>15663.24</v>
      </c>
      <c r="X277" s="658">
        <f t="shared" si="82"/>
        <v>1.8189894035458565E-12</v>
      </c>
      <c r="Y277" s="659">
        <v>3605.68</v>
      </c>
      <c r="Z277" s="171">
        <f t="shared" si="78"/>
        <v>3605.6800000000017</v>
      </c>
      <c r="AA277" s="56"/>
      <c r="AB277" s="241">
        <f t="shared" si="83"/>
        <v>3605.6800000000017</v>
      </c>
      <c r="AC277" s="241"/>
      <c r="AE277" s="531">
        <f t="shared" si="79"/>
        <v>0</v>
      </c>
      <c r="AG277" t="s">
        <v>191</v>
      </c>
      <c r="AH277" t="s">
        <v>1732</v>
      </c>
      <c r="AI277" s="199">
        <v>3605.68</v>
      </c>
      <c r="AJ277" s="199">
        <v>0</v>
      </c>
      <c r="AK277" s="199">
        <v>0</v>
      </c>
      <c r="AL277" s="199">
        <v>0</v>
      </c>
      <c r="AM277" s="199">
        <v>0</v>
      </c>
      <c r="AN277" s="199">
        <v>0</v>
      </c>
      <c r="AO277" s="199">
        <v>0</v>
      </c>
      <c r="AP277" s="199">
        <v>0</v>
      </c>
      <c r="AQ277" s="199">
        <v>0</v>
      </c>
      <c r="AR277" s="199">
        <v>0</v>
      </c>
      <c r="AS277" s="199">
        <v>3605.68</v>
      </c>
      <c r="AT277"/>
      <c r="AU277"/>
      <c r="AV277" t="str">
        <f t="shared" si="80"/>
        <v>04069</v>
      </c>
      <c r="AW277" s="241">
        <f t="shared" si="81"/>
        <v>3605.68</v>
      </c>
      <c r="AY277" s="167">
        <f t="shared" si="84"/>
        <v>0</v>
      </c>
      <c r="BA277" s="197">
        <v>270</v>
      </c>
      <c r="BB277" s="73" t="s">
        <v>191</v>
      </c>
      <c r="BC277" s="73" t="s">
        <v>1453</v>
      </c>
      <c r="BD277" s="56">
        <v>15663.24</v>
      </c>
    </row>
    <row r="278" spans="1:56">
      <c r="A278" s="197">
        <v>271</v>
      </c>
      <c r="B278" s="73" t="s">
        <v>505</v>
      </c>
      <c r="C278" s="73" t="s">
        <v>1454</v>
      </c>
      <c r="D278" s="168">
        <v>22919.229999999996</v>
      </c>
      <c r="E278" s="170">
        <v>207557.63</v>
      </c>
      <c r="F278" s="171">
        <f t="shared" si="73"/>
        <v>230476.86</v>
      </c>
      <c r="G278" s="182">
        <v>180765.44</v>
      </c>
      <c r="H278" s="179">
        <v>49711.419999999984</v>
      </c>
      <c r="I278" s="170">
        <v>281547.06</v>
      </c>
      <c r="J278" s="171">
        <f t="shared" si="74"/>
        <v>331258.48</v>
      </c>
      <c r="K278" s="205">
        <v>331258.2</v>
      </c>
      <c r="L278" s="171">
        <v>0.27999999996973202</v>
      </c>
      <c r="M278" s="199">
        <v>281002.34000000003</v>
      </c>
      <c r="N278" s="171">
        <f t="shared" si="75"/>
        <v>281002.62</v>
      </c>
      <c r="O278" s="205">
        <v>281002.56</v>
      </c>
      <c r="P278" s="241">
        <v>5.9999999997671694E-2</v>
      </c>
      <c r="Q278" s="199">
        <v>301901.27999999997</v>
      </c>
      <c r="R278" s="171">
        <f t="shared" si="76"/>
        <v>301901.33999999997</v>
      </c>
      <c r="S278" s="205">
        <v>265883.84999999998</v>
      </c>
      <c r="T278" s="241">
        <v>36017.489999999991</v>
      </c>
      <c r="U278" s="241">
        <v>306327.90999999997</v>
      </c>
      <c r="V278" s="171">
        <f t="shared" si="77"/>
        <v>342345.39999999997</v>
      </c>
      <c r="W278" s="56">
        <v>325358.1100000001</v>
      </c>
      <c r="X278" s="658">
        <f t="shared" si="82"/>
        <v>16987.289999999863</v>
      </c>
      <c r="Y278" s="659">
        <v>326171.76</v>
      </c>
      <c r="Z278" s="171">
        <f t="shared" si="78"/>
        <v>343159.04999999987</v>
      </c>
      <c r="AA278" s="56"/>
      <c r="AB278" s="241">
        <f t="shared" si="83"/>
        <v>343159.04999999987</v>
      </c>
      <c r="AC278" s="241"/>
      <c r="AE278" s="531">
        <f t="shared" si="79"/>
        <v>0</v>
      </c>
      <c r="AG278" t="s">
        <v>505</v>
      </c>
      <c r="AH278" t="s">
        <v>1894</v>
      </c>
      <c r="AI278" s="199">
        <v>238247.73</v>
      </c>
      <c r="AJ278" s="199">
        <v>20965.89</v>
      </c>
      <c r="AK278" s="199">
        <v>1519.71</v>
      </c>
      <c r="AL278" s="199">
        <v>0</v>
      </c>
      <c r="AM278" s="199">
        <v>48197.14</v>
      </c>
      <c r="AN278" s="199">
        <v>8783.83</v>
      </c>
      <c r="AO278" s="199">
        <v>81.180000000000007</v>
      </c>
      <c r="AP278" s="199">
        <v>3159.57</v>
      </c>
      <c r="AQ278" s="199">
        <v>1388.2</v>
      </c>
      <c r="AR278" s="199">
        <v>3828.51</v>
      </c>
      <c r="AS278" s="199">
        <v>326171.76</v>
      </c>
      <c r="AT278"/>
      <c r="AU278"/>
      <c r="AV278" t="str">
        <f t="shared" si="80"/>
        <v>27001</v>
      </c>
      <c r="AW278" s="241">
        <f t="shared" si="81"/>
        <v>326171.76</v>
      </c>
      <c r="AY278" s="167">
        <f t="shared" si="84"/>
        <v>0</v>
      </c>
      <c r="BA278" s="197">
        <v>271</v>
      </c>
      <c r="BB278" s="73" t="s">
        <v>505</v>
      </c>
      <c r="BC278" s="73" t="s">
        <v>1454</v>
      </c>
      <c r="BD278" s="56">
        <v>325358.1100000001</v>
      </c>
    </row>
    <row r="279" spans="1:56">
      <c r="A279" s="197">
        <v>272</v>
      </c>
      <c r="B279" s="73" t="s">
        <v>699</v>
      </c>
      <c r="C279" s="73" t="s">
        <v>1455</v>
      </c>
      <c r="D279" s="168">
        <v>0</v>
      </c>
      <c r="E279" s="170">
        <v>3785.87</v>
      </c>
      <c r="F279" s="171">
        <f t="shared" si="73"/>
        <v>3785.87</v>
      </c>
      <c r="G279" s="182">
        <v>0.01</v>
      </c>
      <c r="H279" s="179">
        <v>3785.8599999999997</v>
      </c>
      <c r="I279" s="170">
        <v>5592.59</v>
      </c>
      <c r="J279" s="171">
        <f t="shared" si="74"/>
        <v>9378.4500000000007</v>
      </c>
      <c r="K279" s="205"/>
      <c r="L279" s="171">
        <v>9378.4500000000007</v>
      </c>
      <c r="M279" s="199">
        <v>5686.3200000000006</v>
      </c>
      <c r="N279" s="171">
        <f t="shared" si="75"/>
        <v>15064.77</v>
      </c>
      <c r="O279" s="205">
        <v>4987.2</v>
      </c>
      <c r="P279" s="241">
        <v>10077.57</v>
      </c>
      <c r="Q279" s="199">
        <v>5856.4000000000005</v>
      </c>
      <c r="R279" s="171">
        <f t="shared" si="76"/>
        <v>15933.970000000001</v>
      </c>
      <c r="S279" s="205">
        <v>4680.9799999999996</v>
      </c>
      <c r="T279" s="241">
        <v>11252.990000000002</v>
      </c>
      <c r="U279" s="241">
        <v>6115.29</v>
      </c>
      <c r="V279" s="171">
        <f t="shared" si="77"/>
        <v>17368.280000000002</v>
      </c>
      <c r="W279" s="56">
        <v>7406.3200000000006</v>
      </c>
      <c r="X279" s="658">
        <f t="shared" si="82"/>
        <v>9961.9600000000028</v>
      </c>
      <c r="Y279" s="659">
        <v>7174.84</v>
      </c>
      <c r="Z279" s="171">
        <f t="shared" si="78"/>
        <v>17136.800000000003</v>
      </c>
      <c r="AA279" s="56"/>
      <c r="AB279" s="241">
        <f t="shared" si="83"/>
        <v>17136.800000000003</v>
      </c>
      <c r="AC279" s="241"/>
      <c r="AE279" s="531">
        <f t="shared" si="79"/>
        <v>0</v>
      </c>
      <c r="AG279" t="s">
        <v>699</v>
      </c>
      <c r="AH279" t="s">
        <v>1995</v>
      </c>
      <c r="AI279" s="199">
        <v>5841.5</v>
      </c>
      <c r="AJ279" s="199">
        <v>0</v>
      </c>
      <c r="AK279" s="199">
        <v>0</v>
      </c>
      <c r="AL279" s="199">
        <v>0</v>
      </c>
      <c r="AM279" s="199">
        <v>584.64</v>
      </c>
      <c r="AN279" s="199">
        <v>0</v>
      </c>
      <c r="AO279" s="199">
        <v>0</v>
      </c>
      <c r="AP279" s="199">
        <v>0</v>
      </c>
      <c r="AQ279" s="199">
        <v>0</v>
      </c>
      <c r="AR279" s="199">
        <v>748.7</v>
      </c>
      <c r="AS279" s="199">
        <v>7174.84</v>
      </c>
      <c r="AT279"/>
      <c r="AU279"/>
      <c r="AV279" t="str">
        <f t="shared" si="80"/>
        <v>38304</v>
      </c>
      <c r="AW279" s="241">
        <f t="shared" si="81"/>
        <v>7174.84</v>
      </c>
      <c r="AY279" s="167">
        <f t="shared" si="84"/>
        <v>0</v>
      </c>
      <c r="BA279" s="197">
        <v>272</v>
      </c>
      <c r="BB279" s="73" t="s">
        <v>699</v>
      </c>
      <c r="BC279" s="73" t="s">
        <v>1455</v>
      </c>
      <c r="BD279" s="56">
        <v>7406.3200000000006</v>
      </c>
    </row>
    <row r="280" spans="1:56">
      <c r="A280" s="197">
        <v>273</v>
      </c>
      <c r="B280" s="73" t="s">
        <v>562</v>
      </c>
      <c r="C280" s="73" t="s">
        <v>1456</v>
      </c>
      <c r="D280" s="168">
        <v>24179.019999999997</v>
      </c>
      <c r="E280" s="170">
        <v>49493.319999999992</v>
      </c>
      <c r="F280" s="171">
        <f t="shared" si="73"/>
        <v>73672.34</v>
      </c>
      <c r="G280" s="182">
        <v>4719.63</v>
      </c>
      <c r="H280" s="179">
        <v>68952.709999999992</v>
      </c>
      <c r="I280" s="170">
        <v>67787.489999999991</v>
      </c>
      <c r="J280" s="171">
        <f t="shared" si="74"/>
        <v>136740.19999999998</v>
      </c>
      <c r="K280" s="205">
        <v>9498.2099999999991</v>
      </c>
      <c r="L280" s="171">
        <v>127241.98999999999</v>
      </c>
      <c r="M280" s="199">
        <v>67283.25</v>
      </c>
      <c r="N280" s="171">
        <f t="shared" si="75"/>
        <v>194525.24</v>
      </c>
      <c r="O280" s="205">
        <v>14694.67</v>
      </c>
      <c r="P280" s="241">
        <v>179830.56999999998</v>
      </c>
      <c r="Q280" s="199">
        <v>75277.670000000013</v>
      </c>
      <c r="R280" s="171">
        <f t="shared" si="76"/>
        <v>255108.24</v>
      </c>
      <c r="S280" s="205">
        <v>74493.179999999993</v>
      </c>
      <c r="T280" s="241">
        <v>180615.06</v>
      </c>
      <c r="U280" s="241">
        <v>69922.62</v>
      </c>
      <c r="V280" s="171">
        <f t="shared" si="77"/>
        <v>250537.68</v>
      </c>
      <c r="W280" s="56">
        <v>88553.050000000032</v>
      </c>
      <c r="X280" s="658">
        <f t="shared" si="82"/>
        <v>161984.62999999995</v>
      </c>
      <c r="Y280" s="659">
        <v>71237.399999999994</v>
      </c>
      <c r="Z280" s="171">
        <f t="shared" si="78"/>
        <v>233222.02999999994</v>
      </c>
      <c r="AA280" s="56"/>
      <c r="AB280" s="241">
        <f t="shared" si="83"/>
        <v>233222.02999999994</v>
      </c>
      <c r="AC280" s="241"/>
      <c r="AE280" s="531">
        <f t="shared" si="79"/>
        <v>0</v>
      </c>
      <c r="AG280" t="s">
        <v>562</v>
      </c>
      <c r="AH280" t="s">
        <v>1922</v>
      </c>
      <c r="AI280" s="199">
        <v>55820.59</v>
      </c>
      <c r="AJ280" s="199">
        <v>2501.31</v>
      </c>
      <c r="AK280" s="199">
        <v>1317.29</v>
      </c>
      <c r="AL280" s="199">
        <v>0</v>
      </c>
      <c r="AM280" s="199">
        <v>0</v>
      </c>
      <c r="AN280" s="199">
        <v>4115.74</v>
      </c>
      <c r="AO280" s="199">
        <v>3532.15</v>
      </c>
      <c r="AP280" s="199">
        <v>407.44</v>
      </c>
      <c r="AQ280" s="199">
        <v>310.94</v>
      </c>
      <c r="AR280" s="199">
        <v>3231.94</v>
      </c>
      <c r="AS280" s="199">
        <v>71237.399999999994</v>
      </c>
      <c r="AT280"/>
      <c r="AU280"/>
      <c r="AV280" t="str">
        <f t="shared" si="80"/>
        <v>30303</v>
      </c>
      <c r="AW280" s="241">
        <f t="shared" si="81"/>
        <v>71237.399999999994</v>
      </c>
      <c r="AY280" s="167">
        <f t="shared" si="84"/>
        <v>0</v>
      </c>
      <c r="BA280" s="197">
        <v>273</v>
      </c>
      <c r="BB280" s="73" t="s">
        <v>562</v>
      </c>
      <c r="BC280" s="73" t="s">
        <v>1456</v>
      </c>
      <c r="BD280" s="56">
        <v>88553.050000000032</v>
      </c>
    </row>
    <row r="281" spans="1:56">
      <c r="A281" s="197">
        <v>274</v>
      </c>
      <c r="B281" s="73" t="s">
        <v>584</v>
      </c>
      <c r="C281" s="73" t="s">
        <v>1457</v>
      </c>
      <c r="D281" s="168">
        <v>7218.1300000000047</v>
      </c>
      <c r="E281" s="170">
        <v>150885.29999999999</v>
      </c>
      <c r="F281" s="171">
        <f t="shared" ref="F281:F312" si="85">+D281+E281</f>
        <v>158103.43</v>
      </c>
      <c r="G281" s="182">
        <v>131180.04</v>
      </c>
      <c r="H281" s="179">
        <v>26923.389999999985</v>
      </c>
      <c r="I281" s="170">
        <v>199013.01</v>
      </c>
      <c r="J281" s="171">
        <f t="shared" ref="J281:J312" si="86">+H281+I281</f>
        <v>225936.4</v>
      </c>
      <c r="K281" s="205">
        <v>197019.03</v>
      </c>
      <c r="L281" s="171">
        <v>28917.369999999995</v>
      </c>
      <c r="M281" s="199">
        <v>216398.22999999998</v>
      </c>
      <c r="N281" s="171">
        <f t="shared" ref="N281:N312" si="87">+L281+M281</f>
        <v>245315.59999999998</v>
      </c>
      <c r="O281" s="205">
        <v>207020.65</v>
      </c>
      <c r="P281" s="241">
        <v>38294.949999999983</v>
      </c>
      <c r="Q281" s="199">
        <v>256532.2</v>
      </c>
      <c r="R281" s="171">
        <f t="shared" ref="R281:R312" si="88">+P281+Q281</f>
        <v>294827.15000000002</v>
      </c>
      <c r="S281" s="205">
        <v>222751.58000000005</v>
      </c>
      <c r="T281" s="241">
        <v>72075.569999999978</v>
      </c>
      <c r="U281" s="241">
        <v>261883.31</v>
      </c>
      <c r="V281" s="171">
        <f t="shared" ref="V281:V312" si="89">+T281+U281</f>
        <v>333958.88</v>
      </c>
      <c r="W281" s="56">
        <v>248132.65999999992</v>
      </c>
      <c r="X281" s="658">
        <f t="shared" si="82"/>
        <v>85826.220000000088</v>
      </c>
      <c r="Y281" s="659">
        <v>294323.07999999996</v>
      </c>
      <c r="Z281" s="171">
        <f t="shared" ref="Z281:Z312" si="90">+X281+Y281</f>
        <v>380149.30000000005</v>
      </c>
      <c r="AA281" s="56"/>
      <c r="AB281" s="241">
        <f t="shared" si="83"/>
        <v>380149.30000000005</v>
      </c>
      <c r="AC281" s="241"/>
      <c r="AE281" s="531">
        <f t="shared" si="79"/>
        <v>0</v>
      </c>
      <c r="AG281" t="s">
        <v>584</v>
      </c>
      <c r="AH281" t="s">
        <v>1933</v>
      </c>
      <c r="AI281" s="199">
        <v>190792.68</v>
      </c>
      <c r="AJ281" s="199">
        <v>16299.44</v>
      </c>
      <c r="AK281" s="199">
        <v>2440.04</v>
      </c>
      <c r="AL281" s="199">
        <v>0</v>
      </c>
      <c r="AM281" s="199">
        <v>44073.06</v>
      </c>
      <c r="AN281" s="199">
        <v>13197.88</v>
      </c>
      <c r="AO281" s="199">
        <v>10430.69</v>
      </c>
      <c r="AP281" s="199">
        <v>8702.7900000000009</v>
      </c>
      <c r="AQ281" s="199">
        <v>1093.5</v>
      </c>
      <c r="AR281" s="199">
        <v>7293</v>
      </c>
      <c r="AS281" s="199">
        <v>294323.07999999996</v>
      </c>
      <c r="AT281"/>
      <c r="AU281"/>
      <c r="AV281" t="str">
        <f t="shared" si="80"/>
        <v>31311</v>
      </c>
      <c r="AW281" s="241">
        <f t="shared" si="81"/>
        <v>294323.07999999996</v>
      </c>
      <c r="AY281" s="167">
        <f t="shared" si="84"/>
        <v>0</v>
      </c>
      <c r="BA281" s="197">
        <v>274</v>
      </c>
      <c r="BB281" s="73" t="s">
        <v>584</v>
      </c>
      <c r="BC281" s="73" t="s">
        <v>1457</v>
      </c>
      <c r="BD281" s="56">
        <v>248132.65999999992</v>
      </c>
    </row>
    <row r="282" spans="1:56">
      <c r="A282" s="197">
        <v>275</v>
      </c>
      <c r="B282" s="73" t="s">
        <v>630</v>
      </c>
      <c r="C282" s="73" t="s">
        <v>1462</v>
      </c>
      <c r="D282" s="168">
        <v>101.68000000000029</v>
      </c>
      <c r="E282" s="170">
        <v>4909.88</v>
      </c>
      <c r="F282" s="171">
        <f t="shared" si="85"/>
        <v>5011.5600000000004</v>
      </c>
      <c r="G282" s="182">
        <v>4561.25</v>
      </c>
      <c r="H282" s="179">
        <v>450.3100000000004</v>
      </c>
      <c r="I282" s="170">
        <v>7295.2</v>
      </c>
      <c r="J282" s="171">
        <f t="shared" si="86"/>
        <v>7745.51</v>
      </c>
      <c r="K282" s="205">
        <v>7664.35</v>
      </c>
      <c r="L282" s="171">
        <v>81.159999999999854</v>
      </c>
      <c r="M282" s="199">
        <v>8184.16</v>
      </c>
      <c r="N282" s="171">
        <f t="shared" si="87"/>
        <v>8265.32</v>
      </c>
      <c r="O282" s="205">
        <v>9003.36</v>
      </c>
      <c r="P282" s="241">
        <v>0</v>
      </c>
      <c r="Q282" s="199">
        <v>9771.33</v>
      </c>
      <c r="R282" s="171">
        <f t="shared" si="88"/>
        <v>9771.33</v>
      </c>
      <c r="S282" s="205">
        <v>10655.13</v>
      </c>
      <c r="T282" s="241">
        <v>0</v>
      </c>
      <c r="U282" s="241">
        <v>10900.23</v>
      </c>
      <c r="V282" s="171">
        <f t="shared" si="89"/>
        <v>10900.23</v>
      </c>
      <c r="W282" s="56">
        <v>12403.06</v>
      </c>
      <c r="X282" s="658">
        <f t="shared" si="82"/>
        <v>0</v>
      </c>
      <c r="Y282" s="659">
        <v>12519.64</v>
      </c>
      <c r="Z282" s="171">
        <f t="shared" si="90"/>
        <v>12519.64</v>
      </c>
      <c r="AA282" s="56"/>
      <c r="AB282" s="241">
        <f t="shared" si="83"/>
        <v>12519.64</v>
      </c>
      <c r="AC282" s="241"/>
      <c r="AE282" s="531">
        <f t="shared" si="79"/>
        <v>0</v>
      </c>
      <c r="AG282" t="s">
        <v>630</v>
      </c>
      <c r="AH282" t="s">
        <v>1957</v>
      </c>
      <c r="AI282" s="199">
        <v>9787.7099999999991</v>
      </c>
      <c r="AJ282" s="199">
        <v>0</v>
      </c>
      <c r="AK282" s="199">
        <v>0</v>
      </c>
      <c r="AL282" s="199">
        <v>0</v>
      </c>
      <c r="AM282" s="199">
        <v>1618.36</v>
      </c>
      <c r="AN282" s="199">
        <v>701.53</v>
      </c>
      <c r="AO282" s="199">
        <v>369.15</v>
      </c>
      <c r="AP282" s="199">
        <v>0</v>
      </c>
      <c r="AQ282" s="199">
        <v>42.89</v>
      </c>
      <c r="AR282" s="199">
        <v>0</v>
      </c>
      <c r="AS282" s="199">
        <v>12519.64</v>
      </c>
      <c r="AT282"/>
      <c r="AU282"/>
      <c r="AV282" t="str">
        <f t="shared" si="80"/>
        <v>33202</v>
      </c>
      <c r="AW282" s="241">
        <f t="shared" si="81"/>
        <v>12519.64</v>
      </c>
      <c r="AY282" s="167">
        <f t="shared" si="84"/>
        <v>0</v>
      </c>
      <c r="BA282" s="197">
        <v>275</v>
      </c>
      <c r="BB282" s="73" t="s">
        <v>630</v>
      </c>
      <c r="BC282" s="73" t="s">
        <v>1462</v>
      </c>
      <c r="BD282" s="56">
        <v>12403.06</v>
      </c>
    </row>
    <row r="283" spans="1:56">
      <c r="A283" s="197">
        <v>276</v>
      </c>
      <c r="B283" s="73" t="s">
        <v>1515</v>
      </c>
      <c r="C283" s="73" t="s">
        <v>1545</v>
      </c>
      <c r="D283" s="168">
        <v>12389.9</v>
      </c>
      <c r="E283" s="170">
        <v>31218.53</v>
      </c>
      <c r="F283" s="171">
        <f t="shared" si="85"/>
        <v>43608.43</v>
      </c>
      <c r="G283" s="182"/>
      <c r="H283" s="180">
        <v>43608.43</v>
      </c>
      <c r="I283" s="170">
        <v>48647.05</v>
      </c>
      <c r="J283" s="171">
        <f t="shared" si="86"/>
        <v>92255.48000000001</v>
      </c>
      <c r="K283" s="205">
        <v>39061.42</v>
      </c>
      <c r="L283" s="171">
        <v>53194.060000000012</v>
      </c>
      <c r="M283" s="199">
        <v>48478.1</v>
      </c>
      <c r="N283" s="171">
        <f t="shared" si="87"/>
        <v>101672.16</v>
      </c>
      <c r="O283" s="205">
        <v>46044.76</v>
      </c>
      <c r="P283" s="241">
        <v>55627.4</v>
      </c>
      <c r="Q283" s="199">
        <v>46259.96</v>
      </c>
      <c r="R283" s="171">
        <f t="shared" si="88"/>
        <v>101887.36</v>
      </c>
      <c r="S283" s="205">
        <v>37246.97</v>
      </c>
      <c r="T283" s="241">
        <v>64640.39</v>
      </c>
      <c r="U283" s="241">
        <v>53621.120000000003</v>
      </c>
      <c r="V283" s="171">
        <f t="shared" si="89"/>
        <v>118261.51000000001</v>
      </c>
      <c r="W283" s="56">
        <v>41249</v>
      </c>
      <c r="X283" s="658">
        <f t="shared" si="82"/>
        <v>77012.510000000009</v>
      </c>
      <c r="Y283" s="659">
        <v>62936.570000000007</v>
      </c>
      <c r="Z283" s="171">
        <f t="shared" si="90"/>
        <v>139949.08000000002</v>
      </c>
      <c r="AA283" s="56"/>
      <c r="AB283" s="241">
        <f t="shared" si="83"/>
        <v>139949.08000000002</v>
      </c>
      <c r="AC283" s="241"/>
      <c r="AE283" s="531">
        <f t="shared" si="79"/>
        <v>0</v>
      </c>
      <c r="AG283" t="s">
        <v>1515</v>
      </c>
      <c r="AH283" t="s">
        <v>1571</v>
      </c>
      <c r="AI283" s="199">
        <v>47851.8</v>
      </c>
      <c r="AJ283" s="199">
        <v>0</v>
      </c>
      <c r="AK283" s="199">
        <v>0</v>
      </c>
      <c r="AL283" s="199">
        <v>0</v>
      </c>
      <c r="AM283" s="199">
        <v>9172.65</v>
      </c>
      <c r="AN283" s="199">
        <v>2485.2199999999998</v>
      </c>
      <c r="AO283" s="199">
        <v>0</v>
      </c>
      <c r="AP283" s="199">
        <v>3132.29</v>
      </c>
      <c r="AQ283" s="199">
        <v>294.61</v>
      </c>
      <c r="AR283" s="199">
        <v>0</v>
      </c>
      <c r="AS283" s="199">
        <v>62936.570000000007</v>
      </c>
      <c r="AT283"/>
      <c r="AU283"/>
      <c r="AV283" t="str">
        <f t="shared" si="80"/>
        <v>17905</v>
      </c>
      <c r="AW283" s="241">
        <f t="shared" si="81"/>
        <v>62936.570000000007</v>
      </c>
      <c r="AY283" s="167">
        <f t="shared" si="84"/>
        <v>0</v>
      </c>
      <c r="BA283" s="197">
        <v>276</v>
      </c>
      <c r="BB283" s="73" t="s">
        <v>1515</v>
      </c>
      <c r="BC283" s="73" t="s">
        <v>1545</v>
      </c>
      <c r="BD283" s="56">
        <v>41249</v>
      </c>
    </row>
    <row r="284" spans="1:56">
      <c r="A284" s="197">
        <v>277</v>
      </c>
      <c r="B284" s="73" t="s">
        <v>1458</v>
      </c>
      <c r="C284" s="73" t="s">
        <v>1459</v>
      </c>
      <c r="D284" s="168">
        <v>7084.1899999999987</v>
      </c>
      <c r="E284" s="170">
        <v>14517.61</v>
      </c>
      <c r="F284" s="171">
        <f t="shared" si="85"/>
        <v>21601.8</v>
      </c>
      <c r="G284" s="182"/>
      <c r="H284" s="180">
        <v>21601.8</v>
      </c>
      <c r="I284" s="170">
        <v>22624.02</v>
      </c>
      <c r="J284" s="171">
        <f t="shared" si="86"/>
        <v>44225.82</v>
      </c>
      <c r="K284" s="205">
        <v>18219.29</v>
      </c>
      <c r="L284" s="171">
        <v>26006.53</v>
      </c>
      <c r="M284" s="199">
        <v>22077.360000000001</v>
      </c>
      <c r="N284" s="171">
        <f t="shared" si="87"/>
        <v>48083.89</v>
      </c>
      <c r="O284" s="205">
        <v>21048.25</v>
      </c>
      <c r="P284" s="241">
        <v>27035.64</v>
      </c>
      <c r="Q284" s="199">
        <v>20866.95</v>
      </c>
      <c r="R284" s="171">
        <f t="shared" si="88"/>
        <v>47902.59</v>
      </c>
      <c r="S284" s="205">
        <v>16868.7</v>
      </c>
      <c r="T284" s="241">
        <v>31033.889999999996</v>
      </c>
      <c r="U284" s="241">
        <v>22273.699999999997</v>
      </c>
      <c r="V284" s="171">
        <f t="shared" si="89"/>
        <v>53307.59</v>
      </c>
      <c r="W284" s="56">
        <v>18229.669999999998</v>
      </c>
      <c r="X284" s="658">
        <f t="shared" si="82"/>
        <v>35077.919999999998</v>
      </c>
      <c r="Y284" s="659">
        <v>20597.86</v>
      </c>
      <c r="Z284" s="171">
        <f t="shared" si="90"/>
        <v>55675.78</v>
      </c>
      <c r="AA284" s="56"/>
      <c r="AB284" s="241">
        <f t="shared" si="83"/>
        <v>55675.78</v>
      </c>
      <c r="AC284" s="241"/>
      <c r="AE284" s="531">
        <f t="shared" si="79"/>
        <v>0</v>
      </c>
      <c r="AG284" t="s">
        <v>1458</v>
      </c>
      <c r="AH284" t="s">
        <v>2025</v>
      </c>
      <c r="AI284" s="199">
        <v>16901.400000000001</v>
      </c>
      <c r="AJ284" s="199">
        <v>0</v>
      </c>
      <c r="AK284" s="199">
        <v>0</v>
      </c>
      <c r="AL284" s="199">
        <v>0</v>
      </c>
      <c r="AM284" s="199">
        <v>1589.79</v>
      </c>
      <c r="AN284" s="199">
        <v>993.29</v>
      </c>
      <c r="AO284" s="199">
        <v>770.28</v>
      </c>
      <c r="AP284" s="199">
        <v>293.35000000000002</v>
      </c>
      <c r="AQ284" s="199">
        <v>49.75</v>
      </c>
      <c r="AR284" s="199">
        <v>0</v>
      </c>
      <c r="AS284" s="199">
        <v>20597.86</v>
      </c>
      <c r="AT284"/>
      <c r="AU284"/>
      <c r="AV284" t="str">
        <f t="shared" si="80"/>
        <v>27905</v>
      </c>
      <c r="AW284" s="241">
        <f t="shared" si="81"/>
        <v>20597.86</v>
      </c>
      <c r="AY284" s="167">
        <f t="shared" si="84"/>
        <v>0</v>
      </c>
      <c r="BA284" s="197">
        <v>277</v>
      </c>
      <c r="BB284" s="73" t="s">
        <v>1458</v>
      </c>
      <c r="BC284" s="73" t="s">
        <v>1459</v>
      </c>
      <c r="BD284" s="56">
        <v>18229.669999999998</v>
      </c>
    </row>
    <row r="285" spans="1:56">
      <c r="A285" s="197">
        <v>278</v>
      </c>
      <c r="B285" s="73" t="s">
        <v>1460</v>
      </c>
      <c r="C285" s="73" t="s">
        <v>1461</v>
      </c>
      <c r="D285" s="168">
        <v>11229.019999999999</v>
      </c>
      <c r="E285" s="170">
        <v>20889.72</v>
      </c>
      <c r="F285" s="171">
        <f t="shared" si="85"/>
        <v>32118.739999999998</v>
      </c>
      <c r="G285" s="182"/>
      <c r="H285" s="180">
        <v>32118.739999999998</v>
      </c>
      <c r="I285" s="170">
        <v>36273.120000000003</v>
      </c>
      <c r="J285" s="171">
        <f t="shared" si="86"/>
        <v>68391.86</v>
      </c>
      <c r="K285" s="205">
        <v>29163.63</v>
      </c>
      <c r="L285" s="171">
        <v>39228.229999999996</v>
      </c>
      <c r="M285" s="199">
        <v>30143.579999999998</v>
      </c>
      <c r="N285" s="171">
        <f t="shared" si="87"/>
        <v>69371.81</v>
      </c>
      <c r="O285" s="205">
        <v>25236.870000000003</v>
      </c>
      <c r="P285" s="241">
        <v>44134.939999999995</v>
      </c>
      <c r="Q285" s="199">
        <v>24868.440000000002</v>
      </c>
      <c r="R285" s="171">
        <f t="shared" si="88"/>
        <v>69003.38</v>
      </c>
      <c r="S285" s="205">
        <v>21592.309999999998</v>
      </c>
      <c r="T285" s="241">
        <v>47411.070000000007</v>
      </c>
      <c r="U285" s="241">
        <v>24836.61</v>
      </c>
      <c r="V285" s="171">
        <f t="shared" si="89"/>
        <v>72247.680000000008</v>
      </c>
      <c r="W285" s="56">
        <v>20176.759999999998</v>
      </c>
      <c r="X285" s="658">
        <f t="shared" si="82"/>
        <v>52070.920000000013</v>
      </c>
      <c r="Y285" s="659">
        <v>26687.289999999997</v>
      </c>
      <c r="Z285" s="171">
        <f t="shared" si="90"/>
        <v>78758.210000000006</v>
      </c>
      <c r="AA285" s="56"/>
      <c r="AB285" s="241">
        <f t="shared" si="83"/>
        <v>78758.210000000006</v>
      </c>
      <c r="AC285" s="241"/>
      <c r="AE285" s="531">
        <f t="shared" si="79"/>
        <v>0</v>
      </c>
      <c r="AG285" t="s">
        <v>1460</v>
      </c>
      <c r="AH285" t="s">
        <v>2018</v>
      </c>
      <c r="AI285" s="199">
        <v>21231.919999999998</v>
      </c>
      <c r="AJ285" s="199">
        <v>0</v>
      </c>
      <c r="AK285" s="199">
        <v>0</v>
      </c>
      <c r="AL285" s="199">
        <v>0</v>
      </c>
      <c r="AM285" s="199">
        <v>3488.89</v>
      </c>
      <c r="AN285" s="199">
        <v>981.43</v>
      </c>
      <c r="AO285" s="199">
        <v>0</v>
      </c>
      <c r="AP285" s="199">
        <v>874.8</v>
      </c>
      <c r="AQ285" s="199">
        <v>110.25</v>
      </c>
      <c r="AR285" s="199">
        <v>0</v>
      </c>
      <c r="AS285" s="199">
        <v>26687.289999999997</v>
      </c>
      <c r="AT285"/>
      <c r="AU285"/>
      <c r="AV285" t="str">
        <f t="shared" si="80"/>
        <v>17902</v>
      </c>
      <c r="AW285" s="241">
        <f t="shared" si="81"/>
        <v>26687.289999999997</v>
      </c>
      <c r="AY285" s="167">
        <f t="shared" si="84"/>
        <v>0</v>
      </c>
      <c r="BA285" s="197">
        <v>278</v>
      </c>
      <c r="BB285" s="73" t="s">
        <v>1460</v>
      </c>
      <c r="BC285" s="73" t="s">
        <v>1461</v>
      </c>
      <c r="BD285" s="56">
        <v>20176.759999999998</v>
      </c>
    </row>
    <row r="286" spans="1:56">
      <c r="A286" s="197">
        <v>279</v>
      </c>
      <c r="B286" s="73" t="s">
        <v>515</v>
      </c>
      <c r="C286" s="73" t="s">
        <v>1463</v>
      </c>
      <c r="D286" s="168">
        <v>0</v>
      </c>
      <c r="E286" s="170">
        <v>656292.27000000014</v>
      </c>
      <c r="F286" s="171">
        <f t="shared" si="85"/>
        <v>656292.27000000014</v>
      </c>
      <c r="G286" s="182">
        <v>656292.27</v>
      </c>
      <c r="H286" s="179">
        <v>1.1641532182693481E-10</v>
      </c>
      <c r="I286" s="170">
        <v>936195.5199999999</v>
      </c>
      <c r="J286" s="171">
        <f t="shared" si="86"/>
        <v>936195.52</v>
      </c>
      <c r="K286" s="205">
        <v>1278829.6099999999</v>
      </c>
      <c r="L286" s="171">
        <v>0</v>
      </c>
      <c r="M286" s="199">
        <v>975914.63000000012</v>
      </c>
      <c r="N286" s="171">
        <f t="shared" si="87"/>
        <v>975914.63000000012</v>
      </c>
      <c r="O286" s="205">
        <v>1321066.6399999999</v>
      </c>
      <c r="P286" s="241">
        <v>0</v>
      </c>
      <c r="Q286" s="199">
        <v>1086196.46</v>
      </c>
      <c r="R286" s="171">
        <f t="shared" si="88"/>
        <v>1086196.46</v>
      </c>
      <c r="S286" s="205">
        <v>1449386.3199999998</v>
      </c>
      <c r="T286" s="241">
        <v>0</v>
      </c>
      <c r="U286" s="241">
        <v>1126296.78</v>
      </c>
      <c r="V286" s="171">
        <f t="shared" si="89"/>
        <v>1126296.78</v>
      </c>
      <c r="W286" s="56">
        <v>1499073.5199999996</v>
      </c>
      <c r="X286" s="658">
        <f t="shared" si="82"/>
        <v>0</v>
      </c>
      <c r="Y286" s="659">
        <v>1210976.7999999998</v>
      </c>
      <c r="Z286" s="171">
        <f t="shared" si="90"/>
        <v>1210976.7999999998</v>
      </c>
      <c r="AA286" s="56"/>
      <c r="AB286" s="241">
        <f t="shared" si="83"/>
        <v>1210976.7999999998</v>
      </c>
      <c r="AC286" s="241"/>
      <c r="AE286" s="531">
        <f t="shared" si="79"/>
        <v>0</v>
      </c>
      <c r="AG286" t="s">
        <v>515</v>
      </c>
      <c r="AH286" t="s">
        <v>2457</v>
      </c>
      <c r="AI286" s="199">
        <v>911529.74</v>
      </c>
      <c r="AJ286" s="199">
        <v>59221.81</v>
      </c>
      <c r="AK286" s="199">
        <v>11833.73</v>
      </c>
      <c r="AL286" s="199">
        <v>0</v>
      </c>
      <c r="AM286" s="199">
        <v>163877.29999999999</v>
      </c>
      <c r="AN286" s="199">
        <v>36135.919999999998</v>
      </c>
      <c r="AO286" s="199">
        <v>4384.8999999999996</v>
      </c>
      <c r="AP286" s="199">
        <v>18812.5</v>
      </c>
      <c r="AQ286" s="199">
        <v>5180.8999999999996</v>
      </c>
      <c r="AR286" s="199">
        <v>0</v>
      </c>
      <c r="AS286" s="199">
        <v>1210976.7999999998</v>
      </c>
      <c r="AT286"/>
      <c r="AU286"/>
      <c r="AV286" t="str">
        <f t="shared" si="80"/>
        <v>27320</v>
      </c>
      <c r="AW286" s="241">
        <f t="shared" si="81"/>
        <v>1210976.7999999998</v>
      </c>
      <c r="AY286" s="167">
        <f t="shared" si="84"/>
        <v>0</v>
      </c>
      <c r="BA286" s="197">
        <v>279</v>
      </c>
      <c r="BB286" s="73" t="s">
        <v>515</v>
      </c>
      <c r="BC286" s="73" t="s">
        <v>1463</v>
      </c>
      <c r="BD286" s="56">
        <v>1499073.5199999996</v>
      </c>
    </row>
    <row r="287" spans="1:56">
      <c r="A287" s="197">
        <v>280</v>
      </c>
      <c r="B287" s="73" t="s">
        <v>724</v>
      </c>
      <c r="C287" s="73" t="s">
        <v>1464</v>
      </c>
      <c r="D287" s="168">
        <v>15491.98000000004</v>
      </c>
      <c r="E287" s="170">
        <v>459427.4</v>
      </c>
      <c r="F287" s="171">
        <f t="shared" si="85"/>
        <v>474919.38000000006</v>
      </c>
      <c r="G287" s="182">
        <v>416081.97</v>
      </c>
      <c r="H287" s="179">
        <v>58837.410000000091</v>
      </c>
      <c r="I287" s="170">
        <v>673822.48</v>
      </c>
      <c r="J287" s="171">
        <f t="shared" si="86"/>
        <v>732659.89000000013</v>
      </c>
      <c r="K287" s="205">
        <v>642145.70000000019</v>
      </c>
      <c r="L287" s="171">
        <v>90514.189999999944</v>
      </c>
      <c r="M287" s="199">
        <v>681158.07000000007</v>
      </c>
      <c r="N287" s="171">
        <f t="shared" si="87"/>
        <v>771672.26</v>
      </c>
      <c r="O287" s="205">
        <v>654449.36</v>
      </c>
      <c r="P287" s="241">
        <v>117222.90000000002</v>
      </c>
      <c r="Q287" s="199">
        <v>716430.34000000008</v>
      </c>
      <c r="R287" s="171">
        <f t="shared" si="88"/>
        <v>833653.24000000011</v>
      </c>
      <c r="S287" s="205">
        <v>680859.62999999989</v>
      </c>
      <c r="T287" s="241">
        <v>152793.61000000022</v>
      </c>
      <c r="U287" s="241">
        <v>706641</v>
      </c>
      <c r="V287" s="171">
        <f t="shared" si="89"/>
        <v>859434.61000000022</v>
      </c>
      <c r="W287" s="56">
        <v>686623.54999999981</v>
      </c>
      <c r="X287" s="658">
        <f t="shared" si="82"/>
        <v>172811.06000000041</v>
      </c>
      <c r="Y287" s="659">
        <v>718871.08000000007</v>
      </c>
      <c r="Z287" s="171">
        <f t="shared" si="90"/>
        <v>891682.14000000048</v>
      </c>
      <c r="AA287" s="56"/>
      <c r="AB287" s="241">
        <f t="shared" si="83"/>
        <v>891682.14000000048</v>
      </c>
      <c r="AC287" s="241"/>
      <c r="AE287" s="531">
        <f t="shared" si="79"/>
        <v>0</v>
      </c>
      <c r="AG287" t="s">
        <v>724</v>
      </c>
      <c r="AH287" t="s">
        <v>2008</v>
      </c>
      <c r="AI287" s="199">
        <v>465466.19</v>
      </c>
      <c r="AJ287" s="199">
        <v>28529.88</v>
      </c>
      <c r="AK287" s="199">
        <v>3777.23</v>
      </c>
      <c r="AL287" s="199">
        <v>0</v>
      </c>
      <c r="AM287" s="199">
        <v>83028.25</v>
      </c>
      <c r="AN287" s="199">
        <v>56323</v>
      </c>
      <c r="AO287" s="199">
        <v>27511.279999999999</v>
      </c>
      <c r="AP287" s="199">
        <v>48292.17</v>
      </c>
      <c r="AQ287" s="199">
        <v>2625.37</v>
      </c>
      <c r="AR287" s="199">
        <v>3317.71</v>
      </c>
      <c r="AS287" s="199">
        <v>718871.08000000007</v>
      </c>
      <c r="AT287"/>
      <c r="AU287"/>
      <c r="AV287" t="str">
        <f t="shared" si="80"/>
        <v>39201</v>
      </c>
      <c r="AW287" s="241">
        <f t="shared" si="81"/>
        <v>718871.08000000007</v>
      </c>
      <c r="AY287" s="167">
        <f t="shared" si="84"/>
        <v>0</v>
      </c>
      <c r="BA287" s="197">
        <v>280</v>
      </c>
      <c r="BB287" s="73" t="s">
        <v>724</v>
      </c>
      <c r="BC287" s="73" t="s">
        <v>1464</v>
      </c>
      <c r="BD287" s="56">
        <v>686623.54999999981</v>
      </c>
    </row>
    <row r="288" spans="1:56">
      <c r="A288" s="197">
        <v>281</v>
      </c>
      <c r="B288" s="73" t="s">
        <v>1178</v>
      </c>
      <c r="C288" s="73" t="s">
        <v>1465</v>
      </c>
      <c r="D288" s="168">
        <v>7231.19</v>
      </c>
      <c r="E288" s="170">
        <v>14907.71</v>
      </c>
      <c r="F288" s="171">
        <f t="shared" si="85"/>
        <v>22138.899999999998</v>
      </c>
      <c r="G288" s="182"/>
      <c r="H288" s="179">
        <v>22138.899999999998</v>
      </c>
      <c r="I288" s="170">
        <v>23019.649999999998</v>
      </c>
      <c r="J288" s="171">
        <f t="shared" si="86"/>
        <v>45158.549999999996</v>
      </c>
      <c r="K288" s="205"/>
      <c r="L288" s="171">
        <v>45158.549999999996</v>
      </c>
      <c r="M288" s="199">
        <v>23534.030000000002</v>
      </c>
      <c r="N288" s="171">
        <f t="shared" si="87"/>
        <v>68692.58</v>
      </c>
      <c r="O288" s="205"/>
      <c r="P288" s="241">
        <v>68692.58</v>
      </c>
      <c r="Q288" s="199">
        <v>24323.24</v>
      </c>
      <c r="R288" s="171">
        <f t="shared" si="88"/>
        <v>93015.82</v>
      </c>
      <c r="S288" s="205">
        <v>0</v>
      </c>
      <c r="T288" s="241">
        <v>93015.82</v>
      </c>
      <c r="U288" s="241">
        <v>24208.429999999997</v>
      </c>
      <c r="V288" s="171">
        <f t="shared" si="89"/>
        <v>117224.25</v>
      </c>
      <c r="W288" s="56"/>
      <c r="X288" s="658">
        <f t="shared" si="82"/>
        <v>117224.25</v>
      </c>
      <c r="Y288" s="659">
        <v>25406.5</v>
      </c>
      <c r="Z288" s="171">
        <f t="shared" si="90"/>
        <v>142630.75</v>
      </c>
      <c r="AA288" s="56"/>
      <c r="AB288" s="241">
        <f t="shared" si="83"/>
        <v>142630.75</v>
      </c>
      <c r="AC288" s="241"/>
      <c r="AE288" s="531">
        <f t="shared" si="79"/>
        <v>0</v>
      </c>
      <c r="AG288" t="s">
        <v>1178</v>
      </c>
      <c r="AH288" t="s">
        <v>1833</v>
      </c>
      <c r="AI288" s="199">
        <v>22518.82</v>
      </c>
      <c r="AJ288" s="199">
        <v>674.18</v>
      </c>
      <c r="AK288" s="199">
        <v>48.8</v>
      </c>
      <c r="AL288" s="199">
        <v>0</v>
      </c>
      <c r="AM288" s="199">
        <v>1241.0999999999999</v>
      </c>
      <c r="AN288" s="199">
        <v>527.77</v>
      </c>
      <c r="AO288" s="199">
        <v>395.83</v>
      </c>
      <c r="AP288" s="199">
        <v>0</v>
      </c>
      <c r="AQ288" s="199">
        <v>0</v>
      </c>
      <c r="AR288" s="199">
        <v>0</v>
      </c>
      <c r="AS288" s="199">
        <v>25406.5</v>
      </c>
      <c r="AT288"/>
      <c r="AU288"/>
      <c r="AV288" t="str">
        <f t="shared" si="80"/>
        <v>18902</v>
      </c>
      <c r="AW288" s="241">
        <f t="shared" si="81"/>
        <v>25406.5</v>
      </c>
      <c r="AY288" s="167">
        <f t="shared" si="84"/>
        <v>0</v>
      </c>
      <c r="BA288" s="197">
        <v>281</v>
      </c>
      <c r="BB288" s="73" t="s">
        <v>1178</v>
      </c>
      <c r="BC288" s="73" t="s">
        <v>1465</v>
      </c>
      <c r="BD288" s="56"/>
    </row>
    <row r="289" spans="1:56">
      <c r="A289" s="197">
        <v>282</v>
      </c>
      <c r="B289" s="73" t="s">
        <v>509</v>
      </c>
      <c r="C289" s="73" t="s">
        <v>1466</v>
      </c>
      <c r="D289" s="168">
        <v>0</v>
      </c>
      <c r="E289" s="170">
        <v>2095808.63</v>
      </c>
      <c r="F289" s="171">
        <f t="shared" si="85"/>
        <v>2095808.63</v>
      </c>
      <c r="G289" s="182">
        <v>2451014.5699999998</v>
      </c>
      <c r="H289" s="179">
        <v>0</v>
      </c>
      <c r="I289" s="170">
        <v>2938167.9000000004</v>
      </c>
      <c r="J289" s="171">
        <f t="shared" si="86"/>
        <v>2938167.9000000004</v>
      </c>
      <c r="K289" s="205">
        <v>3786284.9200000009</v>
      </c>
      <c r="L289" s="171">
        <v>0</v>
      </c>
      <c r="M289" s="199">
        <v>2834142.37</v>
      </c>
      <c r="N289" s="171">
        <f t="shared" si="87"/>
        <v>2834142.37</v>
      </c>
      <c r="O289" s="205">
        <v>4419614.3600000003</v>
      </c>
      <c r="P289" s="241">
        <v>0</v>
      </c>
      <c r="Q289" s="199">
        <v>3091582.64</v>
      </c>
      <c r="R289" s="171">
        <f t="shared" si="88"/>
        <v>3091582.64</v>
      </c>
      <c r="S289" s="205">
        <v>3621401.7899999996</v>
      </c>
      <c r="T289" s="241">
        <v>0</v>
      </c>
      <c r="U289" s="241">
        <v>3193139.0300000003</v>
      </c>
      <c r="V289" s="171">
        <f t="shared" si="89"/>
        <v>3193139.0300000003</v>
      </c>
      <c r="W289" s="56">
        <v>4092654.6699999915</v>
      </c>
      <c r="X289" s="658">
        <f t="shared" si="82"/>
        <v>0</v>
      </c>
      <c r="Y289" s="659">
        <v>3492856.21</v>
      </c>
      <c r="Z289" s="171">
        <f t="shared" si="90"/>
        <v>3492856.21</v>
      </c>
      <c r="AA289" s="56"/>
      <c r="AB289" s="241">
        <f t="shared" si="83"/>
        <v>3492856.21</v>
      </c>
      <c r="AC289" s="241"/>
      <c r="AE289" s="531">
        <f t="shared" si="79"/>
        <v>0</v>
      </c>
      <c r="AG289" t="s">
        <v>509</v>
      </c>
      <c r="AH289" t="s">
        <v>1896</v>
      </c>
      <c r="AI289" s="199">
        <v>2351598.85</v>
      </c>
      <c r="AJ289" s="199">
        <v>145650.21</v>
      </c>
      <c r="AK289" s="199">
        <v>28254.77</v>
      </c>
      <c r="AL289" s="199">
        <v>3300.68</v>
      </c>
      <c r="AM289" s="199">
        <v>507094.54</v>
      </c>
      <c r="AN289" s="199">
        <v>170844.49</v>
      </c>
      <c r="AO289" s="199">
        <v>85704.45</v>
      </c>
      <c r="AP289" s="199">
        <v>104082.92</v>
      </c>
      <c r="AQ289" s="199">
        <v>13398.29</v>
      </c>
      <c r="AR289" s="199">
        <v>82927.009999999995</v>
      </c>
      <c r="AS289" s="199">
        <v>3492856.21</v>
      </c>
      <c r="AT289"/>
      <c r="AU289"/>
      <c r="AV289" t="str">
        <f t="shared" si="80"/>
        <v>27010</v>
      </c>
      <c r="AW289" s="241">
        <f t="shared" si="81"/>
        <v>3492856.21</v>
      </c>
      <c r="AY289" s="167">
        <f t="shared" si="84"/>
        <v>0</v>
      </c>
      <c r="BA289" s="197">
        <v>282</v>
      </c>
      <c r="BB289" s="73" t="s">
        <v>509</v>
      </c>
      <c r="BC289" s="73" t="s">
        <v>1466</v>
      </c>
      <c r="BD289" s="56">
        <v>4092654.6699999915</v>
      </c>
    </row>
    <row r="290" spans="1:56">
      <c r="A290" s="197">
        <v>283</v>
      </c>
      <c r="B290" s="73" t="s">
        <v>309</v>
      </c>
      <c r="C290" s="73" t="s">
        <v>1467</v>
      </c>
      <c r="D290" s="168">
        <v>0</v>
      </c>
      <c r="E290" s="170">
        <v>16425.97</v>
      </c>
      <c r="F290" s="171">
        <f t="shared" si="85"/>
        <v>16425.97</v>
      </c>
      <c r="G290" s="182">
        <v>57345.35</v>
      </c>
      <c r="H290" s="179">
        <v>0</v>
      </c>
      <c r="I290" s="170">
        <v>23967.25</v>
      </c>
      <c r="J290" s="171">
        <f t="shared" si="86"/>
        <v>23967.25</v>
      </c>
      <c r="K290" s="205">
        <v>50087.13</v>
      </c>
      <c r="L290" s="171">
        <v>0</v>
      </c>
      <c r="M290" s="199">
        <v>24003.71</v>
      </c>
      <c r="N290" s="171">
        <f t="shared" si="87"/>
        <v>24003.71</v>
      </c>
      <c r="O290" s="205">
        <v>60853.380000000005</v>
      </c>
      <c r="P290" s="241">
        <v>0</v>
      </c>
      <c r="Q290" s="199">
        <v>26195.059999999998</v>
      </c>
      <c r="R290" s="171">
        <f t="shared" si="88"/>
        <v>26195.059999999998</v>
      </c>
      <c r="S290" s="205">
        <v>31228.079999999998</v>
      </c>
      <c r="T290" s="241">
        <v>0</v>
      </c>
      <c r="U290" s="241">
        <v>27761.14</v>
      </c>
      <c r="V290" s="171">
        <f t="shared" si="89"/>
        <v>27761.14</v>
      </c>
      <c r="W290" s="56">
        <v>33135.17</v>
      </c>
      <c r="X290" s="658">
        <f t="shared" si="82"/>
        <v>0</v>
      </c>
      <c r="Y290" s="659">
        <v>30599.939999999995</v>
      </c>
      <c r="Z290" s="171">
        <f t="shared" si="90"/>
        <v>30599.939999999995</v>
      </c>
      <c r="AA290" s="56"/>
      <c r="AB290" s="241">
        <f t="shared" si="83"/>
        <v>30599.939999999995</v>
      </c>
      <c r="AC290" s="241"/>
      <c r="AE290" s="531">
        <f t="shared" si="79"/>
        <v>0</v>
      </c>
      <c r="AG290" t="s">
        <v>309</v>
      </c>
      <c r="AH290" t="s">
        <v>1793</v>
      </c>
      <c r="AI290" s="199">
        <v>24965.55</v>
      </c>
      <c r="AJ290" s="199">
        <v>364.55</v>
      </c>
      <c r="AK290" s="199">
        <v>13.78</v>
      </c>
      <c r="AL290" s="199">
        <v>0</v>
      </c>
      <c r="AM290" s="199">
        <v>3030.46</v>
      </c>
      <c r="AN290" s="199">
        <v>1396.94</v>
      </c>
      <c r="AO290" s="199">
        <v>828.66</v>
      </c>
      <c r="AP290" s="199">
        <v>0</v>
      </c>
      <c r="AQ290" s="199">
        <v>0</v>
      </c>
      <c r="AR290" s="199">
        <v>0</v>
      </c>
      <c r="AS290" s="199">
        <v>30599.939999999995</v>
      </c>
      <c r="AT290"/>
      <c r="AU290"/>
      <c r="AV290" t="str">
        <f t="shared" si="80"/>
        <v>14077</v>
      </c>
      <c r="AW290" s="241">
        <f t="shared" si="81"/>
        <v>30599.939999999995</v>
      </c>
      <c r="AY290" s="167">
        <f t="shared" si="84"/>
        <v>0</v>
      </c>
      <c r="BA290" s="197">
        <v>283</v>
      </c>
      <c r="BB290" s="73" t="s">
        <v>309</v>
      </c>
      <c r="BC290" s="73" t="s">
        <v>1467</v>
      </c>
      <c r="BD290" s="56">
        <v>33135.17</v>
      </c>
    </row>
    <row r="291" spans="1:56">
      <c r="A291" s="197">
        <v>284</v>
      </c>
      <c r="B291" s="73" t="s">
        <v>361</v>
      </c>
      <c r="C291" s="73" t="s">
        <v>1468</v>
      </c>
      <c r="D291" s="168">
        <v>18956.100000000035</v>
      </c>
      <c r="E291" s="170">
        <v>625712.98</v>
      </c>
      <c r="F291" s="171">
        <f t="shared" si="85"/>
        <v>644669.08000000007</v>
      </c>
      <c r="G291" s="182">
        <v>612080.63</v>
      </c>
      <c r="H291" s="179">
        <v>32588.45000000007</v>
      </c>
      <c r="I291" s="170">
        <v>890656.95</v>
      </c>
      <c r="J291" s="171">
        <f t="shared" si="86"/>
        <v>923245.4</v>
      </c>
      <c r="K291" s="205">
        <v>756332.74</v>
      </c>
      <c r="L291" s="171">
        <v>166912.66000000003</v>
      </c>
      <c r="M291" s="199">
        <v>930868.19000000006</v>
      </c>
      <c r="N291" s="171">
        <f t="shared" si="87"/>
        <v>1097780.8500000001</v>
      </c>
      <c r="O291" s="205">
        <v>802986.00999999989</v>
      </c>
      <c r="P291" s="241">
        <v>294794.8400000002</v>
      </c>
      <c r="Q291" s="199">
        <v>1023404.6699999999</v>
      </c>
      <c r="R291" s="171">
        <f t="shared" si="88"/>
        <v>1318199.5100000002</v>
      </c>
      <c r="S291" s="205">
        <v>997594.13</v>
      </c>
      <c r="T291" s="241">
        <v>320605.38000000024</v>
      </c>
      <c r="U291" s="241">
        <v>1052831.27</v>
      </c>
      <c r="V291" s="171">
        <f t="shared" si="89"/>
        <v>1373436.6500000004</v>
      </c>
      <c r="W291" s="56">
        <v>962383.99999999988</v>
      </c>
      <c r="X291" s="658">
        <f t="shared" si="82"/>
        <v>411052.65000000049</v>
      </c>
      <c r="Y291" s="659">
        <v>1092095.21</v>
      </c>
      <c r="Z291" s="171">
        <f t="shared" si="90"/>
        <v>1503147.8600000003</v>
      </c>
      <c r="AA291" s="56"/>
      <c r="AB291" s="241">
        <f t="shared" si="83"/>
        <v>1503147.8600000003</v>
      </c>
      <c r="AC291" s="241"/>
      <c r="AE291" s="531">
        <f t="shared" si="79"/>
        <v>0</v>
      </c>
      <c r="AG291" t="s">
        <v>361</v>
      </c>
      <c r="AH291" t="s">
        <v>1820</v>
      </c>
      <c r="AI291" s="199">
        <v>851014.54</v>
      </c>
      <c r="AJ291" s="199">
        <v>53499.08</v>
      </c>
      <c r="AK291" s="199">
        <v>3965.39</v>
      </c>
      <c r="AL291" s="199">
        <v>0</v>
      </c>
      <c r="AM291" s="199">
        <v>140991.09</v>
      </c>
      <c r="AN291" s="199">
        <v>18765.509999999998</v>
      </c>
      <c r="AO291" s="199">
        <v>0</v>
      </c>
      <c r="AP291" s="199">
        <v>17055.650000000001</v>
      </c>
      <c r="AQ291" s="199">
        <v>4843.68</v>
      </c>
      <c r="AR291" s="199">
        <v>1960.27</v>
      </c>
      <c r="AS291" s="199">
        <v>1092095.21</v>
      </c>
      <c r="AT291"/>
      <c r="AU291"/>
      <c r="AV291" t="str">
        <f t="shared" si="80"/>
        <v>17409</v>
      </c>
      <c r="AW291" s="241">
        <f t="shared" si="81"/>
        <v>1092095.21</v>
      </c>
      <c r="AY291" s="167">
        <f t="shared" si="84"/>
        <v>0</v>
      </c>
      <c r="BA291" s="197">
        <v>284</v>
      </c>
      <c r="BB291" s="73" t="s">
        <v>361</v>
      </c>
      <c r="BC291" s="73" t="s">
        <v>1468</v>
      </c>
      <c r="BD291" s="56">
        <v>962383.99999999988</v>
      </c>
    </row>
    <row r="292" spans="1:56">
      <c r="A292" s="197">
        <v>285</v>
      </c>
      <c r="B292" s="73" t="s">
        <v>689</v>
      </c>
      <c r="C292" s="73" t="s">
        <v>1469</v>
      </c>
      <c r="D292" s="168">
        <v>321.4900000000016</v>
      </c>
      <c r="E292" s="170">
        <v>19172.870000000003</v>
      </c>
      <c r="F292" s="171">
        <f t="shared" si="85"/>
        <v>19494.360000000004</v>
      </c>
      <c r="G292" s="182">
        <v>21928.41</v>
      </c>
      <c r="H292" s="179">
        <v>0</v>
      </c>
      <c r="I292" s="170">
        <v>26345</v>
      </c>
      <c r="J292" s="171">
        <f t="shared" si="86"/>
        <v>26345</v>
      </c>
      <c r="K292" s="205">
        <v>26345</v>
      </c>
      <c r="L292" s="171">
        <v>0</v>
      </c>
      <c r="M292" s="199">
        <v>27128.94</v>
      </c>
      <c r="N292" s="171">
        <f t="shared" si="87"/>
        <v>27128.94</v>
      </c>
      <c r="O292" s="205">
        <v>27180.36</v>
      </c>
      <c r="P292" s="241">
        <v>0</v>
      </c>
      <c r="Q292" s="199">
        <v>29907.15</v>
      </c>
      <c r="R292" s="171">
        <f t="shared" si="88"/>
        <v>29907.15</v>
      </c>
      <c r="S292" s="205">
        <v>22672.34</v>
      </c>
      <c r="T292" s="241">
        <v>7234.8100000000013</v>
      </c>
      <c r="U292" s="241">
        <v>30011.799999999996</v>
      </c>
      <c r="V292" s="171">
        <f t="shared" si="89"/>
        <v>37246.61</v>
      </c>
      <c r="W292" s="56">
        <v>38037.160000000003</v>
      </c>
      <c r="X292" s="658">
        <f t="shared" si="82"/>
        <v>0</v>
      </c>
      <c r="Y292" s="659">
        <v>31774.91</v>
      </c>
      <c r="Z292" s="171">
        <f t="shared" si="90"/>
        <v>31774.91</v>
      </c>
      <c r="AA292" s="56"/>
      <c r="AB292" s="241">
        <f t="shared" si="83"/>
        <v>31774.91</v>
      </c>
      <c r="AC292" s="241"/>
      <c r="AE292" s="531">
        <f t="shared" si="79"/>
        <v>0</v>
      </c>
      <c r="AG292" t="s">
        <v>689</v>
      </c>
      <c r="AH292" t="s">
        <v>1990</v>
      </c>
      <c r="AI292" s="199">
        <v>22333.08</v>
      </c>
      <c r="AJ292" s="199">
        <v>1845.62</v>
      </c>
      <c r="AK292" s="199">
        <v>569.30999999999995</v>
      </c>
      <c r="AL292" s="199">
        <v>0</v>
      </c>
      <c r="AM292" s="199">
        <v>3133</v>
      </c>
      <c r="AN292" s="199">
        <v>1277.8499999999999</v>
      </c>
      <c r="AO292" s="199">
        <v>894.19</v>
      </c>
      <c r="AP292" s="199">
        <v>58.79</v>
      </c>
      <c r="AQ292" s="199">
        <v>80.45</v>
      </c>
      <c r="AR292" s="199">
        <v>1582.62</v>
      </c>
      <c r="AS292" s="199">
        <v>31774.91</v>
      </c>
      <c r="AT292"/>
      <c r="AU292"/>
      <c r="AV292" t="str">
        <f t="shared" si="80"/>
        <v>38265</v>
      </c>
      <c r="AW292" s="241">
        <f t="shared" si="81"/>
        <v>31774.91</v>
      </c>
      <c r="AY292" s="167">
        <f t="shared" si="84"/>
        <v>0</v>
      </c>
      <c r="BA292" s="197">
        <v>285</v>
      </c>
      <c r="BB292" s="73" t="s">
        <v>689</v>
      </c>
      <c r="BC292" s="73" t="s">
        <v>1469</v>
      </c>
      <c r="BD292" s="56">
        <v>38037.160000000003</v>
      </c>
    </row>
    <row r="293" spans="1:56">
      <c r="A293" s="197">
        <v>286</v>
      </c>
      <c r="B293" s="73" t="s">
        <v>654</v>
      </c>
      <c r="C293" s="73" t="s">
        <v>1470</v>
      </c>
      <c r="D293" s="168">
        <v>4418.8899999999994</v>
      </c>
      <c r="E293" s="170">
        <v>83276.58</v>
      </c>
      <c r="F293" s="171">
        <f t="shared" si="85"/>
        <v>87695.47</v>
      </c>
      <c r="G293" s="182">
        <v>86373.15</v>
      </c>
      <c r="H293" s="179">
        <v>1322.320000000007</v>
      </c>
      <c r="I293" s="170">
        <v>116208.86</v>
      </c>
      <c r="J293" s="171">
        <f t="shared" si="86"/>
        <v>117531.18000000001</v>
      </c>
      <c r="K293" s="205">
        <v>117584.64000000001</v>
      </c>
      <c r="L293" s="171">
        <v>0</v>
      </c>
      <c r="M293" s="199">
        <v>114186.56999999999</v>
      </c>
      <c r="N293" s="171">
        <f t="shared" si="87"/>
        <v>114186.56999999999</v>
      </c>
      <c r="O293" s="205">
        <v>122785.39999999998</v>
      </c>
      <c r="P293" s="241">
        <v>0</v>
      </c>
      <c r="Q293" s="199">
        <v>127686.73999999999</v>
      </c>
      <c r="R293" s="171">
        <f t="shared" si="88"/>
        <v>127686.73999999999</v>
      </c>
      <c r="S293" s="205">
        <v>127687.2</v>
      </c>
      <c r="T293" s="241">
        <v>0</v>
      </c>
      <c r="U293" s="241">
        <v>131706.1</v>
      </c>
      <c r="V293" s="171">
        <f t="shared" si="89"/>
        <v>131706.1</v>
      </c>
      <c r="W293" s="56">
        <v>168766.76999999993</v>
      </c>
      <c r="X293" s="658">
        <f t="shared" si="82"/>
        <v>0</v>
      </c>
      <c r="Y293" s="659">
        <v>138894.51</v>
      </c>
      <c r="Z293" s="171">
        <f t="shared" si="90"/>
        <v>138894.51</v>
      </c>
      <c r="AA293" s="56"/>
      <c r="AB293" s="241">
        <f t="shared" si="83"/>
        <v>138894.51</v>
      </c>
      <c r="AC293" s="241"/>
      <c r="AE293" s="531">
        <f t="shared" si="79"/>
        <v>0</v>
      </c>
      <c r="AG293" t="s">
        <v>654</v>
      </c>
      <c r="AH293" t="s">
        <v>1970</v>
      </c>
      <c r="AI293" s="199">
        <v>97256.76</v>
      </c>
      <c r="AJ293" s="199">
        <v>7549.86</v>
      </c>
      <c r="AK293" s="199">
        <v>2392.5500000000002</v>
      </c>
      <c r="AL293" s="199">
        <v>0</v>
      </c>
      <c r="AM293" s="199">
        <v>18833.45</v>
      </c>
      <c r="AN293" s="199">
        <v>6097.79</v>
      </c>
      <c r="AO293" s="199">
        <v>3933.47</v>
      </c>
      <c r="AP293" s="199">
        <v>543.77</v>
      </c>
      <c r="AQ293" s="199">
        <v>549.89</v>
      </c>
      <c r="AR293" s="199">
        <v>1736.97</v>
      </c>
      <c r="AS293" s="199">
        <v>138894.51</v>
      </c>
      <c r="AT293"/>
      <c r="AU293"/>
      <c r="AV293" t="str">
        <f t="shared" si="80"/>
        <v>34402</v>
      </c>
      <c r="AW293" s="241">
        <f t="shared" si="81"/>
        <v>138894.51</v>
      </c>
      <c r="AY293" s="167">
        <f t="shared" si="84"/>
        <v>0</v>
      </c>
      <c r="BA293" s="197">
        <v>286</v>
      </c>
      <c r="BB293" s="73" t="s">
        <v>654</v>
      </c>
      <c r="BC293" s="73" t="s">
        <v>1470</v>
      </c>
      <c r="BD293" s="56">
        <v>168766.76999999993</v>
      </c>
    </row>
    <row r="294" spans="1:56">
      <c r="A294" s="197">
        <v>287</v>
      </c>
      <c r="B294" s="73" t="s">
        <v>388</v>
      </c>
      <c r="C294" s="73" t="s">
        <v>1471</v>
      </c>
      <c r="D294" s="168">
        <v>0</v>
      </c>
      <c r="E294" s="170">
        <v>19929.310000000001</v>
      </c>
      <c r="F294" s="171">
        <f t="shared" si="85"/>
        <v>19929.310000000001</v>
      </c>
      <c r="G294" s="182">
        <v>28528.58</v>
      </c>
      <c r="H294" s="179">
        <v>0</v>
      </c>
      <c r="I294" s="170">
        <v>29833.86</v>
      </c>
      <c r="J294" s="171">
        <f t="shared" si="86"/>
        <v>29833.86</v>
      </c>
      <c r="K294" s="205">
        <v>40724.92</v>
      </c>
      <c r="L294" s="171">
        <v>0</v>
      </c>
      <c r="M294" s="199">
        <v>30584.06</v>
      </c>
      <c r="N294" s="171">
        <f t="shared" si="87"/>
        <v>30584.06</v>
      </c>
      <c r="O294" s="205">
        <v>43130.28</v>
      </c>
      <c r="P294" s="241">
        <v>0</v>
      </c>
      <c r="Q294" s="199">
        <v>36164.959999999999</v>
      </c>
      <c r="R294" s="171">
        <f t="shared" si="88"/>
        <v>36164.959999999999</v>
      </c>
      <c r="S294" s="205">
        <v>42364.13</v>
      </c>
      <c r="T294" s="241">
        <v>0</v>
      </c>
      <c r="U294" s="241">
        <v>37982.83</v>
      </c>
      <c r="V294" s="171">
        <f t="shared" si="89"/>
        <v>37982.83</v>
      </c>
      <c r="W294" s="56">
        <v>45826.92</v>
      </c>
      <c r="X294" s="658">
        <f t="shared" si="82"/>
        <v>0</v>
      </c>
      <c r="Y294" s="659">
        <v>37756.25</v>
      </c>
      <c r="Z294" s="171">
        <f t="shared" si="90"/>
        <v>37756.25</v>
      </c>
      <c r="AA294" s="56"/>
      <c r="AB294" s="241">
        <f t="shared" si="83"/>
        <v>37756.25</v>
      </c>
      <c r="AC294" s="241"/>
      <c r="AE294" s="531">
        <f t="shared" si="79"/>
        <v>0</v>
      </c>
      <c r="AG294" t="s">
        <v>388</v>
      </c>
      <c r="AH294" t="s">
        <v>1836</v>
      </c>
      <c r="AI294" s="199">
        <v>28533.61</v>
      </c>
      <c r="AJ294" s="199">
        <v>1620.38</v>
      </c>
      <c r="AK294" s="199">
        <v>870.27</v>
      </c>
      <c r="AL294" s="199">
        <v>0</v>
      </c>
      <c r="AM294" s="199">
        <v>3755.89</v>
      </c>
      <c r="AN294" s="199">
        <v>1282.67</v>
      </c>
      <c r="AO294" s="199">
        <v>0</v>
      </c>
      <c r="AP294" s="199">
        <v>128.26</v>
      </c>
      <c r="AQ294" s="199">
        <v>0</v>
      </c>
      <c r="AR294" s="199">
        <v>1565.17</v>
      </c>
      <c r="AS294" s="199">
        <v>37756.25</v>
      </c>
      <c r="AT294"/>
      <c r="AU294"/>
      <c r="AV294" t="str">
        <f t="shared" si="80"/>
        <v>19400</v>
      </c>
      <c r="AW294" s="241">
        <f t="shared" si="81"/>
        <v>37756.25</v>
      </c>
      <c r="AY294" s="167">
        <f t="shared" si="84"/>
        <v>0</v>
      </c>
      <c r="BA294" s="197">
        <v>287</v>
      </c>
      <c r="BB294" s="73" t="s">
        <v>388</v>
      </c>
      <c r="BC294" s="73" t="s">
        <v>1471</v>
      </c>
      <c r="BD294" s="56">
        <v>45826.92</v>
      </c>
    </row>
    <row r="295" spans="1:56">
      <c r="A295" s="197">
        <v>288</v>
      </c>
      <c r="B295" s="73" t="s">
        <v>430</v>
      </c>
      <c r="C295" s="73" t="s">
        <v>1472</v>
      </c>
      <c r="D295" s="168">
        <v>980.66000000000349</v>
      </c>
      <c r="E295" s="170">
        <v>51896.14</v>
      </c>
      <c r="F295" s="171">
        <f t="shared" si="85"/>
        <v>52876.800000000003</v>
      </c>
      <c r="G295" s="182">
        <v>47807.32</v>
      </c>
      <c r="H295" s="179">
        <v>5069.4800000000032</v>
      </c>
      <c r="I295" s="170">
        <v>71877.08</v>
      </c>
      <c r="J295" s="171">
        <f t="shared" si="86"/>
        <v>76946.559999999998</v>
      </c>
      <c r="K295" s="205">
        <v>57506.129999999983</v>
      </c>
      <c r="L295" s="171">
        <v>19440.430000000015</v>
      </c>
      <c r="M295" s="199">
        <v>75588.100000000006</v>
      </c>
      <c r="N295" s="171">
        <f t="shared" si="87"/>
        <v>95028.530000000028</v>
      </c>
      <c r="O295" s="205">
        <v>61878.630000000005</v>
      </c>
      <c r="P295" s="241">
        <v>33149.900000000023</v>
      </c>
      <c r="Q295" s="199">
        <v>81549.939999999988</v>
      </c>
      <c r="R295" s="171">
        <f t="shared" si="88"/>
        <v>114699.84000000001</v>
      </c>
      <c r="S295" s="205">
        <v>50258.57</v>
      </c>
      <c r="T295" s="241">
        <v>64441.270000000011</v>
      </c>
      <c r="U295" s="241">
        <v>86531.13</v>
      </c>
      <c r="V295" s="171">
        <f t="shared" si="89"/>
        <v>150972.40000000002</v>
      </c>
      <c r="W295" s="56">
        <v>78319.69</v>
      </c>
      <c r="X295" s="658">
        <f t="shared" si="82"/>
        <v>72652.710000000021</v>
      </c>
      <c r="Y295" s="659">
        <v>98476.070000000022</v>
      </c>
      <c r="Z295" s="171">
        <f t="shared" si="90"/>
        <v>171128.78000000003</v>
      </c>
      <c r="AA295" s="56"/>
      <c r="AB295" s="241">
        <f t="shared" si="83"/>
        <v>171128.78000000003</v>
      </c>
      <c r="AC295" s="241"/>
      <c r="AE295" s="531">
        <f t="shared" si="79"/>
        <v>0</v>
      </c>
      <c r="AG295" t="s">
        <v>430</v>
      </c>
      <c r="AH295" t="s">
        <v>1857</v>
      </c>
      <c r="AI295" s="199">
        <v>67553.070000000007</v>
      </c>
      <c r="AJ295" s="199">
        <v>5716.31</v>
      </c>
      <c r="AK295" s="199">
        <v>2523.2199999999998</v>
      </c>
      <c r="AL295" s="199">
        <v>0</v>
      </c>
      <c r="AM295" s="199">
        <v>14807.49</v>
      </c>
      <c r="AN295" s="199">
        <v>4432.2700000000004</v>
      </c>
      <c r="AO295" s="199">
        <v>2801.69</v>
      </c>
      <c r="AP295" s="199">
        <v>238.24</v>
      </c>
      <c r="AQ295" s="199">
        <v>403.78</v>
      </c>
      <c r="AR295" s="199">
        <v>0</v>
      </c>
      <c r="AS295" s="199">
        <v>98476.070000000022</v>
      </c>
      <c r="AT295"/>
      <c r="AU295"/>
      <c r="AV295" t="str">
        <f t="shared" si="80"/>
        <v>21237</v>
      </c>
      <c r="AW295" s="241">
        <f t="shared" si="81"/>
        <v>98476.070000000022</v>
      </c>
      <c r="AY295" s="167">
        <f t="shared" si="84"/>
        <v>0</v>
      </c>
      <c r="BA295" s="197">
        <v>288</v>
      </c>
      <c r="BB295" s="73" t="s">
        <v>430</v>
      </c>
      <c r="BC295" s="73" t="s">
        <v>1472</v>
      </c>
      <c r="BD295" s="56">
        <v>78319.69</v>
      </c>
    </row>
    <row r="296" spans="1:56">
      <c r="A296" s="197">
        <v>289</v>
      </c>
      <c r="B296" s="73" t="s">
        <v>484</v>
      </c>
      <c r="C296" s="73" t="s">
        <v>1473</v>
      </c>
      <c r="D296" s="168">
        <v>0</v>
      </c>
      <c r="E296" s="170">
        <v>67386.38</v>
      </c>
      <c r="F296" s="171">
        <f t="shared" si="85"/>
        <v>67386.38</v>
      </c>
      <c r="G296" s="182">
        <v>62619.57</v>
      </c>
      <c r="H296" s="179">
        <v>4766.8100000000049</v>
      </c>
      <c r="I296" s="170">
        <v>98085.34</v>
      </c>
      <c r="J296" s="171">
        <f t="shared" si="86"/>
        <v>102852.15</v>
      </c>
      <c r="K296" s="205">
        <v>97038.700000000026</v>
      </c>
      <c r="L296" s="171">
        <v>5813.449999999968</v>
      </c>
      <c r="M296" s="199">
        <v>98995.51999999999</v>
      </c>
      <c r="N296" s="171">
        <f t="shared" si="87"/>
        <v>104808.96999999996</v>
      </c>
      <c r="O296" s="205">
        <v>115176.44</v>
      </c>
      <c r="P296" s="241">
        <v>0</v>
      </c>
      <c r="Q296" s="199">
        <v>110770.1</v>
      </c>
      <c r="R296" s="171">
        <f t="shared" si="88"/>
        <v>110770.1</v>
      </c>
      <c r="S296" s="205">
        <v>88848.55</v>
      </c>
      <c r="T296" s="241">
        <v>21921.550000000003</v>
      </c>
      <c r="U296" s="241">
        <v>110232.49</v>
      </c>
      <c r="V296" s="171">
        <f t="shared" si="89"/>
        <v>132154.04</v>
      </c>
      <c r="W296" s="56">
        <v>102403.46999999997</v>
      </c>
      <c r="X296" s="658">
        <f t="shared" si="82"/>
        <v>29750.570000000036</v>
      </c>
      <c r="Y296" s="659">
        <v>111166.57</v>
      </c>
      <c r="Z296" s="171">
        <f t="shared" si="90"/>
        <v>140917.14000000004</v>
      </c>
      <c r="AA296" s="56"/>
      <c r="AB296" s="241">
        <f t="shared" si="83"/>
        <v>140917.14000000004</v>
      </c>
      <c r="AC296" s="241"/>
      <c r="AE296" s="531">
        <f t="shared" si="79"/>
        <v>0</v>
      </c>
      <c r="AG296" t="s">
        <v>484</v>
      </c>
      <c r="AH296" t="s">
        <v>1883</v>
      </c>
      <c r="AI296" s="199">
        <v>76745.460000000006</v>
      </c>
      <c r="AJ296" s="199">
        <v>3852.28</v>
      </c>
      <c r="AK296" s="199">
        <v>689.28</v>
      </c>
      <c r="AL296" s="199">
        <v>0</v>
      </c>
      <c r="AM296" s="199">
        <v>13574.35</v>
      </c>
      <c r="AN296" s="199">
        <v>7787.28</v>
      </c>
      <c r="AO296" s="199">
        <v>4926.0200000000004</v>
      </c>
      <c r="AP296" s="199">
        <v>3126.25</v>
      </c>
      <c r="AQ296" s="199">
        <v>465.65</v>
      </c>
      <c r="AR296" s="199">
        <v>0</v>
      </c>
      <c r="AS296" s="199">
        <v>111166.57</v>
      </c>
      <c r="AT296"/>
      <c r="AU296"/>
      <c r="AV296" t="str">
        <f t="shared" si="80"/>
        <v>24404</v>
      </c>
      <c r="AW296" s="241">
        <f t="shared" si="81"/>
        <v>111166.57</v>
      </c>
      <c r="AY296" s="167">
        <f t="shared" si="84"/>
        <v>0</v>
      </c>
      <c r="BA296" s="197">
        <v>289</v>
      </c>
      <c r="BB296" s="73" t="s">
        <v>484</v>
      </c>
      <c r="BC296" s="73" t="s">
        <v>1473</v>
      </c>
      <c r="BD296" s="56">
        <v>102403.46999999997</v>
      </c>
    </row>
    <row r="297" spans="1:56">
      <c r="A297" s="197">
        <v>290</v>
      </c>
      <c r="B297" s="73" t="s">
        <v>726</v>
      </c>
      <c r="C297" s="73" t="s">
        <v>1474</v>
      </c>
      <c r="D297" s="168">
        <v>0</v>
      </c>
      <c r="E297" s="170">
        <v>267315.03999999998</v>
      </c>
      <c r="F297" s="171">
        <f t="shared" si="85"/>
        <v>267315.03999999998</v>
      </c>
      <c r="G297" s="182">
        <v>250300.44</v>
      </c>
      <c r="H297" s="179">
        <v>17014.599999999977</v>
      </c>
      <c r="I297" s="170">
        <v>394998.14</v>
      </c>
      <c r="J297" s="171">
        <f t="shared" si="86"/>
        <v>412012.74</v>
      </c>
      <c r="K297" s="205">
        <v>317083.36999999988</v>
      </c>
      <c r="L297" s="171">
        <v>94929.370000000112</v>
      </c>
      <c r="M297" s="199">
        <v>389963.94</v>
      </c>
      <c r="N297" s="171">
        <f t="shared" si="87"/>
        <v>484893.31000000011</v>
      </c>
      <c r="O297" s="205">
        <v>257606.46000000002</v>
      </c>
      <c r="P297" s="241">
        <v>227286.85000000009</v>
      </c>
      <c r="Q297" s="199">
        <v>416003.9</v>
      </c>
      <c r="R297" s="171">
        <f t="shared" si="88"/>
        <v>643290.75000000012</v>
      </c>
      <c r="S297" s="205">
        <v>424446.47000000003</v>
      </c>
      <c r="T297" s="241">
        <v>218844.28000000009</v>
      </c>
      <c r="U297" s="241">
        <v>408016.13</v>
      </c>
      <c r="V297" s="171">
        <f t="shared" si="89"/>
        <v>626860.41000000015</v>
      </c>
      <c r="W297" s="56">
        <v>417765.35000000021</v>
      </c>
      <c r="X297" s="658">
        <f t="shared" si="82"/>
        <v>209095.05999999994</v>
      </c>
      <c r="Y297" s="659">
        <v>419464.31</v>
      </c>
      <c r="Z297" s="171">
        <f t="shared" si="90"/>
        <v>628559.36999999988</v>
      </c>
      <c r="AA297" s="56"/>
      <c r="AB297" s="241">
        <f t="shared" si="83"/>
        <v>628559.36999999988</v>
      </c>
      <c r="AC297" s="241"/>
      <c r="AE297" s="531">
        <f t="shared" si="79"/>
        <v>0</v>
      </c>
      <c r="AG297" t="s">
        <v>726</v>
      </c>
      <c r="AH297" t="s">
        <v>2009</v>
      </c>
      <c r="AI297" s="199">
        <v>226708.82</v>
      </c>
      <c r="AJ297" s="199">
        <v>45437.04</v>
      </c>
      <c r="AK297" s="199">
        <v>13428.62</v>
      </c>
      <c r="AL297" s="199">
        <v>0</v>
      </c>
      <c r="AM297" s="199">
        <v>51957.95</v>
      </c>
      <c r="AN297" s="199">
        <v>36157.86</v>
      </c>
      <c r="AO297" s="199">
        <v>15399.94</v>
      </c>
      <c r="AP297" s="199">
        <v>28669.27</v>
      </c>
      <c r="AQ297" s="199">
        <v>1704.81</v>
      </c>
      <c r="AR297" s="199">
        <v>0</v>
      </c>
      <c r="AS297" s="199">
        <v>419464.31</v>
      </c>
      <c r="AT297"/>
      <c r="AU297"/>
      <c r="AV297" t="str">
        <f t="shared" si="80"/>
        <v>39202</v>
      </c>
      <c r="AW297" s="241">
        <f t="shared" si="81"/>
        <v>419464.31</v>
      </c>
      <c r="AY297" s="167">
        <f t="shared" si="84"/>
        <v>0</v>
      </c>
      <c r="BA297" s="197">
        <v>290</v>
      </c>
      <c r="BB297" s="73" t="s">
        <v>726</v>
      </c>
      <c r="BC297" s="73" t="s">
        <v>1474</v>
      </c>
      <c r="BD297" s="56">
        <v>417765.35000000021</v>
      </c>
    </row>
    <row r="298" spans="1:56">
      <c r="A298" s="197">
        <v>291</v>
      </c>
      <c r="B298" s="73" t="s">
        <v>664</v>
      </c>
      <c r="C298" s="73" t="s">
        <v>1475</v>
      </c>
      <c r="D298" s="168">
        <v>2106.1699999999992</v>
      </c>
      <c r="E298" s="170">
        <v>18783.370000000003</v>
      </c>
      <c r="F298" s="171">
        <f t="shared" si="85"/>
        <v>20889.54</v>
      </c>
      <c r="G298" s="182">
        <v>14094.84</v>
      </c>
      <c r="H298" s="179">
        <v>6794.7000000000007</v>
      </c>
      <c r="I298" s="170">
        <v>28180.420000000006</v>
      </c>
      <c r="J298" s="171">
        <f t="shared" si="86"/>
        <v>34975.12000000001</v>
      </c>
      <c r="K298" s="205">
        <v>19118.2</v>
      </c>
      <c r="L298" s="171">
        <v>15856.920000000009</v>
      </c>
      <c r="M298" s="199">
        <v>27617.620000000003</v>
      </c>
      <c r="N298" s="171">
        <f t="shared" si="87"/>
        <v>43474.540000000008</v>
      </c>
      <c r="O298" s="205">
        <v>27683.03</v>
      </c>
      <c r="P298" s="241">
        <v>15791.510000000009</v>
      </c>
      <c r="Q298" s="199">
        <v>30018.560000000001</v>
      </c>
      <c r="R298" s="171">
        <f t="shared" si="88"/>
        <v>45810.070000000007</v>
      </c>
      <c r="S298" s="205">
        <v>19774.09</v>
      </c>
      <c r="T298" s="241">
        <v>26035.980000000007</v>
      </c>
      <c r="U298" s="241">
        <v>27464.22</v>
      </c>
      <c r="V298" s="171">
        <f t="shared" si="89"/>
        <v>53500.200000000012</v>
      </c>
      <c r="W298" s="56">
        <v>28521.749999999996</v>
      </c>
      <c r="X298" s="658">
        <f t="shared" si="82"/>
        <v>24978.450000000015</v>
      </c>
      <c r="Y298" s="659">
        <v>30510.790000000005</v>
      </c>
      <c r="Z298" s="171">
        <f t="shared" si="90"/>
        <v>55489.24000000002</v>
      </c>
      <c r="AA298" s="56"/>
      <c r="AB298" s="241">
        <f t="shared" si="83"/>
        <v>55489.24000000002</v>
      </c>
      <c r="AC298" s="241"/>
      <c r="AE298" s="531">
        <f t="shared" si="79"/>
        <v>0</v>
      </c>
      <c r="AG298" t="s">
        <v>664</v>
      </c>
      <c r="AH298" t="s">
        <v>1976</v>
      </c>
      <c r="AI298" s="199">
        <v>23092.25</v>
      </c>
      <c r="AJ298" s="199">
        <v>1231.5</v>
      </c>
      <c r="AK298" s="199">
        <v>182.27</v>
      </c>
      <c r="AL298" s="199">
        <v>0</v>
      </c>
      <c r="AM298" s="199">
        <v>1002.18</v>
      </c>
      <c r="AN298" s="199">
        <v>1278.99</v>
      </c>
      <c r="AO298" s="199">
        <v>1059.95</v>
      </c>
      <c r="AP298" s="199">
        <v>796.49</v>
      </c>
      <c r="AQ298" s="199">
        <v>102.62</v>
      </c>
      <c r="AR298" s="199">
        <v>1764.54</v>
      </c>
      <c r="AS298" s="199">
        <v>30510.790000000005</v>
      </c>
      <c r="AT298"/>
      <c r="AU298"/>
      <c r="AV298" t="str">
        <f t="shared" si="80"/>
        <v>36300</v>
      </c>
      <c r="AW298" s="241">
        <f t="shared" si="81"/>
        <v>30510.790000000005</v>
      </c>
      <c r="AY298" s="167">
        <f t="shared" si="84"/>
        <v>0</v>
      </c>
      <c r="BA298" s="197">
        <v>291</v>
      </c>
      <c r="BB298" s="73" t="s">
        <v>664</v>
      </c>
      <c r="BC298" s="73" t="s">
        <v>1475</v>
      </c>
      <c r="BD298" s="56">
        <v>28521.749999999996</v>
      </c>
    </row>
    <row r="299" spans="1:56">
      <c r="A299" s="197">
        <v>292</v>
      </c>
      <c r="B299" s="73" t="s">
        <v>235</v>
      </c>
      <c r="C299" s="73" t="s">
        <v>1476</v>
      </c>
      <c r="D299" s="168">
        <v>1648.6399999999994</v>
      </c>
      <c r="E299" s="170">
        <v>38632.020000000004</v>
      </c>
      <c r="F299" s="171">
        <f t="shared" si="85"/>
        <v>40280.660000000003</v>
      </c>
      <c r="G299" s="182">
        <v>40936.94</v>
      </c>
      <c r="H299" s="179">
        <v>0</v>
      </c>
      <c r="I299" s="170">
        <v>56350.64</v>
      </c>
      <c r="J299" s="171">
        <f t="shared" si="86"/>
        <v>56350.64</v>
      </c>
      <c r="K299" s="205">
        <v>54360.82</v>
      </c>
      <c r="L299" s="171">
        <v>1989.8199999999997</v>
      </c>
      <c r="M299" s="199">
        <v>57592.33</v>
      </c>
      <c r="N299" s="171">
        <f t="shared" si="87"/>
        <v>59582.15</v>
      </c>
      <c r="O299" s="205">
        <v>58790.159999999996</v>
      </c>
      <c r="P299" s="241">
        <v>791.99000000000524</v>
      </c>
      <c r="Q299" s="199">
        <v>64575.170000000006</v>
      </c>
      <c r="R299" s="171">
        <f t="shared" si="88"/>
        <v>65367.160000000011</v>
      </c>
      <c r="S299" s="205">
        <v>0</v>
      </c>
      <c r="T299" s="241">
        <v>65367.160000000011</v>
      </c>
      <c r="U299" s="241">
        <v>61898.04</v>
      </c>
      <c r="V299" s="171">
        <f t="shared" si="89"/>
        <v>127265.20000000001</v>
      </c>
      <c r="W299" s="56">
        <v>72133.41</v>
      </c>
      <c r="X299" s="658">
        <f t="shared" si="82"/>
        <v>55131.790000000008</v>
      </c>
      <c r="Y299" s="659">
        <v>63442.570000000007</v>
      </c>
      <c r="Z299" s="171">
        <f t="shared" si="90"/>
        <v>118574.36000000002</v>
      </c>
      <c r="AA299" s="56"/>
      <c r="AB299" s="241">
        <f t="shared" si="83"/>
        <v>118574.36000000002</v>
      </c>
      <c r="AC299" s="241"/>
      <c r="AE299" s="531">
        <f t="shared" si="79"/>
        <v>0</v>
      </c>
      <c r="AG299" t="s">
        <v>235</v>
      </c>
      <c r="AH299" t="s">
        <v>1756</v>
      </c>
      <c r="AI299" s="199">
        <v>56544.33</v>
      </c>
      <c r="AJ299" s="199">
        <v>2521.67</v>
      </c>
      <c r="AK299" s="199">
        <v>1095.3</v>
      </c>
      <c r="AL299" s="199">
        <v>0</v>
      </c>
      <c r="AM299" s="199">
        <v>0</v>
      </c>
      <c r="AN299" s="199">
        <v>2985.79</v>
      </c>
      <c r="AO299" s="199">
        <v>0</v>
      </c>
      <c r="AP299" s="199">
        <v>0</v>
      </c>
      <c r="AQ299" s="199">
        <v>295.48</v>
      </c>
      <c r="AR299" s="199">
        <v>0</v>
      </c>
      <c r="AS299" s="199">
        <v>63442.570000000007</v>
      </c>
      <c r="AT299"/>
      <c r="AU299"/>
      <c r="AV299" t="str">
        <f t="shared" si="80"/>
        <v>08130</v>
      </c>
      <c r="AW299" s="241">
        <f t="shared" si="81"/>
        <v>63442.570000000007</v>
      </c>
      <c r="AY299" s="167">
        <f t="shared" si="84"/>
        <v>0</v>
      </c>
      <c r="BA299" s="197">
        <v>292</v>
      </c>
      <c r="BB299" s="73" t="s">
        <v>235</v>
      </c>
      <c r="BC299" s="73" t="s">
        <v>1476</v>
      </c>
      <c r="BD299" s="56">
        <v>72133.41</v>
      </c>
    </row>
    <row r="300" spans="1:56">
      <c r="A300" s="197">
        <v>293</v>
      </c>
      <c r="B300" s="73" t="s">
        <v>402</v>
      </c>
      <c r="C300" s="73" t="s">
        <v>1477</v>
      </c>
      <c r="D300" s="168">
        <v>1407.5900000000011</v>
      </c>
      <c r="E300" s="170">
        <v>16345.16</v>
      </c>
      <c r="F300" s="171">
        <f t="shared" si="85"/>
        <v>17752.75</v>
      </c>
      <c r="G300" s="182">
        <v>16801.169999999998</v>
      </c>
      <c r="H300" s="179">
        <v>951.58000000000175</v>
      </c>
      <c r="I300" s="170">
        <v>20732.93</v>
      </c>
      <c r="J300" s="171">
        <f t="shared" si="86"/>
        <v>21684.510000000002</v>
      </c>
      <c r="K300" s="205">
        <v>27991.81</v>
      </c>
      <c r="L300" s="171">
        <v>0</v>
      </c>
      <c r="M300" s="199">
        <v>22530.12</v>
      </c>
      <c r="N300" s="171">
        <f t="shared" si="87"/>
        <v>22530.12</v>
      </c>
      <c r="O300" s="205">
        <v>32217.84</v>
      </c>
      <c r="P300" s="241">
        <v>0</v>
      </c>
      <c r="Q300" s="199">
        <v>24577.98</v>
      </c>
      <c r="R300" s="171">
        <f t="shared" si="88"/>
        <v>24577.98</v>
      </c>
      <c r="S300" s="205">
        <v>29542.21</v>
      </c>
      <c r="T300" s="241">
        <v>0</v>
      </c>
      <c r="U300" s="241">
        <v>26309.289999999997</v>
      </c>
      <c r="V300" s="171">
        <f t="shared" si="89"/>
        <v>26309.289999999997</v>
      </c>
      <c r="W300" s="56">
        <v>26384.76</v>
      </c>
      <c r="X300" s="658">
        <f t="shared" si="82"/>
        <v>0</v>
      </c>
      <c r="Y300" s="659">
        <v>28408.86</v>
      </c>
      <c r="Z300" s="171">
        <f t="shared" si="90"/>
        <v>28408.86</v>
      </c>
      <c r="AA300" s="56"/>
      <c r="AB300" s="241">
        <f t="shared" si="83"/>
        <v>28408.86</v>
      </c>
      <c r="AC300" s="241"/>
      <c r="AE300" s="531">
        <f t="shared" si="79"/>
        <v>0</v>
      </c>
      <c r="AG300" t="s">
        <v>402</v>
      </c>
      <c r="AH300" t="s">
        <v>1843</v>
      </c>
      <c r="AI300" s="199">
        <v>27410.18</v>
      </c>
      <c r="AJ300" s="199">
        <v>56.68</v>
      </c>
      <c r="AK300" s="199">
        <v>0</v>
      </c>
      <c r="AL300" s="199">
        <v>0</v>
      </c>
      <c r="AM300" s="199">
        <v>0</v>
      </c>
      <c r="AN300" s="199">
        <v>556.01</v>
      </c>
      <c r="AO300" s="199">
        <v>0</v>
      </c>
      <c r="AP300" s="199">
        <v>292.56</v>
      </c>
      <c r="AQ300" s="199">
        <v>93.43</v>
      </c>
      <c r="AR300" s="199">
        <v>0</v>
      </c>
      <c r="AS300" s="199">
        <v>28408.86</v>
      </c>
      <c r="AT300"/>
      <c r="AU300"/>
      <c r="AV300" t="str">
        <f t="shared" si="80"/>
        <v>20400</v>
      </c>
      <c r="AW300" s="241">
        <f t="shared" si="81"/>
        <v>28408.86</v>
      </c>
      <c r="AY300" s="167">
        <f t="shared" si="84"/>
        <v>0</v>
      </c>
      <c r="BA300" s="197">
        <v>293</v>
      </c>
      <c r="BB300" s="73" t="s">
        <v>402</v>
      </c>
      <c r="BC300" s="73" t="s">
        <v>1477</v>
      </c>
      <c r="BD300" s="56">
        <v>26384.76</v>
      </c>
    </row>
    <row r="301" spans="1:56">
      <c r="A301" s="197">
        <v>294</v>
      </c>
      <c r="B301" s="73" t="s">
        <v>356</v>
      </c>
      <c r="C301" s="73" t="s">
        <v>1478</v>
      </c>
      <c r="D301" s="168">
        <v>0</v>
      </c>
      <c r="E301" s="170">
        <v>224856.79</v>
      </c>
      <c r="F301" s="171">
        <f t="shared" si="85"/>
        <v>224856.79</v>
      </c>
      <c r="G301" s="182">
        <v>63176.17</v>
      </c>
      <c r="H301" s="179">
        <v>161680.62</v>
      </c>
      <c r="I301" s="170">
        <v>326482.44</v>
      </c>
      <c r="J301" s="171">
        <f t="shared" si="86"/>
        <v>488163.06</v>
      </c>
      <c r="K301" s="205">
        <v>8259.7199999999993</v>
      </c>
      <c r="L301" s="171">
        <v>479903.34</v>
      </c>
      <c r="M301" s="199">
        <v>312496.59999999998</v>
      </c>
      <c r="N301" s="171">
        <f t="shared" si="87"/>
        <v>792399.94</v>
      </c>
      <c r="O301" s="205">
        <v>53369.82</v>
      </c>
      <c r="P301" s="241">
        <v>739030.12</v>
      </c>
      <c r="Q301" s="199">
        <v>338246.55000000005</v>
      </c>
      <c r="R301" s="171">
        <f t="shared" si="88"/>
        <v>1077276.67</v>
      </c>
      <c r="S301" s="205">
        <v>414346.97</v>
      </c>
      <c r="T301" s="241">
        <v>662929.69999999995</v>
      </c>
      <c r="U301" s="241">
        <v>376085.78</v>
      </c>
      <c r="V301" s="171">
        <f t="shared" si="89"/>
        <v>1039015.48</v>
      </c>
      <c r="W301" s="56">
        <v>500425.05999999988</v>
      </c>
      <c r="X301" s="658">
        <f t="shared" si="82"/>
        <v>538590.42000000016</v>
      </c>
      <c r="Y301" s="659">
        <v>400472.21000000008</v>
      </c>
      <c r="Z301" s="171">
        <f t="shared" si="90"/>
        <v>939062.63000000024</v>
      </c>
      <c r="AA301" s="56"/>
      <c r="AB301" s="241">
        <f t="shared" si="83"/>
        <v>939062.63000000024</v>
      </c>
      <c r="AC301" s="241"/>
      <c r="AE301" s="531">
        <f t="shared" si="79"/>
        <v>0</v>
      </c>
      <c r="AG301" t="s">
        <v>356</v>
      </c>
      <c r="AH301" t="s">
        <v>1817</v>
      </c>
      <c r="AI301" s="199">
        <v>257284.54</v>
      </c>
      <c r="AJ301" s="199">
        <v>16501.87</v>
      </c>
      <c r="AK301" s="199">
        <v>1306.77</v>
      </c>
      <c r="AL301" s="199">
        <v>0</v>
      </c>
      <c r="AM301" s="199">
        <v>46708.7</v>
      </c>
      <c r="AN301" s="199">
        <v>23789.439999999999</v>
      </c>
      <c r="AO301" s="199">
        <v>14573.33</v>
      </c>
      <c r="AP301" s="199">
        <v>38867.040000000001</v>
      </c>
      <c r="AQ301" s="199">
        <v>1440.52</v>
      </c>
      <c r="AR301" s="199">
        <v>0</v>
      </c>
      <c r="AS301" s="199">
        <v>400472.21000000008</v>
      </c>
      <c r="AT301"/>
      <c r="AU301"/>
      <c r="AV301" t="str">
        <f t="shared" si="80"/>
        <v>17406</v>
      </c>
      <c r="AW301" s="241">
        <f t="shared" si="81"/>
        <v>400472.21000000008</v>
      </c>
      <c r="AY301" s="167">
        <f t="shared" si="84"/>
        <v>0</v>
      </c>
      <c r="BA301" s="197">
        <v>294</v>
      </c>
      <c r="BB301" s="73" t="s">
        <v>356</v>
      </c>
      <c r="BC301" s="73" t="s">
        <v>1478</v>
      </c>
      <c r="BD301" s="56">
        <v>500425.05999999988</v>
      </c>
    </row>
    <row r="302" spans="1:56">
      <c r="A302" s="197">
        <v>295</v>
      </c>
      <c r="B302" s="73" t="s">
        <v>644</v>
      </c>
      <c r="C302" s="73" t="s">
        <v>1479</v>
      </c>
      <c r="D302" s="168">
        <v>25119.209999999992</v>
      </c>
      <c r="E302" s="170">
        <v>392131.47</v>
      </c>
      <c r="F302" s="171">
        <f t="shared" si="85"/>
        <v>417250.67999999993</v>
      </c>
      <c r="G302" s="182">
        <v>284922.83</v>
      </c>
      <c r="H302" s="179">
        <v>132327.84999999992</v>
      </c>
      <c r="I302" s="170">
        <v>549906</v>
      </c>
      <c r="J302" s="171">
        <f t="shared" si="86"/>
        <v>682233.84999999986</v>
      </c>
      <c r="K302" s="205">
        <v>535671.65</v>
      </c>
      <c r="L302" s="171">
        <v>146562.19999999984</v>
      </c>
      <c r="M302" s="199">
        <v>567349.7300000001</v>
      </c>
      <c r="N302" s="171">
        <f t="shared" si="87"/>
        <v>713911.92999999993</v>
      </c>
      <c r="O302" s="205">
        <v>332537.39</v>
      </c>
      <c r="P302" s="241">
        <v>381374.53999999992</v>
      </c>
      <c r="Q302" s="199">
        <v>622898.16</v>
      </c>
      <c r="R302" s="171">
        <f t="shared" si="88"/>
        <v>1004272.7</v>
      </c>
      <c r="S302" s="205">
        <v>742918.81</v>
      </c>
      <c r="T302" s="241">
        <v>261353.8899999999</v>
      </c>
      <c r="U302" s="241">
        <v>639307.03</v>
      </c>
      <c r="V302" s="171">
        <f t="shared" si="89"/>
        <v>900660.91999999993</v>
      </c>
      <c r="W302" s="56">
        <v>601085.84</v>
      </c>
      <c r="X302" s="658">
        <f t="shared" si="82"/>
        <v>299575.07999999996</v>
      </c>
      <c r="Y302" s="659">
        <v>689840.96000000008</v>
      </c>
      <c r="Z302" s="171">
        <f t="shared" si="90"/>
        <v>989416.04</v>
      </c>
      <c r="AA302" s="56"/>
      <c r="AB302" s="241">
        <f t="shared" si="83"/>
        <v>989416.04</v>
      </c>
      <c r="AC302" s="241"/>
      <c r="AE302" s="531">
        <f t="shared" si="79"/>
        <v>0</v>
      </c>
      <c r="AG302" t="s">
        <v>644</v>
      </c>
      <c r="AH302" t="s">
        <v>1965</v>
      </c>
      <c r="AI302" s="199">
        <v>461733.38</v>
      </c>
      <c r="AJ302" s="199">
        <v>34711.910000000003</v>
      </c>
      <c r="AK302" s="199">
        <v>10758.83</v>
      </c>
      <c r="AL302" s="199">
        <v>59850.559999999998</v>
      </c>
      <c r="AM302" s="199">
        <v>92566.91</v>
      </c>
      <c r="AN302" s="199">
        <v>20764.04</v>
      </c>
      <c r="AO302" s="199">
        <v>0</v>
      </c>
      <c r="AP302" s="199">
        <v>4536.97</v>
      </c>
      <c r="AQ302" s="199">
        <v>2943.97</v>
      </c>
      <c r="AR302" s="199">
        <v>1974.39</v>
      </c>
      <c r="AS302" s="199">
        <v>689840.96000000008</v>
      </c>
      <c r="AT302"/>
      <c r="AU302"/>
      <c r="AV302" t="str">
        <f t="shared" si="80"/>
        <v>34033</v>
      </c>
      <c r="AW302" s="241">
        <f t="shared" si="81"/>
        <v>689840.96000000008</v>
      </c>
      <c r="AY302" s="167">
        <f t="shared" si="84"/>
        <v>0</v>
      </c>
      <c r="BA302" s="197">
        <v>295</v>
      </c>
      <c r="BB302" s="73" t="s">
        <v>644</v>
      </c>
      <c r="BC302" s="73" t="s">
        <v>1479</v>
      </c>
      <c r="BD302" s="56">
        <v>601085.84</v>
      </c>
    </row>
    <row r="303" spans="1:56">
      <c r="A303" s="197">
        <v>296</v>
      </c>
      <c r="B303" s="73" t="s">
        <v>711</v>
      </c>
      <c r="C303" s="73" t="s">
        <v>1480</v>
      </c>
      <c r="D303" s="168">
        <v>1803.0400000000009</v>
      </c>
      <c r="E303" s="170">
        <v>42687.25</v>
      </c>
      <c r="F303" s="171">
        <f t="shared" si="85"/>
        <v>44490.29</v>
      </c>
      <c r="G303" s="182">
        <v>40928.46</v>
      </c>
      <c r="H303" s="179">
        <v>3561.8300000000017</v>
      </c>
      <c r="I303" s="170">
        <v>62841.07</v>
      </c>
      <c r="J303" s="171">
        <f t="shared" si="86"/>
        <v>66402.899999999994</v>
      </c>
      <c r="K303" s="205">
        <v>53023.44</v>
      </c>
      <c r="L303" s="171">
        <v>13379.459999999992</v>
      </c>
      <c r="M303" s="199">
        <v>63930.51</v>
      </c>
      <c r="N303" s="171">
        <f t="shared" si="87"/>
        <v>77309.97</v>
      </c>
      <c r="O303" s="205">
        <v>53013.619999999995</v>
      </c>
      <c r="P303" s="241">
        <v>24296.350000000006</v>
      </c>
      <c r="Q303" s="199">
        <v>67429.75</v>
      </c>
      <c r="R303" s="171">
        <f t="shared" si="88"/>
        <v>91726.1</v>
      </c>
      <c r="S303" s="205">
        <v>49791.01</v>
      </c>
      <c r="T303" s="241">
        <v>41935.090000000004</v>
      </c>
      <c r="U303" s="241">
        <v>65681.7</v>
      </c>
      <c r="V303" s="171">
        <f t="shared" si="89"/>
        <v>107616.79000000001</v>
      </c>
      <c r="W303" s="56">
        <v>64722.21</v>
      </c>
      <c r="X303" s="658">
        <f t="shared" si="82"/>
        <v>42894.580000000009</v>
      </c>
      <c r="Y303" s="659">
        <v>67019.83</v>
      </c>
      <c r="Z303" s="171">
        <f t="shared" si="90"/>
        <v>109914.41</v>
      </c>
      <c r="AA303" s="56"/>
      <c r="AB303" s="241">
        <f t="shared" si="83"/>
        <v>109914.41</v>
      </c>
      <c r="AC303" s="241"/>
      <c r="AE303" s="531">
        <f t="shared" si="79"/>
        <v>0</v>
      </c>
      <c r="AG303" t="s">
        <v>711</v>
      </c>
      <c r="AH303" t="s">
        <v>2001</v>
      </c>
      <c r="AI303" s="199">
        <v>46519.96</v>
      </c>
      <c r="AJ303" s="199">
        <v>0</v>
      </c>
      <c r="AK303" s="199">
        <v>0</v>
      </c>
      <c r="AL303" s="199">
        <v>0</v>
      </c>
      <c r="AM303" s="199">
        <v>8382.4</v>
      </c>
      <c r="AN303" s="199">
        <v>4846.37</v>
      </c>
      <c r="AO303" s="199">
        <v>2518.16</v>
      </c>
      <c r="AP303" s="199">
        <v>2896.49</v>
      </c>
      <c r="AQ303" s="199">
        <v>0</v>
      </c>
      <c r="AR303" s="199">
        <v>1856.45</v>
      </c>
      <c r="AS303" s="199">
        <v>67019.83</v>
      </c>
      <c r="AT303"/>
      <c r="AU303"/>
      <c r="AV303" t="str">
        <f t="shared" si="80"/>
        <v>39002</v>
      </c>
      <c r="AW303" s="241">
        <f t="shared" si="81"/>
        <v>67019.83</v>
      </c>
      <c r="AY303" s="167">
        <f t="shared" si="84"/>
        <v>0</v>
      </c>
      <c r="BA303" s="197">
        <v>296</v>
      </c>
      <c r="BB303" s="73" t="s">
        <v>711</v>
      </c>
      <c r="BC303" s="73" t="s">
        <v>1480</v>
      </c>
      <c r="BD303" s="56">
        <v>64722.21</v>
      </c>
    </row>
    <row r="304" spans="1:56">
      <c r="A304" s="197">
        <v>297</v>
      </c>
      <c r="B304" s="73" t="s">
        <v>513</v>
      </c>
      <c r="C304" s="73" t="s">
        <v>1481</v>
      </c>
      <c r="D304" s="168">
        <v>0</v>
      </c>
      <c r="E304" s="170">
        <v>355644.65999999992</v>
      </c>
      <c r="F304" s="171">
        <f t="shared" si="85"/>
        <v>355644.65999999992</v>
      </c>
      <c r="G304" s="182">
        <v>355644.66</v>
      </c>
      <c r="H304" s="179">
        <v>0</v>
      </c>
      <c r="I304" s="170">
        <v>524442.17000000004</v>
      </c>
      <c r="J304" s="171">
        <f t="shared" si="86"/>
        <v>524442.17000000004</v>
      </c>
      <c r="K304" s="205">
        <v>544257.03000000014</v>
      </c>
      <c r="L304" s="171">
        <v>0</v>
      </c>
      <c r="M304" s="199">
        <v>522394.88999999996</v>
      </c>
      <c r="N304" s="171">
        <f t="shared" si="87"/>
        <v>522394.88999999996</v>
      </c>
      <c r="O304" s="205">
        <v>536976.64999999991</v>
      </c>
      <c r="P304" s="241">
        <v>0</v>
      </c>
      <c r="Q304" s="199">
        <v>560815.62</v>
      </c>
      <c r="R304" s="171">
        <f t="shared" si="88"/>
        <v>560815.62</v>
      </c>
      <c r="S304" s="205">
        <v>548886.03999999992</v>
      </c>
      <c r="T304" s="241">
        <v>11929.580000000075</v>
      </c>
      <c r="U304" s="241">
        <v>565878.38</v>
      </c>
      <c r="V304" s="171">
        <f t="shared" si="89"/>
        <v>577807.96000000008</v>
      </c>
      <c r="W304" s="56">
        <v>569531.75999999978</v>
      </c>
      <c r="X304" s="658">
        <f t="shared" si="82"/>
        <v>8276.2000000003027</v>
      </c>
      <c r="Y304" s="659">
        <v>610398.31000000006</v>
      </c>
      <c r="Z304" s="171">
        <f t="shared" si="90"/>
        <v>618674.51000000036</v>
      </c>
      <c r="AA304" s="56"/>
      <c r="AB304" s="241">
        <f t="shared" si="83"/>
        <v>618674.51000000036</v>
      </c>
      <c r="AC304" s="241"/>
      <c r="AE304" s="531">
        <f t="shared" si="79"/>
        <v>0</v>
      </c>
      <c r="AG304" t="s">
        <v>513</v>
      </c>
      <c r="AH304" t="s">
        <v>1898</v>
      </c>
      <c r="AI304" s="199">
        <v>483927.28</v>
      </c>
      <c r="AJ304" s="199">
        <v>26311.34</v>
      </c>
      <c r="AK304" s="199">
        <v>0</v>
      </c>
      <c r="AL304" s="199">
        <v>0</v>
      </c>
      <c r="AM304" s="199">
        <v>59895.76</v>
      </c>
      <c r="AN304" s="199">
        <v>22602.87</v>
      </c>
      <c r="AO304" s="199">
        <v>0</v>
      </c>
      <c r="AP304" s="199">
        <v>10835.56</v>
      </c>
      <c r="AQ304" s="199">
        <v>2699.2</v>
      </c>
      <c r="AR304" s="199">
        <v>4126.3</v>
      </c>
      <c r="AS304" s="199">
        <v>610398.31000000006</v>
      </c>
      <c r="AT304"/>
      <c r="AU304"/>
      <c r="AV304" t="str">
        <f t="shared" si="80"/>
        <v>27083</v>
      </c>
      <c r="AW304" s="241">
        <f t="shared" si="81"/>
        <v>610398.31000000006</v>
      </c>
      <c r="AY304" s="167">
        <f t="shared" si="84"/>
        <v>0</v>
      </c>
      <c r="BA304" s="197">
        <v>297</v>
      </c>
      <c r="BB304" s="73" t="s">
        <v>513</v>
      </c>
      <c r="BC304" s="73" t="s">
        <v>1481</v>
      </c>
      <c r="BD304" s="56">
        <v>569531.75999999978</v>
      </c>
    </row>
    <row r="305" spans="1:56">
      <c r="A305" s="197">
        <v>298</v>
      </c>
      <c r="B305" s="73" t="s">
        <v>624</v>
      </c>
      <c r="C305" s="73" t="s">
        <v>1482</v>
      </c>
      <c r="D305" s="168">
        <v>0</v>
      </c>
      <c r="E305" s="170">
        <v>26602.999999999996</v>
      </c>
      <c r="F305" s="171">
        <f t="shared" si="85"/>
        <v>26602.999999999996</v>
      </c>
      <c r="G305" s="182">
        <v>27694.25</v>
      </c>
      <c r="H305" s="179">
        <v>0</v>
      </c>
      <c r="I305" s="170">
        <v>36955.919999999998</v>
      </c>
      <c r="J305" s="171">
        <f t="shared" si="86"/>
        <v>36955.919999999998</v>
      </c>
      <c r="K305" s="205">
        <v>36757.43</v>
      </c>
      <c r="L305" s="171">
        <v>198.48999999999796</v>
      </c>
      <c r="M305" s="199">
        <v>39785.179999999993</v>
      </c>
      <c r="N305" s="171">
        <f t="shared" si="87"/>
        <v>39983.669999999991</v>
      </c>
      <c r="O305" s="205">
        <v>37876.479999999996</v>
      </c>
      <c r="P305" s="241">
        <v>2107.1899999999951</v>
      </c>
      <c r="Q305" s="199">
        <v>43134.21</v>
      </c>
      <c r="R305" s="171">
        <f t="shared" si="88"/>
        <v>45241.399999999994</v>
      </c>
      <c r="S305" s="205">
        <v>41121.129999999997</v>
      </c>
      <c r="T305" s="241">
        <v>4120.2699999999968</v>
      </c>
      <c r="U305" s="241">
        <v>42134.1</v>
      </c>
      <c r="V305" s="171">
        <f t="shared" si="89"/>
        <v>46254.369999999995</v>
      </c>
      <c r="W305" s="56">
        <v>42935.31</v>
      </c>
      <c r="X305" s="658">
        <f t="shared" si="82"/>
        <v>3319.0599999999977</v>
      </c>
      <c r="Y305" s="659">
        <v>46375.5</v>
      </c>
      <c r="Z305" s="171">
        <f t="shared" si="90"/>
        <v>49694.559999999998</v>
      </c>
      <c r="AA305" s="56"/>
      <c r="AB305" s="241">
        <f t="shared" si="83"/>
        <v>49694.559999999998</v>
      </c>
      <c r="AC305" s="241"/>
      <c r="AE305" s="531">
        <f t="shared" si="79"/>
        <v>0</v>
      </c>
      <c r="AG305" t="s">
        <v>624</v>
      </c>
      <c r="AH305" t="s">
        <v>1954</v>
      </c>
      <c r="AI305" s="199">
        <v>29177.79</v>
      </c>
      <c r="AJ305" s="199">
        <v>0</v>
      </c>
      <c r="AK305" s="199">
        <v>0</v>
      </c>
      <c r="AL305" s="199">
        <v>0</v>
      </c>
      <c r="AM305" s="199">
        <v>10308.02</v>
      </c>
      <c r="AN305" s="199">
        <v>2780.08</v>
      </c>
      <c r="AO305" s="199">
        <v>899.12</v>
      </c>
      <c r="AP305" s="199">
        <v>1170.24</v>
      </c>
      <c r="AQ305" s="199">
        <v>441.13</v>
      </c>
      <c r="AR305" s="199">
        <v>1599.12</v>
      </c>
      <c r="AS305" s="199">
        <v>46375.5</v>
      </c>
      <c r="AT305"/>
      <c r="AU305"/>
      <c r="AV305" t="str">
        <f t="shared" si="80"/>
        <v>33070</v>
      </c>
      <c r="AW305" s="241">
        <f t="shared" si="81"/>
        <v>46375.5</v>
      </c>
      <c r="AY305" s="167">
        <f t="shared" si="84"/>
        <v>0</v>
      </c>
      <c r="BA305" s="197">
        <v>298</v>
      </c>
      <c r="BB305" s="73" t="s">
        <v>624</v>
      </c>
      <c r="BC305" s="73" t="s">
        <v>1482</v>
      </c>
      <c r="BD305" s="56">
        <v>42935.31</v>
      </c>
    </row>
    <row r="306" spans="1:56">
      <c r="A306" s="197">
        <v>299</v>
      </c>
      <c r="B306" s="73" t="s">
        <v>213</v>
      </c>
      <c r="C306" s="73" t="s">
        <v>1483</v>
      </c>
      <c r="D306" s="168">
        <v>8620.8999999999069</v>
      </c>
      <c r="E306" s="170">
        <v>1515108.04</v>
      </c>
      <c r="F306" s="171">
        <f t="shared" si="85"/>
        <v>1523728.94</v>
      </c>
      <c r="G306" s="182">
        <v>1462996.81</v>
      </c>
      <c r="H306" s="179">
        <v>60732.129999999888</v>
      </c>
      <c r="I306" s="170">
        <v>2124159.9900000002</v>
      </c>
      <c r="J306" s="171">
        <f t="shared" si="86"/>
        <v>2184892.12</v>
      </c>
      <c r="K306" s="205">
        <v>2121293.8700000006</v>
      </c>
      <c r="L306" s="171">
        <v>63598.249999999534</v>
      </c>
      <c r="M306" s="199">
        <v>2092244.18</v>
      </c>
      <c r="N306" s="171">
        <f t="shared" si="87"/>
        <v>2155842.4299999997</v>
      </c>
      <c r="O306" s="205">
        <v>2226945.56</v>
      </c>
      <c r="P306" s="241">
        <v>0</v>
      </c>
      <c r="Q306" s="199">
        <v>2320771.23</v>
      </c>
      <c r="R306" s="171">
        <f t="shared" si="88"/>
        <v>2320771.23</v>
      </c>
      <c r="S306" s="205">
        <v>2417684.37</v>
      </c>
      <c r="T306" s="241">
        <v>0</v>
      </c>
      <c r="U306" s="241">
        <v>2404373.1599999997</v>
      </c>
      <c r="V306" s="171">
        <f t="shared" si="89"/>
        <v>2404373.1599999997</v>
      </c>
      <c r="W306" s="56">
        <v>2427015.4799999977</v>
      </c>
      <c r="X306" s="658">
        <f t="shared" si="82"/>
        <v>0</v>
      </c>
      <c r="Y306" s="659">
        <v>2526171.3799999994</v>
      </c>
      <c r="Z306" s="171">
        <f t="shared" si="90"/>
        <v>2526171.3799999994</v>
      </c>
      <c r="AA306" s="56"/>
      <c r="AB306" s="241">
        <f t="shared" si="83"/>
        <v>2526171.3799999994</v>
      </c>
      <c r="AC306" s="241"/>
      <c r="AE306" s="531">
        <f t="shared" si="79"/>
        <v>0</v>
      </c>
      <c r="AG306" t="s">
        <v>213</v>
      </c>
      <c r="AH306" t="s">
        <v>1744</v>
      </c>
      <c r="AI306" s="199">
        <v>1660437.52</v>
      </c>
      <c r="AJ306" s="199">
        <v>156775.76999999999</v>
      </c>
      <c r="AK306" s="199">
        <v>29626.32</v>
      </c>
      <c r="AL306" s="199">
        <v>0</v>
      </c>
      <c r="AM306" s="199">
        <v>377548.27</v>
      </c>
      <c r="AN306" s="199">
        <v>107799.07</v>
      </c>
      <c r="AO306" s="199">
        <v>57877.42</v>
      </c>
      <c r="AP306" s="199">
        <v>97945.279999999999</v>
      </c>
      <c r="AQ306" s="199">
        <v>9809.9599999999991</v>
      </c>
      <c r="AR306" s="199">
        <v>28351.77</v>
      </c>
      <c r="AS306" s="199">
        <v>2526171.3799999994</v>
      </c>
      <c r="AT306"/>
      <c r="AU306"/>
      <c r="AV306" t="str">
        <f t="shared" si="80"/>
        <v>06037</v>
      </c>
      <c r="AW306" s="241">
        <f t="shared" si="81"/>
        <v>2526171.3799999994</v>
      </c>
      <c r="AY306" s="167">
        <f t="shared" si="84"/>
        <v>0</v>
      </c>
      <c r="BA306" s="197">
        <v>299</v>
      </c>
      <c r="BB306" s="73" t="s">
        <v>213</v>
      </c>
      <c r="BC306" s="73" t="s">
        <v>1483</v>
      </c>
      <c r="BD306" s="56">
        <v>2427015.4799999977</v>
      </c>
    </row>
    <row r="307" spans="1:56">
      <c r="A307" s="197">
        <v>300</v>
      </c>
      <c r="B307" s="73" t="s">
        <v>348</v>
      </c>
      <c r="C307" s="73" t="s">
        <v>1484</v>
      </c>
      <c r="D307" s="168">
        <v>9024.6100000000079</v>
      </c>
      <c r="E307" s="170">
        <v>90809.239999999991</v>
      </c>
      <c r="F307" s="171">
        <f t="shared" si="85"/>
        <v>99833.85</v>
      </c>
      <c r="G307" s="182">
        <v>76749.97</v>
      </c>
      <c r="H307" s="179">
        <v>23083.880000000005</v>
      </c>
      <c r="I307" s="170">
        <v>127677.86</v>
      </c>
      <c r="J307" s="171">
        <f t="shared" si="86"/>
        <v>150761.74</v>
      </c>
      <c r="K307" s="205">
        <v>141640.62</v>
      </c>
      <c r="L307" s="171">
        <v>9121.1199999999953</v>
      </c>
      <c r="M307" s="199">
        <v>129954</v>
      </c>
      <c r="N307" s="171">
        <f t="shared" si="87"/>
        <v>139075.12</v>
      </c>
      <c r="O307" s="205">
        <v>139983.87</v>
      </c>
      <c r="P307" s="241">
        <v>0</v>
      </c>
      <c r="Q307" s="199">
        <v>143000.65</v>
      </c>
      <c r="R307" s="171">
        <f t="shared" si="88"/>
        <v>143000.65</v>
      </c>
      <c r="S307" s="205">
        <v>170951.99000000002</v>
      </c>
      <c r="T307" s="241">
        <v>0</v>
      </c>
      <c r="U307" s="241">
        <v>148313.4</v>
      </c>
      <c r="V307" s="171">
        <f t="shared" si="89"/>
        <v>148313.4</v>
      </c>
      <c r="W307" s="56">
        <v>148313.4</v>
      </c>
      <c r="X307" s="658">
        <f t="shared" si="82"/>
        <v>0</v>
      </c>
      <c r="Y307" s="659">
        <v>156175.22</v>
      </c>
      <c r="Z307" s="171">
        <f t="shared" si="90"/>
        <v>156175.22</v>
      </c>
      <c r="AA307" s="56"/>
      <c r="AB307" s="241">
        <f t="shared" si="83"/>
        <v>156175.22</v>
      </c>
      <c r="AC307" s="241"/>
      <c r="AE307" s="531">
        <f t="shared" si="79"/>
        <v>0</v>
      </c>
      <c r="AG307" t="s">
        <v>348</v>
      </c>
      <c r="AH307" t="s">
        <v>1813</v>
      </c>
      <c r="AI307" s="199">
        <v>114315.69</v>
      </c>
      <c r="AJ307" s="199">
        <v>8144.84</v>
      </c>
      <c r="AK307" s="199">
        <v>4376.26</v>
      </c>
      <c r="AL307" s="199">
        <v>0</v>
      </c>
      <c r="AM307" s="199">
        <v>21168.71</v>
      </c>
      <c r="AN307" s="199">
        <v>4429.5600000000004</v>
      </c>
      <c r="AO307" s="199">
        <v>261.19</v>
      </c>
      <c r="AP307" s="199">
        <v>2752.26</v>
      </c>
      <c r="AQ307" s="199">
        <v>726.71</v>
      </c>
      <c r="AR307" s="199">
        <v>0</v>
      </c>
      <c r="AS307" s="199">
        <v>156175.22</v>
      </c>
      <c r="AT307"/>
      <c r="AU307"/>
      <c r="AV307" t="str">
        <f t="shared" si="80"/>
        <v>17402</v>
      </c>
      <c r="AW307" s="241">
        <f t="shared" si="81"/>
        <v>156175.22</v>
      </c>
      <c r="AY307" s="167">
        <f t="shared" si="84"/>
        <v>0</v>
      </c>
      <c r="BA307" s="197">
        <v>300</v>
      </c>
      <c r="BB307" s="73" t="s">
        <v>348</v>
      </c>
      <c r="BC307" s="73" t="s">
        <v>1484</v>
      </c>
      <c r="BD307" s="56">
        <v>148313.4</v>
      </c>
    </row>
    <row r="308" spans="1:56">
      <c r="A308" s="197">
        <v>301</v>
      </c>
      <c r="B308" s="73" t="s">
        <v>1547</v>
      </c>
      <c r="C308" s="73" t="s">
        <v>1548</v>
      </c>
      <c r="D308" s="168">
        <v>4163.24</v>
      </c>
      <c r="E308" s="170">
        <v>9902.23</v>
      </c>
      <c r="F308" s="171">
        <f t="shared" si="85"/>
        <v>14065.47</v>
      </c>
      <c r="G308" s="182">
        <v>13605.6</v>
      </c>
      <c r="H308" s="179">
        <v>459.86999999999898</v>
      </c>
      <c r="I308" s="170">
        <v>14142.380000000001</v>
      </c>
      <c r="J308" s="171">
        <f t="shared" si="86"/>
        <v>14602.25</v>
      </c>
      <c r="K308" s="205">
        <v>22616.44</v>
      </c>
      <c r="L308" s="171">
        <v>0</v>
      </c>
      <c r="M308" s="199">
        <v>14225.240000000002</v>
      </c>
      <c r="N308" s="171">
        <f t="shared" si="87"/>
        <v>14225.240000000002</v>
      </c>
      <c r="O308" s="205">
        <v>25165.45</v>
      </c>
      <c r="P308" s="241">
        <v>0</v>
      </c>
      <c r="Q308" s="199">
        <v>16373.829999999998</v>
      </c>
      <c r="R308" s="171">
        <f t="shared" si="88"/>
        <v>16373.829999999998</v>
      </c>
      <c r="S308" s="205">
        <v>23330.370000000003</v>
      </c>
      <c r="T308" s="241">
        <v>0</v>
      </c>
      <c r="U308" s="241">
        <v>16711.43</v>
      </c>
      <c r="V308" s="171">
        <f t="shared" si="89"/>
        <v>16711.43</v>
      </c>
      <c r="W308" s="56">
        <v>26534.84</v>
      </c>
      <c r="X308" s="658">
        <f t="shared" si="82"/>
        <v>0</v>
      </c>
      <c r="Y308" s="659">
        <v>17729.019999999997</v>
      </c>
      <c r="Z308" s="171">
        <f t="shared" si="90"/>
        <v>17729.019999999997</v>
      </c>
      <c r="AA308" s="56"/>
      <c r="AB308" s="241">
        <f t="shared" si="83"/>
        <v>17729.019999999997</v>
      </c>
      <c r="AC308" s="241"/>
      <c r="AE308" s="531">
        <f t="shared" si="79"/>
        <v>0</v>
      </c>
      <c r="AG308" t="s">
        <v>1547</v>
      </c>
      <c r="AH308" t="s">
        <v>1971</v>
      </c>
      <c r="AI308" s="199">
        <v>13627.74</v>
      </c>
      <c r="AJ308" s="199">
        <v>0</v>
      </c>
      <c r="AK308" s="199">
        <v>0</v>
      </c>
      <c r="AL308" s="199">
        <v>0</v>
      </c>
      <c r="AM308" s="199">
        <v>2235.65</v>
      </c>
      <c r="AN308" s="199">
        <v>1275.92</v>
      </c>
      <c r="AO308" s="199">
        <v>589.71</v>
      </c>
      <c r="AP308" s="199">
        <v>0</v>
      </c>
      <c r="AQ308" s="199">
        <v>0</v>
      </c>
      <c r="AR308" s="199">
        <v>0</v>
      </c>
      <c r="AS308" s="199">
        <v>17729.019999999997</v>
      </c>
      <c r="AT308"/>
      <c r="AU308"/>
      <c r="AV308" t="str">
        <f t="shared" si="80"/>
        <v>34901</v>
      </c>
      <c r="AW308" s="241">
        <f t="shared" si="81"/>
        <v>17729.019999999997</v>
      </c>
      <c r="AY308" s="167">
        <f t="shared" si="84"/>
        <v>0</v>
      </c>
      <c r="BA308" s="197">
        <v>301</v>
      </c>
      <c r="BB308" s="73" t="s">
        <v>1547</v>
      </c>
      <c r="BC308" s="73" t="s">
        <v>1548</v>
      </c>
      <c r="BD308" s="56">
        <v>26534.84</v>
      </c>
    </row>
    <row r="309" spans="1:56">
      <c r="A309" s="197">
        <v>302</v>
      </c>
      <c r="B309" s="173" t="s">
        <v>656</v>
      </c>
      <c r="C309" s="73" t="s">
        <v>1485</v>
      </c>
      <c r="D309" s="168">
        <v>1782.5200000000004</v>
      </c>
      <c r="E309" s="170">
        <v>29559.77</v>
      </c>
      <c r="F309" s="171">
        <f t="shared" si="85"/>
        <v>31342.29</v>
      </c>
      <c r="G309" s="182">
        <v>26683.99</v>
      </c>
      <c r="H309" s="179">
        <v>4658.2999999999993</v>
      </c>
      <c r="I309" s="170">
        <v>44489</v>
      </c>
      <c r="J309" s="171">
        <f t="shared" si="86"/>
        <v>49147.3</v>
      </c>
      <c r="K309" s="205">
        <v>46701.47</v>
      </c>
      <c r="L309" s="171">
        <v>2445.8300000000017</v>
      </c>
      <c r="M309" s="199">
        <v>42925.84</v>
      </c>
      <c r="N309" s="171">
        <f t="shared" si="87"/>
        <v>45371.67</v>
      </c>
      <c r="O309" s="205">
        <v>47745.429999999993</v>
      </c>
      <c r="P309" s="241">
        <v>0</v>
      </c>
      <c r="Q309" s="199">
        <v>45608.68</v>
      </c>
      <c r="R309" s="171">
        <f t="shared" si="88"/>
        <v>45608.68</v>
      </c>
      <c r="S309" s="205">
        <v>47709.119999999995</v>
      </c>
      <c r="T309" s="241">
        <v>0</v>
      </c>
      <c r="U309" s="241">
        <v>44078.659999999996</v>
      </c>
      <c r="V309" s="171">
        <f t="shared" si="89"/>
        <v>44078.659999999996</v>
      </c>
      <c r="W309" s="56">
        <v>32502.620000000003</v>
      </c>
      <c r="X309" s="658">
        <f t="shared" si="82"/>
        <v>11576.039999999994</v>
      </c>
      <c r="Y309" s="659">
        <v>45596.22</v>
      </c>
      <c r="Z309" s="171">
        <f t="shared" si="90"/>
        <v>57172.259999999995</v>
      </c>
      <c r="AA309" s="56"/>
      <c r="AB309" s="241">
        <f t="shared" si="83"/>
        <v>57172.259999999995</v>
      </c>
      <c r="AC309" s="241"/>
      <c r="AE309" s="531">
        <f t="shared" si="79"/>
        <v>0</v>
      </c>
      <c r="AG309" t="s">
        <v>656</v>
      </c>
      <c r="AH309" t="s">
        <v>1972</v>
      </c>
      <c r="AI309" s="199">
        <v>38671.480000000003</v>
      </c>
      <c r="AJ309" s="199">
        <v>2145.7600000000002</v>
      </c>
      <c r="AK309" s="199">
        <v>266.02999999999997</v>
      </c>
      <c r="AL309" s="199">
        <v>0</v>
      </c>
      <c r="AM309" s="199">
        <v>0</v>
      </c>
      <c r="AN309" s="199">
        <v>2413.39</v>
      </c>
      <c r="AO309" s="199">
        <v>1916.36</v>
      </c>
      <c r="AP309" s="199">
        <v>0</v>
      </c>
      <c r="AQ309" s="199">
        <v>183.2</v>
      </c>
      <c r="AR309" s="199">
        <v>0</v>
      </c>
      <c r="AS309" s="199">
        <v>45596.22</v>
      </c>
      <c r="AT309"/>
      <c r="AU309"/>
      <c r="AV309" t="str">
        <f t="shared" si="80"/>
        <v>35200</v>
      </c>
      <c r="AW309" s="241">
        <f t="shared" si="81"/>
        <v>45596.22</v>
      </c>
      <c r="AY309" s="167">
        <f t="shared" si="84"/>
        <v>0</v>
      </c>
      <c r="BA309" s="197">
        <v>302</v>
      </c>
      <c r="BB309" s="173" t="s">
        <v>656</v>
      </c>
      <c r="BC309" s="73" t="s">
        <v>1485</v>
      </c>
      <c r="BD309" s="56">
        <v>32502.620000000003</v>
      </c>
    </row>
    <row r="310" spans="1:56">
      <c r="A310" s="197">
        <v>303</v>
      </c>
      <c r="B310" s="73" t="s">
        <v>277</v>
      </c>
      <c r="C310" s="73" t="s">
        <v>1486</v>
      </c>
      <c r="D310" s="168">
        <v>0</v>
      </c>
      <c r="E310" s="170">
        <v>178161.79</v>
      </c>
      <c r="F310" s="171">
        <f t="shared" si="85"/>
        <v>178161.79</v>
      </c>
      <c r="G310" s="182">
        <v>178548.13</v>
      </c>
      <c r="H310" s="179">
        <v>0</v>
      </c>
      <c r="I310" s="170">
        <v>266454.68999999994</v>
      </c>
      <c r="J310" s="171">
        <f t="shared" si="86"/>
        <v>266454.68999999994</v>
      </c>
      <c r="K310" s="205">
        <v>95332.51</v>
      </c>
      <c r="L310" s="171">
        <v>171122.17999999993</v>
      </c>
      <c r="M310" s="199">
        <v>263746.93</v>
      </c>
      <c r="N310" s="171">
        <f t="shared" si="87"/>
        <v>434869.10999999993</v>
      </c>
      <c r="O310" s="205">
        <v>216395.73000000004</v>
      </c>
      <c r="P310" s="241">
        <v>218473.37999999989</v>
      </c>
      <c r="Q310" s="199">
        <v>277857.38</v>
      </c>
      <c r="R310" s="171">
        <f t="shared" si="88"/>
        <v>496330.75999999989</v>
      </c>
      <c r="S310" s="205">
        <v>375972.45</v>
      </c>
      <c r="T310" s="241">
        <v>120358.30999999988</v>
      </c>
      <c r="U310" s="241">
        <v>278787.96000000008</v>
      </c>
      <c r="V310" s="171">
        <f t="shared" si="89"/>
        <v>399146.26999999996</v>
      </c>
      <c r="W310" s="56">
        <v>400372.4600000002</v>
      </c>
      <c r="X310" s="658">
        <f t="shared" si="82"/>
        <v>0</v>
      </c>
      <c r="Y310" s="659">
        <v>293960.96999999997</v>
      </c>
      <c r="Z310" s="171">
        <f t="shared" si="90"/>
        <v>293960.96999999997</v>
      </c>
      <c r="AA310" s="56"/>
      <c r="AB310" s="241">
        <f t="shared" si="83"/>
        <v>293960.96999999997</v>
      </c>
      <c r="AC310" s="241"/>
      <c r="AE310" s="531">
        <f t="shared" si="79"/>
        <v>0</v>
      </c>
      <c r="AG310" t="s">
        <v>277</v>
      </c>
      <c r="AH310" t="s">
        <v>1777</v>
      </c>
      <c r="AI310" s="199">
        <v>172340.31</v>
      </c>
      <c r="AJ310" s="199">
        <v>16205.63</v>
      </c>
      <c r="AK310" s="199">
        <v>5734.77</v>
      </c>
      <c r="AL310" s="199">
        <v>0</v>
      </c>
      <c r="AM310" s="199">
        <v>29957.74</v>
      </c>
      <c r="AN310" s="199">
        <v>21585.05</v>
      </c>
      <c r="AO310" s="199">
        <v>10547.45</v>
      </c>
      <c r="AP310" s="199">
        <v>32359.19</v>
      </c>
      <c r="AQ310" s="199">
        <v>1003.28</v>
      </c>
      <c r="AR310" s="199">
        <v>4227.55</v>
      </c>
      <c r="AS310" s="199">
        <v>293960.96999999997</v>
      </c>
      <c r="AT310"/>
      <c r="AU310"/>
      <c r="AV310" t="str">
        <f t="shared" si="80"/>
        <v>13073</v>
      </c>
      <c r="AW310" s="241">
        <f t="shared" si="81"/>
        <v>293960.96999999997</v>
      </c>
      <c r="AY310" s="167">
        <f t="shared" si="84"/>
        <v>0</v>
      </c>
      <c r="BA310" s="197">
        <v>303</v>
      </c>
      <c r="BB310" s="73" t="s">
        <v>277</v>
      </c>
      <c r="BC310" s="73" t="s">
        <v>1486</v>
      </c>
      <c r="BD310" s="56">
        <v>400372.4600000002</v>
      </c>
    </row>
    <row r="311" spans="1:56">
      <c r="A311" s="197">
        <v>304</v>
      </c>
      <c r="B311" s="73" t="s">
        <v>667</v>
      </c>
      <c r="C311" s="73" t="s">
        <v>1487</v>
      </c>
      <c r="D311" s="168">
        <v>3602.1100000000015</v>
      </c>
      <c r="E311" s="170">
        <v>20853.46</v>
      </c>
      <c r="F311" s="171">
        <f t="shared" si="85"/>
        <v>24455.57</v>
      </c>
      <c r="G311" s="182">
        <v>16138.81</v>
      </c>
      <c r="H311" s="179">
        <v>8316.76</v>
      </c>
      <c r="I311" s="170">
        <v>30082.74</v>
      </c>
      <c r="J311" s="171">
        <f t="shared" si="86"/>
        <v>38399.5</v>
      </c>
      <c r="K311" s="205">
        <v>21799.08</v>
      </c>
      <c r="L311" s="171">
        <v>16600.419999999998</v>
      </c>
      <c r="M311" s="199">
        <v>31687.370000000003</v>
      </c>
      <c r="N311" s="171">
        <f t="shared" si="87"/>
        <v>48287.79</v>
      </c>
      <c r="O311" s="205">
        <v>22755.059999999998</v>
      </c>
      <c r="P311" s="241">
        <v>25532.730000000003</v>
      </c>
      <c r="Q311" s="199">
        <v>31102.84</v>
      </c>
      <c r="R311" s="171">
        <f t="shared" si="88"/>
        <v>56635.570000000007</v>
      </c>
      <c r="S311" s="205">
        <v>24953.310000000005</v>
      </c>
      <c r="T311" s="241">
        <v>31682.260000000002</v>
      </c>
      <c r="U311" s="241">
        <v>31909.17</v>
      </c>
      <c r="V311" s="171">
        <f t="shared" si="89"/>
        <v>63591.43</v>
      </c>
      <c r="W311" s="56">
        <v>27375.360000000008</v>
      </c>
      <c r="X311" s="658">
        <f t="shared" si="82"/>
        <v>36216.069999999992</v>
      </c>
      <c r="Y311" s="659">
        <v>33535.54</v>
      </c>
      <c r="Z311" s="171">
        <f t="shared" si="90"/>
        <v>69751.609999999986</v>
      </c>
      <c r="AA311" s="56"/>
      <c r="AB311" s="241">
        <f t="shared" si="83"/>
        <v>69751.609999999986</v>
      </c>
      <c r="AC311" s="241"/>
      <c r="AE311" s="531">
        <f t="shared" si="79"/>
        <v>0</v>
      </c>
      <c r="AG311" t="s">
        <v>667</v>
      </c>
      <c r="AH311" t="s">
        <v>1978</v>
      </c>
      <c r="AI311" s="199">
        <v>29634.25</v>
      </c>
      <c r="AJ311" s="199">
        <v>1210.06</v>
      </c>
      <c r="AK311" s="199">
        <v>268.05</v>
      </c>
      <c r="AL311" s="199">
        <v>0</v>
      </c>
      <c r="AM311" s="199">
        <v>0</v>
      </c>
      <c r="AN311" s="199">
        <v>1574.61</v>
      </c>
      <c r="AO311" s="199">
        <v>848.57</v>
      </c>
      <c r="AP311" s="199">
        <v>0</v>
      </c>
      <c r="AQ311" s="199">
        <v>0</v>
      </c>
      <c r="AR311" s="199">
        <v>0</v>
      </c>
      <c r="AS311" s="199">
        <v>33535.54</v>
      </c>
      <c r="AT311"/>
      <c r="AU311"/>
      <c r="AV311" t="str">
        <f t="shared" si="80"/>
        <v>36401</v>
      </c>
      <c r="AW311" s="241">
        <f t="shared" si="81"/>
        <v>33535.54</v>
      </c>
      <c r="AY311" s="167">
        <f t="shared" si="84"/>
        <v>0</v>
      </c>
      <c r="BA311" s="197">
        <v>304</v>
      </c>
      <c r="BB311" s="73" t="s">
        <v>667</v>
      </c>
      <c r="BC311" s="73" t="s">
        <v>1487</v>
      </c>
      <c r="BD311" s="56">
        <v>27375.360000000008</v>
      </c>
    </row>
    <row r="312" spans="1:56">
      <c r="A312" s="197">
        <v>305</v>
      </c>
      <c r="B312" s="73" t="s">
        <v>660</v>
      </c>
      <c r="C312" s="73" t="s">
        <v>1488</v>
      </c>
      <c r="D312" s="168">
        <v>55988.200000000041</v>
      </c>
      <c r="E312" s="170">
        <v>368604.75</v>
      </c>
      <c r="F312" s="171">
        <f t="shared" si="85"/>
        <v>424592.95000000007</v>
      </c>
      <c r="G312" s="182">
        <v>9467.9599999999991</v>
      </c>
      <c r="H312" s="179">
        <v>415124.99000000005</v>
      </c>
      <c r="I312" s="170">
        <v>498110.98</v>
      </c>
      <c r="J312" s="171">
        <f t="shared" si="86"/>
        <v>913235.97</v>
      </c>
      <c r="K312" s="205">
        <v>508772.40000000008</v>
      </c>
      <c r="L312" s="171">
        <v>404463.56999999989</v>
      </c>
      <c r="M312" s="199">
        <v>505428.94999999995</v>
      </c>
      <c r="N312" s="171">
        <f t="shared" si="87"/>
        <v>909892.51999999979</v>
      </c>
      <c r="O312" s="205">
        <v>586209.52</v>
      </c>
      <c r="P312" s="241">
        <v>323682.99999999977</v>
      </c>
      <c r="Q312" s="199">
        <v>557309.52</v>
      </c>
      <c r="R312" s="171">
        <f t="shared" si="88"/>
        <v>880992.51999999979</v>
      </c>
      <c r="S312" s="205">
        <v>543748.03</v>
      </c>
      <c r="T312" s="241">
        <v>337244.48999999976</v>
      </c>
      <c r="U312" s="241">
        <v>564319.28</v>
      </c>
      <c r="V312" s="171">
        <f t="shared" si="89"/>
        <v>901563.76999999979</v>
      </c>
      <c r="W312" s="56">
        <v>536308.85999999987</v>
      </c>
      <c r="X312" s="658">
        <f t="shared" si="82"/>
        <v>365254.90999999992</v>
      </c>
      <c r="Y312" s="659">
        <v>593200.8600000001</v>
      </c>
      <c r="Z312" s="171">
        <f t="shared" si="90"/>
        <v>958455.77</v>
      </c>
      <c r="AA312" s="56"/>
      <c r="AB312" s="241">
        <f t="shared" si="83"/>
        <v>958455.77</v>
      </c>
      <c r="AC312" s="241"/>
      <c r="AE312" s="531">
        <f t="shared" si="79"/>
        <v>0</v>
      </c>
      <c r="AG312" t="s">
        <v>660</v>
      </c>
      <c r="AH312" t="s">
        <v>1974</v>
      </c>
      <c r="AI312" s="199">
        <v>374717.96</v>
      </c>
      <c r="AJ312" s="199">
        <v>22588.34</v>
      </c>
      <c r="AK312" s="199">
        <v>4879.37</v>
      </c>
      <c r="AL312" s="199">
        <v>12388.7</v>
      </c>
      <c r="AM312" s="199">
        <v>87682.16</v>
      </c>
      <c r="AN312" s="199">
        <v>36613.81</v>
      </c>
      <c r="AO312" s="199">
        <v>21615.25</v>
      </c>
      <c r="AP312" s="199">
        <v>20301.810000000001</v>
      </c>
      <c r="AQ312" s="199">
        <v>2334.4899999999998</v>
      </c>
      <c r="AR312" s="199">
        <v>10078.969999999999</v>
      </c>
      <c r="AS312" s="199">
        <v>593200.8600000001</v>
      </c>
      <c r="AT312"/>
      <c r="AU312"/>
      <c r="AV312" t="str">
        <f t="shared" si="80"/>
        <v>36140</v>
      </c>
      <c r="AW312" s="241">
        <f t="shared" si="81"/>
        <v>593200.8600000001</v>
      </c>
      <c r="AY312" s="167">
        <f t="shared" si="84"/>
        <v>0</v>
      </c>
      <c r="BA312" s="197">
        <v>305</v>
      </c>
      <c r="BB312" s="73" t="s">
        <v>660</v>
      </c>
      <c r="BC312" s="73" t="s">
        <v>1488</v>
      </c>
      <c r="BD312" s="56">
        <v>536308.85999999987</v>
      </c>
    </row>
    <row r="313" spans="1:56">
      <c r="A313" s="197">
        <v>306</v>
      </c>
      <c r="B313" s="73" t="s">
        <v>734</v>
      </c>
      <c r="C313" s="73" t="s">
        <v>1489</v>
      </c>
      <c r="D313" s="168">
        <v>4038.4599999999773</v>
      </c>
      <c r="E313" s="170">
        <v>228195.49</v>
      </c>
      <c r="F313" s="171">
        <f t="shared" ref="F313:F321" si="91">+D313+E313</f>
        <v>232233.94999999995</v>
      </c>
      <c r="G313" s="182">
        <v>194482.91</v>
      </c>
      <c r="H313" s="179">
        <v>37751.03999999995</v>
      </c>
      <c r="I313" s="170">
        <v>331869.17000000004</v>
      </c>
      <c r="J313" s="171">
        <f t="shared" ref="J313:J321" si="92">+H313+I313</f>
        <v>369620.20999999996</v>
      </c>
      <c r="K313" s="205">
        <v>205255.83</v>
      </c>
      <c r="L313" s="171">
        <v>164364.37999999998</v>
      </c>
      <c r="M313" s="199">
        <v>325886.28000000003</v>
      </c>
      <c r="N313" s="171">
        <f t="shared" ref="N313:N337" si="93">+L313+M313</f>
        <v>490250.66000000003</v>
      </c>
      <c r="O313" s="205">
        <v>115511.69999999998</v>
      </c>
      <c r="P313" s="241">
        <v>374738.96000000008</v>
      </c>
      <c r="Q313" s="199">
        <v>360228.74</v>
      </c>
      <c r="R313" s="171">
        <f t="shared" ref="R313:R337" si="94">+P313+Q313</f>
        <v>734967.70000000007</v>
      </c>
      <c r="S313" s="205">
        <v>189084.90000000002</v>
      </c>
      <c r="T313" s="241">
        <v>545882.80000000005</v>
      </c>
      <c r="U313" s="241">
        <v>353542.60000000003</v>
      </c>
      <c r="V313" s="171">
        <f t="shared" ref="V313:V337" si="95">+T313+U313</f>
        <v>899425.40000000014</v>
      </c>
      <c r="W313" s="56">
        <v>182894.53000000003</v>
      </c>
      <c r="X313" s="658">
        <f t="shared" si="82"/>
        <v>716530.87000000011</v>
      </c>
      <c r="Y313" s="659">
        <v>381107.92000000004</v>
      </c>
      <c r="Z313" s="171">
        <f t="shared" ref="Z313:Z337" si="96">+X313+Y313</f>
        <v>1097638.79</v>
      </c>
      <c r="AA313" s="56"/>
      <c r="AB313" s="241">
        <f t="shared" si="83"/>
        <v>1097638.79</v>
      </c>
      <c r="AC313" s="241"/>
      <c r="AE313" s="531">
        <f t="shared" si="79"/>
        <v>0</v>
      </c>
      <c r="AG313" t="s">
        <v>734</v>
      </c>
      <c r="AH313" t="s">
        <v>2013</v>
      </c>
      <c r="AI313" s="199">
        <v>233953.88</v>
      </c>
      <c r="AJ313" s="199">
        <v>20894.240000000002</v>
      </c>
      <c r="AK313" s="199">
        <v>4956.6499999999996</v>
      </c>
      <c r="AL313" s="199">
        <v>0</v>
      </c>
      <c r="AM313" s="199">
        <v>41319.61</v>
      </c>
      <c r="AN313" s="199">
        <v>26439.08</v>
      </c>
      <c r="AO313" s="199">
        <v>13995.36</v>
      </c>
      <c r="AP313" s="199">
        <v>27984.58</v>
      </c>
      <c r="AQ313" s="199">
        <v>1334.13</v>
      </c>
      <c r="AR313" s="199">
        <v>10230.39</v>
      </c>
      <c r="AS313" s="199">
        <v>381107.92000000004</v>
      </c>
      <c r="AT313"/>
      <c r="AU313"/>
      <c r="AV313" t="str">
        <f t="shared" si="80"/>
        <v>39207</v>
      </c>
      <c r="AW313" s="241">
        <f t="shared" si="81"/>
        <v>381107.92000000004</v>
      </c>
      <c r="AY313" s="167">
        <f t="shared" si="84"/>
        <v>0</v>
      </c>
      <c r="BA313" s="197">
        <v>306</v>
      </c>
      <c r="BB313" s="73" t="s">
        <v>734</v>
      </c>
      <c r="BC313" s="73" t="s">
        <v>1489</v>
      </c>
      <c r="BD313" s="56">
        <v>182894.53000000003</v>
      </c>
    </row>
    <row r="314" spans="1:56">
      <c r="A314" s="197">
        <v>307</v>
      </c>
      <c r="B314" s="73" t="s">
        <v>281</v>
      </c>
      <c r="C314" s="73" t="s">
        <v>1490</v>
      </c>
      <c r="D314" s="168">
        <v>0</v>
      </c>
      <c r="E314" s="170">
        <v>64436.81</v>
      </c>
      <c r="F314" s="171">
        <f t="shared" si="91"/>
        <v>64436.81</v>
      </c>
      <c r="G314" s="182">
        <v>63276.74</v>
      </c>
      <c r="H314" s="179">
        <v>1160.0699999999997</v>
      </c>
      <c r="I314" s="170">
        <v>90583.959999999992</v>
      </c>
      <c r="J314" s="171">
        <f t="shared" si="92"/>
        <v>91744.03</v>
      </c>
      <c r="K314" s="205">
        <v>89204.48000000001</v>
      </c>
      <c r="L314" s="171">
        <v>2539.5499999999884</v>
      </c>
      <c r="M314" s="199">
        <v>91067.650000000009</v>
      </c>
      <c r="N314" s="171">
        <f t="shared" si="93"/>
        <v>93607.2</v>
      </c>
      <c r="O314" s="205">
        <v>62456.99</v>
      </c>
      <c r="P314" s="241">
        <v>31150.21</v>
      </c>
      <c r="Q314" s="199">
        <v>97975.09</v>
      </c>
      <c r="R314" s="171">
        <f t="shared" si="94"/>
        <v>129125.29999999999</v>
      </c>
      <c r="S314" s="205">
        <v>122394.09</v>
      </c>
      <c r="T314" s="241">
        <v>6731.2099999999919</v>
      </c>
      <c r="U314" s="241">
        <v>101972.20000000001</v>
      </c>
      <c r="V314" s="171">
        <f t="shared" si="95"/>
        <v>108703.41</v>
      </c>
      <c r="W314" s="56">
        <v>105097.01999999999</v>
      </c>
      <c r="X314" s="658">
        <f t="shared" si="82"/>
        <v>3606.390000000014</v>
      </c>
      <c r="Y314" s="659">
        <v>108906.67</v>
      </c>
      <c r="Z314" s="171">
        <f t="shared" si="96"/>
        <v>112513.06000000001</v>
      </c>
      <c r="AA314" s="56"/>
      <c r="AB314" s="241">
        <f t="shared" si="83"/>
        <v>112513.06000000001</v>
      </c>
      <c r="AC314" s="241"/>
      <c r="AE314" s="531">
        <f t="shared" si="79"/>
        <v>0</v>
      </c>
      <c r="AG314" t="s">
        <v>281</v>
      </c>
      <c r="AH314" t="s">
        <v>1779</v>
      </c>
      <c r="AI314" s="199">
        <v>71251.17</v>
      </c>
      <c r="AJ314" s="199">
        <v>4397.58</v>
      </c>
      <c r="AK314" s="199">
        <v>837.86</v>
      </c>
      <c r="AL314" s="199">
        <v>0</v>
      </c>
      <c r="AM314" s="199">
        <v>13694.74</v>
      </c>
      <c r="AN314" s="199">
        <v>7369.12</v>
      </c>
      <c r="AO314" s="199">
        <v>4105.0200000000004</v>
      </c>
      <c r="AP314" s="199">
        <v>6851.4</v>
      </c>
      <c r="AQ314" s="199">
        <v>399.78</v>
      </c>
      <c r="AR314" s="199">
        <v>0</v>
      </c>
      <c r="AS314" s="199">
        <v>108906.67</v>
      </c>
      <c r="AT314"/>
      <c r="AU314"/>
      <c r="AV314" t="str">
        <f t="shared" si="80"/>
        <v>13146</v>
      </c>
      <c r="AW314" s="241">
        <f t="shared" si="81"/>
        <v>108906.67</v>
      </c>
      <c r="AY314" s="167">
        <f t="shared" si="84"/>
        <v>0</v>
      </c>
      <c r="BA314" s="197">
        <v>307</v>
      </c>
      <c r="BB314" s="73" t="s">
        <v>281</v>
      </c>
      <c r="BC314" s="73" t="s">
        <v>1490</v>
      </c>
      <c r="BD314" s="56">
        <v>105097.01999999999</v>
      </c>
    </row>
    <row r="315" spans="1:56">
      <c r="A315" s="197">
        <v>308</v>
      </c>
      <c r="B315" s="73" t="s">
        <v>220</v>
      </c>
      <c r="C315" s="73" t="s">
        <v>1491</v>
      </c>
      <c r="D315" s="168">
        <v>21469.97</v>
      </c>
      <c r="E315" s="170">
        <v>203579.56</v>
      </c>
      <c r="F315" s="171">
        <f t="shared" si="91"/>
        <v>225049.53</v>
      </c>
      <c r="G315" s="182">
        <v>217445.61</v>
      </c>
      <c r="H315" s="179">
        <v>7603.9200000000128</v>
      </c>
      <c r="I315" s="170">
        <v>261287.41999999998</v>
      </c>
      <c r="J315" s="171">
        <f t="shared" si="92"/>
        <v>268891.33999999997</v>
      </c>
      <c r="K315" s="205">
        <v>330436.59999999998</v>
      </c>
      <c r="L315" s="171">
        <v>0</v>
      </c>
      <c r="M315" s="199">
        <v>269641.17</v>
      </c>
      <c r="N315" s="171">
        <f t="shared" si="93"/>
        <v>269641.17</v>
      </c>
      <c r="O315" s="205">
        <v>305723.12</v>
      </c>
      <c r="P315" s="241">
        <v>0</v>
      </c>
      <c r="Q315" s="199">
        <v>286124.7</v>
      </c>
      <c r="R315" s="171">
        <f t="shared" si="94"/>
        <v>286124.7</v>
      </c>
      <c r="S315" s="205">
        <v>226097.09999999998</v>
      </c>
      <c r="T315" s="241">
        <v>60027.600000000035</v>
      </c>
      <c r="U315" s="241">
        <v>286357.08999999997</v>
      </c>
      <c r="V315" s="171">
        <f t="shared" si="95"/>
        <v>346384.69</v>
      </c>
      <c r="W315" s="56">
        <v>224812.2999999999</v>
      </c>
      <c r="X315" s="658">
        <f t="shared" si="82"/>
        <v>121572.3900000001</v>
      </c>
      <c r="Y315" s="659">
        <v>303607.50999999995</v>
      </c>
      <c r="Z315" s="171">
        <f t="shared" si="96"/>
        <v>425179.9</v>
      </c>
      <c r="AA315" s="56"/>
      <c r="AB315" s="241">
        <f t="shared" si="83"/>
        <v>425179.9</v>
      </c>
      <c r="AC315" s="241"/>
      <c r="AE315" s="531">
        <f t="shared" si="79"/>
        <v>0</v>
      </c>
      <c r="AG315" t="s">
        <v>220</v>
      </c>
      <c r="AH315" t="s">
        <v>1748</v>
      </c>
      <c r="AI315" s="199">
        <v>208738.31</v>
      </c>
      <c r="AJ315" s="199">
        <v>17372.810000000001</v>
      </c>
      <c r="AK315" s="199">
        <v>3305.71</v>
      </c>
      <c r="AL315" s="199">
        <v>0</v>
      </c>
      <c r="AM315" s="199">
        <v>48785.8</v>
      </c>
      <c r="AN315" s="199">
        <v>10693.21</v>
      </c>
      <c r="AO315" s="199">
        <v>1362.22</v>
      </c>
      <c r="AP315" s="199">
        <v>2610.79</v>
      </c>
      <c r="AQ315" s="199">
        <v>1203.0999999999999</v>
      </c>
      <c r="AR315" s="199">
        <v>9535.56</v>
      </c>
      <c r="AS315" s="199">
        <v>303607.50999999995</v>
      </c>
      <c r="AT315"/>
      <c r="AU315"/>
      <c r="AV315" t="str">
        <f t="shared" si="80"/>
        <v>06112</v>
      </c>
      <c r="AW315" s="241">
        <f t="shared" si="81"/>
        <v>303607.50999999995</v>
      </c>
      <c r="AY315" s="167">
        <f t="shared" si="84"/>
        <v>0</v>
      </c>
      <c r="BA315" s="197">
        <v>308</v>
      </c>
      <c r="BB315" s="73" t="s">
        <v>220</v>
      </c>
      <c r="BC315" s="73" t="s">
        <v>1491</v>
      </c>
      <c r="BD315" s="56">
        <v>224812.2999999999</v>
      </c>
    </row>
    <row r="316" spans="1:56">
      <c r="A316" s="197">
        <v>309</v>
      </c>
      <c r="B316" s="73" t="s">
        <v>163</v>
      </c>
      <c r="C316" s="73" t="s">
        <v>1492</v>
      </c>
      <c r="D316" s="168">
        <v>1270.1899999999996</v>
      </c>
      <c r="E316" s="170">
        <v>12138.61</v>
      </c>
      <c r="F316" s="171">
        <f t="shared" si="91"/>
        <v>13408.8</v>
      </c>
      <c r="G316" s="182">
        <v>10397.209999999999</v>
      </c>
      <c r="H316" s="179">
        <v>3011.59</v>
      </c>
      <c r="I316" s="170">
        <v>18633.039999999997</v>
      </c>
      <c r="J316" s="171">
        <f t="shared" si="92"/>
        <v>21644.629999999997</v>
      </c>
      <c r="K316" s="205">
        <v>17016.449999999997</v>
      </c>
      <c r="L316" s="171">
        <v>4628.18</v>
      </c>
      <c r="M316" s="199">
        <v>19183.069999999996</v>
      </c>
      <c r="N316" s="171">
        <f t="shared" si="93"/>
        <v>23811.249999999996</v>
      </c>
      <c r="O316" s="205">
        <v>18111.12</v>
      </c>
      <c r="P316" s="241">
        <v>5700.1299999999974</v>
      </c>
      <c r="Q316" s="199">
        <v>20433.45</v>
      </c>
      <c r="R316" s="171">
        <f t="shared" si="94"/>
        <v>26133.579999999998</v>
      </c>
      <c r="S316" s="205">
        <v>17062.48</v>
      </c>
      <c r="T316" s="241">
        <v>9071.0999999999985</v>
      </c>
      <c r="U316" s="241">
        <v>20289.310000000001</v>
      </c>
      <c r="V316" s="171">
        <f t="shared" si="95"/>
        <v>29360.41</v>
      </c>
      <c r="W316" s="56">
        <v>29360.41</v>
      </c>
      <c r="X316" s="658">
        <f t="shared" si="82"/>
        <v>0</v>
      </c>
      <c r="Y316" s="659">
        <v>21199.97</v>
      </c>
      <c r="Z316" s="171">
        <f t="shared" si="96"/>
        <v>21199.97</v>
      </c>
      <c r="AA316" s="56"/>
      <c r="AB316" s="241">
        <f t="shared" si="83"/>
        <v>21199.97</v>
      </c>
      <c r="AC316" s="241"/>
      <c r="AE316" s="531">
        <f t="shared" si="79"/>
        <v>0</v>
      </c>
      <c r="AG316" t="s">
        <v>163</v>
      </c>
      <c r="AH316" t="s">
        <v>1718</v>
      </c>
      <c r="AI316" s="199">
        <v>18965.8</v>
      </c>
      <c r="AJ316" s="199">
        <v>317.07</v>
      </c>
      <c r="AK316" s="199">
        <v>61.27</v>
      </c>
      <c r="AL316" s="199">
        <v>0</v>
      </c>
      <c r="AM316" s="199">
        <v>1056.27</v>
      </c>
      <c r="AN316" s="199">
        <v>477.9</v>
      </c>
      <c r="AO316" s="199">
        <v>295.62</v>
      </c>
      <c r="AP316" s="199">
        <v>0</v>
      </c>
      <c r="AQ316" s="199">
        <v>26.04</v>
      </c>
      <c r="AR316" s="199">
        <v>0</v>
      </c>
      <c r="AS316" s="199">
        <v>21199.97</v>
      </c>
      <c r="AT316"/>
      <c r="AU316"/>
      <c r="AV316" t="str">
        <f t="shared" si="80"/>
        <v>01109</v>
      </c>
      <c r="AW316" s="241">
        <f t="shared" si="81"/>
        <v>21199.97</v>
      </c>
      <c r="AY316" s="167">
        <f t="shared" si="84"/>
        <v>0</v>
      </c>
      <c r="BA316" s="197">
        <v>309</v>
      </c>
      <c r="BB316" s="73" t="s">
        <v>163</v>
      </c>
      <c r="BC316" s="73" t="s">
        <v>1492</v>
      </c>
      <c r="BD316" s="56">
        <v>29360.41</v>
      </c>
    </row>
    <row r="317" spans="1:56">
      <c r="A317" s="197">
        <v>310</v>
      </c>
      <c r="B317" s="73" t="s">
        <v>255</v>
      </c>
      <c r="C317" s="73" t="s">
        <v>1493</v>
      </c>
      <c r="D317" s="168">
        <v>1.8189894035458565E-12</v>
      </c>
      <c r="E317" s="170">
        <v>19044.170000000002</v>
      </c>
      <c r="F317" s="171">
        <f t="shared" si="91"/>
        <v>19044.170000000006</v>
      </c>
      <c r="G317" s="182">
        <v>19044.169999999998</v>
      </c>
      <c r="H317" s="179">
        <v>7.2759576141834259E-12</v>
      </c>
      <c r="I317" s="170">
        <v>29428.059999999998</v>
      </c>
      <c r="J317" s="171">
        <f t="shared" si="92"/>
        <v>29428.060000000005</v>
      </c>
      <c r="K317" s="205">
        <v>29501.989999999998</v>
      </c>
      <c r="L317" s="171">
        <v>0</v>
      </c>
      <c r="M317" s="199">
        <v>29597.45</v>
      </c>
      <c r="N317" s="171">
        <f t="shared" si="93"/>
        <v>29597.45</v>
      </c>
      <c r="O317" s="205">
        <v>29493.670000000002</v>
      </c>
      <c r="P317" s="241">
        <v>103.77999999999884</v>
      </c>
      <c r="Q317" s="199">
        <v>31976.29</v>
      </c>
      <c r="R317" s="171">
        <f t="shared" si="94"/>
        <v>32080.07</v>
      </c>
      <c r="S317" s="205">
        <v>31976.3</v>
      </c>
      <c r="T317" s="241">
        <v>103.77000000000044</v>
      </c>
      <c r="U317" s="241">
        <v>30286.859999999997</v>
      </c>
      <c r="V317" s="171">
        <f t="shared" si="95"/>
        <v>30390.629999999997</v>
      </c>
      <c r="W317" s="56">
        <v>30390.630000000005</v>
      </c>
      <c r="X317" s="658">
        <f t="shared" si="82"/>
        <v>0</v>
      </c>
      <c r="Y317" s="659">
        <v>35549.759999999995</v>
      </c>
      <c r="Z317" s="171">
        <f t="shared" si="96"/>
        <v>35549.759999999995</v>
      </c>
      <c r="AA317" s="56"/>
      <c r="AB317" s="241">
        <f t="shared" si="83"/>
        <v>35549.759999999995</v>
      </c>
      <c r="AC317" s="241"/>
      <c r="AE317" s="531">
        <f t="shared" si="79"/>
        <v>0</v>
      </c>
      <c r="AG317" t="s">
        <v>255</v>
      </c>
      <c r="AH317" t="s">
        <v>1766</v>
      </c>
      <c r="AI317" s="199">
        <v>27221.79</v>
      </c>
      <c r="AJ317" s="199">
        <v>1848.78</v>
      </c>
      <c r="AK317" s="199">
        <v>1119.69</v>
      </c>
      <c r="AL317" s="199">
        <v>0</v>
      </c>
      <c r="AM317" s="199">
        <v>0</v>
      </c>
      <c r="AN317" s="199">
        <v>1398.46</v>
      </c>
      <c r="AO317" s="199">
        <v>1147.26</v>
      </c>
      <c r="AP317" s="199">
        <v>594.30999999999995</v>
      </c>
      <c r="AQ317" s="199">
        <v>105.69</v>
      </c>
      <c r="AR317" s="199">
        <v>2113.7800000000002</v>
      </c>
      <c r="AS317" s="199">
        <v>35549.759999999995</v>
      </c>
      <c r="AT317"/>
      <c r="AU317"/>
      <c r="AV317" t="str">
        <f t="shared" si="80"/>
        <v>09209</v>
      </c>
      <c r="AW317" s="241">
        <f t="shared" si="81"/>
        <v>35549.759999999995</v>
      </c>
      <c r="AY317" s="167">
        <f t="shared" si="84"/>
        <v>0</v>
      </c>
      <c r="BA317" s="197">
        <v>310</v>
      </c>
      <c r="BB317" s="73" t="s">
        <v>255</v>
      </c>
      <c r="BC317" s="73" t="s">
        <v>1493</v>
      </c>
      <c r="BD317" s="56">
        <v>30390.630000000005</v>
      </c>
    </row>
    <row r="318" spans="1:56">
      <c r="A318" s="197">
        <v>311</v>
      </c>
      <c r="B318" s="73" t="s">
        <v>622</v>
      </c>
      <c r="C318" s="73" t="s">
        <v>1494</v>
      </c>
      <c r="D318" s="168">
        <v>0</v>
      </c>
      <c r="E318" s="170">
        <v>30330.28</v>
      </c>
      <c r="F318" s="171">
        <f t="shared" si="91"/>
        <v>30330.28</v>
      </c>
      <c r="G318" s="182">
        <v>31114.31</v>
      </c>
      <c r="H318" s="179">
        <v>0</v>
      </c>
      <c r="I318" s="170">
        <v>46567.09</v>
      </c>
      <c r="J318" s="171">
        <f t="shared" si="92"/>
        <v>46567.09</v>
      </c>
      <c r="K318" s="205">
        <v>35357.93</v>
      </c>
      <c r="L318" s="171">
        <v>11209.159999999996</v>
      </c>
      <c r="M318" s="199">
        <v>43682.71</v>
      </c>
      <c r="N318" s="171">
        <f t="shared" si="93"/>
        <v>54891.869999999995</v>
      </c>
      <c r="O318" s="205">
        <v>41124.26</v>
      </c>
      <c r="P318" s="241">
        <v>13767.609999999993</v>
      </c>
      <c r="Q318" s="199">
        <v>44518.17</v>
      </c>
      <c r="R318" s="171">
        <f t="shared" si="94"/>
        <v>58285.779999999992</v>
      </c>
      <c r="S318" s="205">
        <v>77846.89</v>
      </c>
      <c r="T318" s="241">
        <v>0</v>
      </c>
      <c r="U318" s="241">
        <v>46085.759999999995</v>
      </c>
      <c r="V318" s="171">
        <f t="shared" si="95"/>
        <v>46085.759999999995</v>
      </c>
      <c r="W318" s="56">
        <v>43535.090000000004</v>
      </c>
      <c r="X318" s="658">
        <f t="shared" si="82"/>
        <v>2550.669999999991</v>
      </c>
      <c r="Y318" s="659">
        <v>46615.08</v>
      </c>
      <c r="Z318" s="171">
        <f t="shared" si="96"/>
        <v>49165.749999999993</v>
      </c>
      <c r="AA318" s="56"/>
      <c r="AB318" s="241">
        <f t="shared" si="83"/>
        <v>49165.749999999993</v>
      </c>
      <c r="AC318" s="241"/>
      <c r="AE318" s="531">
        <f t="shared" si="79"/>
        <v>0</v>
      </c>
      <c r="AG318" t="s">
        <v>622</v>
      </c>
      <c r="AH318" t="s">
        <v>1953</v>
      </c>
      <c r="AI318" s="199">
        <v>33625.919999999998</v>
      </c>
      <c r="AJ318" s="199">
        <v>1228.44</v>
      </c>
      <c r="AK318" s="199">
        <v>0</v>
      </c>
      <c r="AL318" s="199">
        <v>0</v>
      </c>
      <c r="AM318" s="199">
        <v>6888.3</v>
      </c>
      <c r="AN318" s="199">
        <v>3164.54</v>
      </c>
      <c r="AO318" s="199">
        <v>1524.07</v>
      </c>
      <c r="AP318" s="199">
        <v>0</v>
      </c>
      <c r="AQ318" s="199">
        <v>183.81</v>
      </c>
      <c r="AR318" s="199">
        <v>0</v>
      </c>
      <c r="AS318" s="199">
        <v>46615.08</v>
      </c>
      <c r="AT318"/>
      <c r="AU318"/>
      <c r="AV318" t="str">
        <f t="shared" si="80"/>
        <v>33049</v>
      </c>
      <c r="AW318" s="241">
        <f t="shared" si="81"/>
        <v>46615.08</v>
      </c>
      <c r="AY318" s="167">
        <f t="shared" si="84"/>
        <v>0</v>
      </c>
      <c r="BA318" s="197">
        <v>311</v>
      </c>
      <c r="BB318" s="73" t="s">
        <v>622</v>
      </c>
      <c r="BC318" s="73" t="s">
        <v>1494</v>
      </c>
      <c r="BD318" s="56">
        <v>43535.090000000004</v>
      </c>
    </row>
    <row r="319" spans="1:56">
      <c r="A319" s="197">
        <v>312</v>
      </c>
      <c r="B319" s="73" t="s">
        <v>201</v>
      </c>
      <c r="C319" s="73" t="s">
        <v>1495</v>
      </c>
      <c r="D319" s="168">
        <v>4122.4800000000687</v>
      </c>
      <c r="E319" s="170">
        <v>507726.16999999993</v>
      </c>
      <c r="F319" s="171">
        <f t="shared" si="91"/>
        <v>511848.65</v>
      </c>
      <c r="G319" s="182">
        <v>500337.6</v>
      </c>
      <c r="H319" s="179">
        <v>11511.050000000047</v>
      </c>
      <c r="I319" s="170">
        <v>693349.15999999992</v>
      </c>
      <c r="J319" s="171">
        <f t="shared" si="92"/>
        <v>704860.21</v>
      </c>
      <c r="K319" s="205">
        <v>750704.27</v>
      </c>
      <c r="L319" s="171">
        <v>0</v>
      </c>
      <c r="M319" s="199">
        <v>716568.86</v>
      </c>
      <c r="N319" s="171">
        <f t="shared" si="93"/>
        <v>716568.86</v>
      </c>
      <c r="O319" s="205">
        <v>763289.37999999977</v>
      </c>
      <c r="P319" s="241">
        <v>0</v>
      </c>
      <c r="Q319" s="199">
        <v>763222.52</v>
      </c>
      <c r="R319" s="171">
        <f t="shared" si="94"/>
        <v>763222.52</v>
      </c>
      <c r="S319" s="205">
        <v>604762.6399999999</v>
      </c>
      <c r="T319" s="241">
        <v>158459.88000000012</v>
      </c>
      <c r="U319" s="241">
        <v>757492.92</v>
      </c>
      <c r="V319" s="171">
        <f t="shared" si="95"/>
        <v>915952.80000000016</v>
      </c>
      <c r="W319" s="56">
        <v>788210.25000000047</v>
      </c>
      <c r="X319" s="658">
        <f t="shared" si="82"/>
        <v>127742.5499999997</v>
      </c>
      <c r="Y319" s="659">
        <v>756467.6100000001</v>
      </c>
      <c r="Z319" s="171">
        <f t="shared" si="96"/>
        <v>884210.1599999998</v>
      </c>
      <c r="AA319" s="56"/>
      <c r="AB319" s="241">
        <f t="shared" si="83"/>
        <v>884210.1599999998</v>
      </c>
      <c r="AC319" s="241"/>
      <c r="AE319" s="531">
        <f t="shared" si="79"/>
        <v>0</v>
      </c>
      <c r="AG319" t="s">
        <v>201</v>
      </c>
      <c r="AH319" t="s">
        <v>1737</v>
      </c>
      <c r="AI319" s="199">
        <v>427946.64</v>
      </c>
      <c r="AJ319" s="199">
        <v>59433.93</v>
      </c>
      <c r="AK319" s="199">
        <v>24780.22</v>
      </c>
      <c r="AL319" s="199">
        <v>21336.9</v>
      </c>
      <c r="AM319" s="199">
        <v>105077.78</v>
      </c>
      <c r="AN319" s="199">
        <v>41422.39</v>
      </c>
      <c r="AO319" s="199">
        <v>26825.07</v>
      </c>
      <c r="AP319" s="199">
        <v>40457.410000000003</v>
      </c>
      <c r="AQ319" s="199">
        <v>3052.72</v>
      </c>
      <c r="AR319" s="199">
        <v>6134.55</v>
      </c>
      <c r="AS319" s="199">
        <v>756467.6100000001</v>
      </c>
      <c r="AT319"/>
      <c r="AU319"/>
      <c r="AV319" t="str">
        <f t="shared" si="80"/>
        <v>04246</v>
      </c>
      <c r="AW319" s="241">
        <f t="shared" si="81"/>
        <v>756467.6100000001</v>
      </c>
      <c r="AY319" s="167">
        <f t="shared" si="84"/>
        <v>0</v>
      </c>
      <c r="BA319" s="197">
        <v>312</v>
      </c>
      <c r="BB319" s="73" t="s">
        <v>201</v>
      </c>
      <c r="BC319" s="73" t="s">
        <v>1495</v>
      </c>
      <c r="BD319" s="56">
        <v>788210.25000000047</v>
      </c>
    </row>
    <row r="320" spans="1:56">
      <c r="A320" s="197">
        <v>313</v>
      </c>
      <c r="B320" s="73" t="s">
        <v>613</v>
      </c>
      <c r="C320" s="73" t="s">
        <v>1496</v>
      </c>
      <c r="D320" s="168">
        <v>30147.309999999998</v>
      </c>
      <c r="E320" s="170">
        <v>203220.31</v>
      </c>
      <c r="F320" s="171">
        <f t="shared" si="91"/>
        <v>233367.62</v>
      </c>
      <c r="G320" s="182">
        <v>233367.62</v>
      </c>
      <c r="H320" s="179">
        <v>0</v>
      </c>
      <c r="I320" s="170">
        <v>272904.63</v>
      </c>
      <c r="J320" s="171">
        <f t="shared" si="92"/>
        <v>272904.63</v>
      </c>
      <c r="K320" s="205">
        <v>294905.95</v>
      </c>
      <c r="L320" s="171">
        <v>0</v>
      </c>
      <c r="M320" s="199">
        <v>260355.60000000003</v>
      </c>
      <c r="N320" s="171">
        <f t="shared" si="93"/>
        <v>260355.60000000003</v>
      </c>
      <c r="O320" s="205">
        <v>270285.55</v>
      </c>
      <c r="P320" s="241">
        <v>0</v>
      </c>
      <c r="Q320" s="199">
        <v>286034.68999999994</v>
      </c>
      <c r="R320" s="171">
        <f t="shared" si="94"/>
        <v>286034.68999999994</v>
      </c>
      <c r="S320" s="205">
        <v>296212.93</v>
      </c>
      <c r="T320" s="241">
        <v>0</v>
      </c>
      <c r="U320" s="241">
        <v>293748.42</v>
      </c>
      <c r="V320" s="171">
        <f t="shared" si="95"/>
        <v>293748.42</v>
      </c>
      <c r="W320" s="56">
        <v>259378.59999999992</v>
      </c>
      <c r="X320" s="658">
        <f t="shared" si="82"/>
        <v>34369.820000000065</v>
      </c>
      <c r="Y320" s="659">
        <v>308851.41000000003</v>
      </c>
      <c r="Z320" s="171">
        <f t="shared" si="96"/>
        <v>343221.2300000001</v>
      </c>
      <c r="AA320" s="56"/>
      <c r="AB320" s="241">
        <f t="shared" si="83"/>
        <v>343221.2300000001</v>
      </c>
      <c r="AC320" s="241"/>
      <c r="AE320" s="531">
        <f t="shared" si="79"/>
        <v>0</v>
      </c>
      <c r="AG320" t="s">
        <v>613</v>
      </c>
      <c r="AH320" t="s">
        <v>1948</v>
      </c>
      <c r="AI320" s="199">
        <v>206454.85</v>
      </c>
      <c r="AJ320" s="199">
        <v>12638.25</v>
      </c>
      <c r="AK320" s="199">
        <v>8510.25</v>
      </c>
      <c r="AL320" s="199">
        <v>0</v>
      </c>
      <c r="AM320" s="199">
        <v>50213.82</v>
      </c>
      <c r="AN320" s="199">
        <v>17254.86</v>
      </c>
      <c r="AO320" s="199">
        <v>8251.39</v>
      </c>
      <c r="AP320" s="199">
        <v>4029.96</v>
      </c>
      <c r="AQ320" s="199">
        <v>1498.03</v>
      </c>
      <c r="AR320" s="199">
        <v>0</v>
      </c>
      <c r="AS320" s="199">
        <v>308851.41000000003</v>
      </c>
      <c r="AT320"/>
      <c r="AU320"/>
      <c r="AV320" t="str">
        <f t="shared" si="80"/>
        <v>32363</v>
      </c>
      <c r="AW320" s="241">
        <f t="shared" si="81"/>
        <v>308851.41000000003</v>
      </c>
      <c r="AY320" s="167">
        <f t="shared" si="84"/>
        <v>0</v>
      </c>
      <c r="BA320" s="197">
        <v>313</v>
      </c>
      <c r="BB320" s="73" t="s">
        <v>613</v>
      </c>
      <c r="BC320" s="73" t="s">
        <v>1496</v>
      </c>
      <c r="BD320" s="56">
        <v>259378.59999999992</v>
      </c>
    </row>
    <row r="321" spans="1:56">
      <c r="A321" s="197">
        <v>314</v>
      </c>
      <c r="B321" s="73" t="s">
        <v>736</v>
      </c>
      <c r="C321" s="73" t="s">
        <v>1497</v>
      </c>
      <c r="D321" s="168">
        <v>33571.53</v>
      </c>
      <c r="E321" s="170">
        <v>348179.93</v>
      </c>
      <c r="F321" s="171">
        <f t="shared" si="91"/>
        <v>381751.45999999996</v>
      </c>
      <c r="G321" s="182">
        <v>290175.25</v>
      </c>
      <c r="H321" s="180">
        <v>91576.209999999963</v>
      </c>
      <c r="I321" s="170">
        <v>482195.12</v>
      </c>
      <c r="J321" s="171">
        <f t="shared" si="92"/>
        <v>573771.32999999996</v>
      </c>
      <c r="K321" s="205">
        <v>573771.33000000007</v>
      </c>
      <c r="L321" s="171">
        <v>0</v>
      </c>
      <c r="M321" s="199">
        <v>499602.16</v>
      </c>
      <c r="N321" s="171">
        <f t="shared" si="93"/>
        <v>499602.16</v>
      </c>
      <c r="O321" s="205">
        <v>499619.15</v>
      </c>
      <c r="P321" s="241">
        <v>0</v>
      </c>
      <c r="Q321" s="199">
        <v>547075.52999999991</v>
      </c>
      <c r="R321" s="171">
        <f t="shared" si="94"/>
        <v>547075.52999999991</v>
      </c>
      <c r="S321" s="205">
        <v>554375.53</v>
      </c>
      <c r="T321" s="241">
        <v>0</v>
      </c>
      <c r="U321" s="241">
        <v>555067.79</v>
      </c>
      <c r="V321" s="171">
        <f t="shared" si="95"/>
        <v>555067.79</v>
      </c>
      <c r="W321" s="56">
        <v>658309.35000000021</v>
      </c>
      <c r="X321" s="658">
        <f t="shared" si="82"/>
        <v>0</v>
      </c>
      <c r="Y321" s="659">
        <v>577378.86</v>
      </c>
      <c r="Z321" s="171">
        <f t="shared" si="96"/>
        <v>577378.86</v>
      </c>
      <c r="AA321" s="56"/>
      <c r="AB321" s="241">
        <f t="shared" si="83"/>
        <v>577378.86</v>
      </c>
      <c r="AC321" s="241"/>
      <c r="AE321" s="531">
        <f t="shared" si="79"/>
        <v>0</v>
      </c>
      <c r="AG321" t="s">
        <v>736</v>
      </c>
      <c r="AH321" t="s">
        <v>2014</v>
      </c>
      <c r="AI321" s="199">
        <v>380599.53</v>
      </c>
      <c r="AJ321" s="199">
        <v>33187.839999999997</v>
      </c>
      <c r="AK321" s="199">
        <v>24818.51</v>
      </c>
      <c r="AL321" s="199">
        <v>0</v>
      </c>
      <c r="AM321" s="199">
        <v>79976.240000000005</v>
      </c>
      <c r="AN321" s="199">
        <v>26457.46</v>
      </c>
      <c r="AO321" s="199">
        <v>13278.51</v>
      </c>
      <c r="AP321" s="199">
        <v>12861.88</v>
      </c>
      <c r="AQ321" s="199">
        <v>2342.0100000000002</v>
      </c>
      <c r="AR321" s="199">
        <v>3856.88</v>
      </c>
      <c r="AS321" s="199">
        <v>577378.86</v>
      </c>
      <c r="AT321"/>
      <c r="AU321"/>
      <c r="AV321" t="str">
        <f t="shared" si="80"/>
        <v>39208</v>
      </c>
      <c r="AW321" s="241">
        <f t="shared" si="81"/>
        <v>577378.86</v>
      </c>
      <c r="AY321" s="167">
        <f t="shared" si="84"/>
        <v>0</v>
      </c>
      <c r="BA321" s="197">
        <v>314</v>
      </c>
      <c r="BB321" s="73" t="s">
        <v>736</v>
      </c>
      <c r="BC321" s="73" t="s">
        <v>1497</v>
      </c>
      <c r="BD321" s="56">
        <v>658309.35000000021</v>
      </c>
    </row>
    <row r="322" spans="1:56">
      <c r="A322" s="197">
        <v>315</v>
      </c>
      <c r="B322" s="201" t="s">
        <v>1692</v>
      </c>
      <c r="C322" s="172" t="s">
        <v>1711</v>
      </c>
      <c r="D322" s="168"/>
      <c r="E322" s="170"/>
      <c r="F322" s="171"/>
      <c r="G322" s="182"/>
      <c r="H322" s="180"/>
      <c r="I322" s="170"/>
      <c r="J322" s="171"/>
      <c r="K322" s="205"/>
      <c r="L322" s="171">
        <v>0</v>
      </c>
      <c r="M322" s="199">
        <v>14594.77</v>
      </c>
      <c r="N322" s="171">
        <f t="shared" si="93"/>
        <v>14594.77</v>
      </c>
      <c r="O322" s="205">
        <v>13884.75</v>
      </c>
      <c r="P322" s="241">
        <v>710.02000000000044</v>
      </c>
      <c r="Q322" s="199">
        <v>16162.54</v>
      </c>
      <c r="R322" s="171">
        <f t="shared" si="94"/>
        <v>16872.560000000001</v>
      </c>
      <c r="S322" s="205">
        <v>0</v>
      </c>
      <c r="T322" s="241">
        <v>16872.560000000001</v>
      </c>
      <c r="U322" s="241">
        <v>15738.35</v>
      </c>
      <c r="V322" s="171">
        <f t="shared" si="95"/>
        <v>32610.910000000003</v>
      </c>
      <c r="W322" s="56">
        <v>27385.52</v>
      </c>
      <c r="X322" s="658">
        <f t="shared" si="82"/>
        <v>5225.3900000000031</v>
      </c>
      <c r="Y322" s="659">
        <v>16816.41</v>
      </c>
      <c r="Z322" s="171">
        <f t="shared" si="96"/>
        <v>22041.800000000003</v>
      </c>
      <c r="AA322" s="56"/>
      <c r="AB322" s="241">
        <f t="shared" si="83"/>
        <v>22041.800000000003</v>
      </c>
      <c r="AC322" s="241"/>
      <c r="AE322" s="531">
        <f t="shared" si="79"/>
        <v>0</v>
      </c>
      <c r="AG322" t="s">
        <v>1692</v>
      </c>
      <c r="AH322" t="s">
        <v>2028</v>
      </c>
      <c r="AI322" s="199">
        <v>15044.52</v>
      </c>
      <c r="AJ322" s="199">
        <v>0</v>
      </c>
      <c r="AK322" s="199">
        <v>0</v>
      </c>
      <c r="AL322" s="199">
        <v>0</v>
      </c>
      <c r="AM322" s="199">
        <v>1478.01</v>
      </c>
      <c r="AN322" s="199">
        <v>293.88</v>
      </c>
      <c r="AO322" s="199">
        <v>0</v>
      </c>
      <c r="AP322" s="199">
        <v>0</v>
      </c>
      <c r="AQ322" s="199">
        <v>0</v>
      </c>
      <c r="AR322" s="199">
        <v>0</v>
      </c>
      <c r="AS322" s="199">
        <v>16816.41</v>
      </c>
      <c r="AT322"/>
      <c r="AU322"/>
      <c r="AV322" t="str">
        <f t="shared" si="80"/>
        <v>37902</v>
      </c>
      <c r="AW322" s="241">
        <f t="shared" si="81"/>
        <v>16816.41</v>
      </c>
      <c r="AY322" s="167">
        <f t="shared" si="84"/>
        <v>0</v>
      </c>
      <c r="BA322" s="197">
        <v>315</v>
      </c>
      <c r="BB322" s="201" t="s">
        <v>1692</v>
      </c>
      <c r="BC322" s="172" t="s">
        <v>1711</v>
      </c>
      <c r="BD322" s="56">
        <v>27385.52</v>
      </c>
    </row>
    <row r="323" spans="1:56">
      <c r="A323" s="197">
        <v>316</v>
      </c>
      <c r="B323" s="73" t="s">
        <v>438</v>
      </c>
      <c r="C323" s="73" t="s">
        <v>1498</v>
      </c>
      <c r="D323" s="168">
        <v>1412.7900000000009</v>
      </c>
      <c r="E323" s="170">
        <v>26671.760000000002</v>
      </c>
      <c r="F323" s="171">
        <f>+D323+E323</f>
        <v>28084.550000000003</v>
      </c>
      <c r="G323" s="182"/>
      <c r="H323" s="179">
        <v>28084.550000000003</v>
      </c>
      <c r="I323" s="170">
        <v>35343.94</v>
      </c>
      <c r="J323" s="171">
        <f>+H323+I323</f>
        <v>63428.490000000005</v>
      </c>
      <c r="K323" s="205">
        <v>40602.979999999996</v>
      </c>
      <c r="L323" s="171">
        <v>22825.510000000009</v>
      </c>
      <c r="M323" s="199">
        <v>36947.75</v>
      </c>
      <c r="N323" s="171">
        <f t="shared" si="93"/>
        <v>59773.260000000009</v>
      </c>
      <c r="O323" s="205">
        <v>36627.79</v>
      </c>
      <c r="P323" s="241">
        <v>23145.470000000008</v>
      </c>
      <c r="Q323" s="199">
        <v>40848.85</v>
      </c>
      <c r="R323" s="171">
        <f t="shared" si="94"/>
        <v>63994.320000000007</v>
      </c>
      <c r="S323" s="205">
        <v>3442.48</v>
      </c>
      <c r="T323" s="241">
        <v>60551.840000000004</v>
      </c>
      <c r="U323" s="241">
        <v>43167.42</v>
      </c>
      <c r="V323" s="171">
        <f t="shared" si="95"/>
        <v>103719.26000000001</v>
      </c>
      <c r="W323" s="56">
        <v>19567.7</v>
      </c>
      <c r="X323" s="658">
        <f t="shared" si="82"/>
        <v>84151.560000000012</v>
      </c>
      <c r="Y323" s="659">
        <v>46987.03</v>
      </c>
      <c r="Z323" s="171">
        <f t="shared" si="96"/>
        <v>131138.59000000003</v>
      </c>
      <c r="AA323" s="56"/>
      <c r="AB323" s="241">
        <f t="shared" si="83"/>
        <v>131138.59000000003</v>
      </c>
      <c r="AC323" s="241"/>
      <c r="AE323" s="531">
        <f t="shared" si="79"/>
        <v>0</v>
      </c>
      <c r="AG323" t="s">
        <v>438</v>
      </c>
      <c r="AH323" t="s">
        <v>1861</v>
      </c>
      <c r="AI323" s="199">
        <v>35528.33</v>
      </c>
      <c r="AJ323" s="199">
        <v>1259.07</v>
      </c>
      <c r="AK323" s="199">
        <v>533.04</v>
      </c>
      <c r="AL323" s="199">
        <v>0</v>
      </c>
      <c r="AM323" s="199">
        <v>5717.81</v>
      </c>
      <c r="AN323" s="199">
        <v>2288.39</v>
      </c>
      <c r="AO323" s="199">
        <v>1507.22</v>
      </c>
      <c r="AP323" s="199">
        <v>0</v>
      </c>
      <c r="AQ323" s="199">
        <v>153.16999999999999</v>
      </c>
      <c r="AR323" s="199">
        <v>0</v>
      </c>
      <c r="AS323" s="199">
        <v>46987.03</v>
      </c>
      <c r="AT323"/>
      <c r="AU323"/>
      <c r="AV323" t="str">
        <f t="shared" si="80"/>
        <v>21303</v>
      </c>
      <c r="AW323" s="241">
        <f t="shared" si="81"/>
        <v>46987.03</v>
      </c>
      <c r="AY323" s="167">
        <f t="shared" si="84"/>
        <v>0</v>
      </c>
      <c r="BA323" s="197">
        <v>316</v>
      </c>
      <c r="BB323" s="73" t="s">
        <v>438</v>
      </c>
      <c r="BC323" s="73" t="s">
        <v>1498</v>
      </c>
      <c r="BD323" s="56">
        <v>19567.7</v>
      </c>
    </row>
    <row r="324" spans="1:56">
      <c r="A324" s="197">
        <v>317</v>
      </c>
      <c r="B324" s="73" t="s">
        <v>531</v>
      </c>
      <c r="C324" s="73" t="s">
        <v>1499</v>
      </c>
      <c r="D324" s="168">
        <v>0</v>
      </c>
      <c r="E324" s="170">
        <v>242561.03999999998</v>
      </c>
      <c r="F324" s="171">
        <f>+D324+E324</f>
        <v>242561.03999999998</v>
      </c>
      <c r="G324" s="182">
        <v>302712.44</v>
      </c>
      <c r="H324" s="179">
        <v>0</v>
      </c>
      <c r="I324" s="170">
        <v>354901.69999999995</v>
      </c>
      <c r="J324" s="171">
        <f>+H324+I324</f>
        <v>354901.69999999995</v>
      </c>
      <c r="K324" s="205">
        <v>358056.24999999994</v>
      </c>
      <c r="L324" s="171">
        <v>0</v>
      </c>
      <c r="M324" s="199">
        <v>382461.42</v>
      </c>
      <c r="N324" s="171">
        <f t="shared" si="93"/>
        <v>382461.42</v>
      </c>
      <c r="O324" s="205">
        <v>624335.43999999994</v>
      </c>
      <c r="P324" s="241">
        <v>0</v>
      </c>
      <c r="Q324" s="199">
        <v>422148.95999999996</v>
      </c>
      <c r="R324" s="171">
        <f t="shared" si="94"/>
        <v>422148.95999999996</v>
      </c>
      <c r="S324" s="205">
        <v>515879.1999999999</v>
      </c>
      <c r="T324" s="241">
        <v>0</v>
      </c>
      <c r="U324" s="241">
        <v>451901.42000000004</v>
      </c>
      <c r="V324" s="171">
        <f t="shared" si="95"/>
        <v>451901.42000000004</v>
      </c>
      <c r="W324" s="56">
        <v>452936.83</v>
      </c>
      <c r="X324" s="658">
        <f t="shared" si="82"/>
        <v>0</v>
      </c>
      <c r="Y324" s="659">
        <v>477299.60999999993</v>
      </c>
      <c r="Z324" s="171">
        <f t="shared" si="96"/>
        <v>477299.60999999993</v>
      </c>
      <c r="AA324" s="56"/>
      <c r="AB324" s="241">
        <f t="shared" si="83"/>
        <v>477299.60999999993</v>
      </c>
      <c r="AC324" s="241"/>
      <c r="AE324" s="531">
        <f t="shared" si="79"/>
        <v>0</v>
      </c>
      <c r="AG324" t="s">
        <v>531</v>
      </c>
      <c r="AH324" t="s">
        <v>1906</v>
      </c>
      <c r="AI324" s="199">
        <v>355887.6</v>
      </c>
      <c r="AJ324" s="199">
        <v>27648.74</v>
      </c>
      <c r="AK324" s="199">
        <v>2560.46</v>
      </c>
      <c r="AL324" s="199">
        <v>0</v>
      </c>
      <c r="AM324" s="199">
        <v>64411.35</v>
      </c>
      <c r="AN324" s="199">
        <v>14125.55</v>
      </c>
      <c r="AO324" s="199">
        <v>0</v>
      </c>
      <c r="AP324" s="199">
        <v>5929.48</v>
      </c>
      <c r="AQ324" s="199">
        <v>2013.3</v>
      </c>
      <c r="AR324" s="199">
        <v>4723.13</v>
      </c>
      <c r="AS324" s="199">
        <v>477299.60999999993</v>
      </c>
      <c r="AT324"/>
      <c r="AU324"/>
      <c r="AV324" t="str">
        <f t="shared" si="80"/>
        <v>27416</v>
      </c>
      <c r="AW324" s="241">
        <f t="shared" si="81"/>
        <v>477299.60999999993</v>
      </c>
      <c r="AY324" s="167">
        <f t="shared" si="84"/>
        <v>0</v>
      </c>
      <c r="BA324" s="197">
        <v>317</v>
      </c>
      <c r="BB324" s="73" t="s">
        <v>531</v>
      </c>
      <c r="BC324" s="73" t="s">
        <v>1499</v>
      </c>
      <c r="BD324" s="56">
        <v>452936.83</v>
      </c>
    </row>
    <row r="325" spans="1:56">
      <c r="A325" s="197">
        <v>318</v>
      </c>
      <c r="B325" s="73" t="s">
        <v>412</v>
      </c>
      <c r="C325" s="73" t="s">
        <v>1500</v>
      </c>
      <c r="D325" s="168">
        <v>0</v>
      </c>
      <c r="E325" s="170">
        <v>67137.47</v>
      </c>
      <c r="F325" s="171">
        <f>+D325+E325</f>
        <v>67137.47</v>
      </c>
      <c r="G325" s="182">
        <v>75759.95</v>
      </c>
      <c r="H325" s="179">
        <v>0</v>
      </c>
      <c r="I325" s="170">
        <v>91465.579999999987</v>
      </c>
      <c r="J325" s="171">
        <f>+H325+I325</f>
        <v>91465.579999999987</v>
      </c>
      <c r="K325" s="205">
        <v>102546.45999999999</v>
      </c>
      <c r="L325" s="171">
        <v>0</v>
      </c>
      <c r="M325" s="199">
        <v>89872.310000000012</v>
      </c>
      <c r="N325" s="171">
        <f t="shared" si="93"/>
        <v>89872.310000000012</v>
      </c>
      <c r="O325" s="205">
        <v>73191.429999999993</v>
      </c>
      <c r="P325" s="241">
        <v>16680.880000000019</v>
      </c>
      <c r="Q325" s="199">
        <v>96582.85</v>
      </c>
      <c r="R325" s="171">
        <f t="shared" si="94"/>
        <v>113263.73000000003</v>
      </c>
      <c r="S325" s="205">
        <v>104990.6</v>
      </c>
      <c r="T325" s="241">
        <v>8273.1300000000192</v>
      </c>
      <c r="U325" s="241">
        <v>98829.6</v>
      </c>
      <c r="V325" s="171">
        <f t="shared" si="95"/>
        <v>107102.73000000003</v>
      </c>
      <c r="W325" s="56">
        <v>96934.44</v>
      </c>
      <c r="X325" s="658">
        <f t="shared" si="82"/>
        <v>10168.290000000023</v>
      </c>
      <c r="Y325" s="659">
        <v>106247.79</v>
      </c>
      <c r="Z325" s="171">
        <f t="shared" si="96"/>
        <v>116416.08000000002</v>
      </c>
      <c r="AA325" s="56"/>
      <c r="AB325" s="241">
        <f t="shared" si="83"/>
        <v>116416.08000000002</v>
      </c>
      <c r="AC325" s="241"/>
      <c r="AE325" s="531">
        <f t="shared" si="79"/>
        <v>0</v>
      </c>
      <c r="AG325" t="s">
        <v>412</v>
      </c>
      <c r="AH325" t="s">
        <v>1848</v>
      </c>
      <c r="AI325" s="199">
        <v>88498.68</v>
      </c>
      <c r="AJ325" s="199">
        <v>6054.96</v>
      </c>
      <c r="AK325" s="199">
        <v>0</v>
      </c>
      <c r="AL325" s="199">
        <v>0</v>
      </c>
      <c r="AM325" s="199">
        <v>0</v>
      </c>
      <c r="AN325" s="199">
        <v>5105.54</v>
      </c>
      <c r="AO325" s="199">
        <v>1694.94</v>
      </c>
      <c r="AP325" s="199">
        <v>4396.66</v>
      </c>
      <c r="AQ325" s="199">
        <v>497.01</v>
      </c>
      <c r="AR325" s="199">
        <v>0</v>
      </c>
      <c r="AS325" s="199">
        <v>106247.79</v>
      </c>
      <c r="AT325"/>
      <c r="AU325"/>
      <c r="AV325" t="str">
        <f t="shared" si="80"/>
        <v>20405</v>
      </c>
      <c r="AW325" s="241">
        <f t="shared" si="81"/>
        <v>106247.79</v>
      </c>
      <c r="AY325" s="167">
        <f t="shared" si="84"/>
        <v>0</v>
      </c>
      <c r="BA325" s="197">
        <v>318</v>
      </c>
      <c r="BB325" s="73" t="s">
        <v>412</v>
      </c>
      <c r="BC325" s="73" t="s">
        <v>1500</v>
      </c>
      <c r="BD325" s="56">
        <v>96934.44</v>
      </c>
    </row>
    <row r="326" spans="1:56">
      <c r="A326" s="197">
        <v>319</v>
      </c>
      <c r="B326" s="200" t="s">
        <v>1696</v>
      </c>
      <c r="C326" s="172" t="s">
        <v>1707</v>
      </c>
      <c r="D326" s="168"/>
      <c r="E326" s="170"/>
      <c r="F326" s="171"/>
      <c r="G326" s="182"/>
      <c r="H326" s="179"/>
      <c r="I326" s="170"/>
      <c r="J326" s="171"/>
      <c r="K326" s="205"/>
      <c r="L326" s="171">
        <v>0</v>
      </c>
      <c r="M326" s="199">
        <v>18195.05</v>
      </c>
      <c r="N326" s="171">
        <f t="shared" si="93"/>
        <v>18195.05</v>
      </c>
      <c r="O326" s="205">
        <v>16302</v>
      </c>
      <c r="P326" s="241">
        <v>1893.0499999999993</v>
      </c>
      <c r="Q326" s="199">
        <v>22459.079999999998</v>
      </c>
      <c r="R326" s="171">
        <f t="shared" si="94"/>
        <v>24352.129999999997</v>
      </c>
      <c r="S326" s="205">
        <v>0</v>
      </c>
      <c r="T326" s="241">
        <v>24352.129999999997</v>
      </c>
      <c r="U326" s="241">
        <v>22354.25</v>
      </c>
      <c r="V326" s="171">
        <f t="shared" si="95"/>
        <v>46706.38</v>
      </c>
      <c r="W326" s="56">
        <v>46706.369999999995</v>
      </c>
      <c r="X326" s="658">
        <f t="shared" si="82"/>
        <v>1.0000000002037268E-2</v>
      </c>
      <c r="Y326" s="659">
        <v>22970.95</v>
      </c>
      <c r="Z326" s="171">
        <f t="shared" si="96"/>
        <v>22970.960000000003</v>
      </c>
      <c r="AA326" s="56"/>
      <c r="AB326" s="241">
        <f t="shared" si="83"/>
        <v>22970.960000000003</v>
      </c>
      <c r="AC326" s="241"/>
      <c r="AE326" s="531">
        <f t="shared" si="79"/>
        <v>0</v>
      </c>
      <c r="AG326" t="s">
        <v>1696</v>
      </c>
      <c r="AH326" t="s">
        <v>2453</v>
      </c>
      <c r="AI326" s="199">
        <v>18551.490000000002</v>
      </c>
      <c r="AJ326" s="199">
        <v>0</v>
      </c>
      <c r="AK326" s="199">
        <v>0</v>
      </c>
      <c r="AL326" s="199">
        <v>0</v>
      </c>
      <c r="AM326" s="199">
        <v>1948.71</v>
      </c>
      <c r="AN326" s="199">
        <v>1299.54</v>
      </c>
      <c r="AO326" s="199">
        <v>869.37</v>
      </c>
      <c r="AP326" s="199">
        <v>301.83999999999997</v>
      </c>
      <c r="AQ326" s="199">
        <v>0</v>
      </c>
      <c r="AR326" s="199">
        <v>0</v>
      </c>
      <c r="AS326" s="199">
        <v>22970.95</v>
      </c>
      <c r="AT326"/>
      <c r="AU326"/>
      <c r="AV326" t="str">
        <f t="shared" si="80"/>
        <v>17917</v>
      </c>
      <c r="AW326" s="241">
        <f t="shared" si="81"/>
        <v>22970.95</v>
      </c>
      <c r="AY326" s="167">
        <f t="shared" si="84"/>
        <v>0</v>
      </c>
      <c r="BA326" s="197">
        <v>319</v>
      </c>
      <c r="BB326" s="200" t="s">
        <v>1696</v>
      </c>
      <c r="BC326" s="172" t="s">
        <v>1707</v>
      </c>
      <c r="BD326" s="56">
        <v>46706.369999999995</v>
      </c>
    </row>
    <row r="327" spans="1:56">
      <c r="A327" s="197">
        <v>320</v>
      </c>
      <c r="B327" s="73" t="s">
        <v>452</v>
      </c>
      <c r="C327" s="73" t="s">
        <v>1501</v>
      </c>
      <c r="D327" s="168">
        <v>0</v>
      </c>
      <c r="E327" s="170">
        <v>18558.52</v>
      </c>
      <c r="F327" s="171">
        <f t="shared" ref="F327:F337" si="97">+D327+E327</f>
        <v>18558.52</v>
      </c>
      <c r="G327" s="182">
        <v>30144.14</v>
      </c>
      <c r="H327" s="179">
        <v>0</v>
      </c>
      <c r="I327" s="170">
        <v>26452.75</v>
      </c>
      <c r="J327" s="171">
        <f t="shared" ref="J327:J337" si="98">+H327+I327</f>
        <v>26452.75</v>
      </c>
      <c r="K327" s="205">
        <v>27087.199999999997</v>
      </c>
      <c r="L327" s="171">
        <v>0</v>
      </c>
      <c r="M327" s="199">
        <v>26874.14</v>
      </c>
      <c r="N327" s="171">
        <f t="shared" si="93"/>
        <v>26874.14</v>
      </c>
      <c r="O327" s="205">
        <v>31010.09</v>
      </c>
      <c r="P327" s="241">
        <v>0</v>
      </c>
      <c r="Q327" s="199">
        <v>28368.95</v>
      </c>
      <c r="R327" s="171">
        <f t="shared" si="94"/>
        <v>28368.95</v>
      </c>
      <c r="S327" s="205">
        <v>28040.34</v>
      </c>
      <c r="T327" s="241">
        <v>328.61000000000058</v>
      </c>
      <c r="U327" s="241">
        <v>27601.68</v>
      </c>
      <c r="V327" s="171">
        <f t="shared" si="95"/>
        <v>27930.29</v>
      </c>
      <c r="W327" s="56">
        <v>29095.019999999997</v>
      </c>
      <c r="X327" s="658">
        <f t="shared" si="82"/>
        <v>0</v>
      </c>
      <c r="Y327" s="659">
        <v>33972.879999999997</v>
      </c>
      <c r="Z327" s="171">
        <f t="shared" si="96"/>
        <v>33972.879999999997</v>
      </c>
      <c r="AA327" s="56"/>
      <c r="AB327" s="241">
        <f t="shared" si="83"/>
        <v>33972.879999999997</v>
      </c>
      <c r="AC327" s="241"/>
      <c r="AE327" s="531">
        <f t="shared" si="79"/>
        <v>0</v>
      </c>
      <c r="AG327" t="s">
        <v>452</v>
      </c>
      <c r="AH327" t="s">
        <v>1868</v>
      </c>
      <c r="AI327" s="199">
        <v>25927.48</v>
      </c>
      <c r="AJ327" s="199">
        <v>1346.38</v>
      </c>
      <c r="AK327" s="199">
        <v>211.38</v>
      </c>
      <c r="AL327" s="199">
        <v>0</v>
      </c>
      <c r="AM327" s="199">
        <v>3586.57</v>
      </c>
      <c r="AN327" s="199">
        <v>1104.3699999999999</v>
      </c>
      <c r="AO327" s="199">
        <v>0</v>
      </c>
      <c r="AP327" s="199">
        <v>0</v>
      </c>
      <c r="AQ327" s="199">
        <v>93.43</v>
      </c>
      <c r="AR327" s="199">
        <v>1703.27</v>
      </c>
      <c r="AS327" s="199">
        <v>33972.879999999997</v>
      </c>
      <c r="AT327"/>
      <c r="AU327"/>
      <c r="AV327" t="str">
        <f t="shared" si="80"/>
        <v>22200</v>
      </c>
      <c r="AW327" s="241">
        <f t="shared" si="81"/>
        <v>33972.879999999997</v>
      </c>
      <c r="AY327" s="167">
        <f t="shared" si="84"/>
        <v>0</v>
      </c>
      <c r="BA327" s="197">
        <v>320</v>
      </c>
      <c r="BB327" s="73" t="s">
        <v>452</v>
      </c>
      <c r="BC327" s="73" t="s">
        <v>1501</v>
      </c>
      <c r="BD327" s="56">
        <v>29095.019999999997</v>
      </c>
    </row>
    <row r="328" spans="1:56">
      <c r="A328" s="197">
        <v>321</v>
      </c>
      <c r="B328" s="73" t="s">
        <v>495</v>
      </c>
      <c r="C328" s="73" t="s">
        <v>1502</v>
      </c>
      <c r="D328" s="168">
        <v>0</v>
      </c>
      <c r="E328" s="170">
        <v>24822.100000000002</v>
      </c>
      <c r="F328" s="171">
        <f t="shared" si="97"/>
        <v>24822.100000000002</v>
      </c>
      <c r="G328" s="182">
        <v>9887.2800000000007</v>
      </c>
      <c r="H328" s="179">
        <v>14934.820000000002</v>
      </c>
      <c r="I328" s="170">
        <v>36482.770000000004</v>
      </c>
      <c r="J328" s="171">
        <f t="shared" si="98"/>
        <v>51417.590000000004</v>
      </c>
      <c r="K328" s="205"/>
      <c r="L328" s="171">
        <v>51417.590000000004</v>
      </c>
      <c r="M328" s="199">
        <v>38312.789999999994</v>
      </c>
      <c r="N328" s="171">
        <f t="shared" si="93"/>
        <v>89730.38</v>
      </c>
      <c r="O328" s="205">
        <v>20738.53</v>
      </c>
      <c r="P328" s="241">
        <v>68991.850000000006</v>
      </c>
      <c r="Q328" s="199">
        <v>40386.47</v>
      </c>
      <c r="R328" s="171">
        <f t="shared" si="94"/>
        <v>109378.32</v>
      </c>
      <c r="S328" s="205">
        <v>48813.780000000006</v>
      </c>
      <c r="T328" s="241">
        <v>60564.54</v>
      </c>
      <c r="U328" s="241">
        <v>41497.39</v>
      </c>
      <c r="V328" s="171">
        <f t="shared" si="95"/>
        <v>102061.93</v>
      </c>
      <c r="W328" s="56">
        <v>41808.46</v>
      </c>
      <c r="X328" s="658">
        <f t="shared" si="82"/>
        <v>60253.469999999994</v>
      </c>
      <c r="Y328" s="659">
        <v>43517.649999999994</v>
      </c>
      <c r="Z328" s="171">
        <f t="shared" si="96"/>
        <v>103771.12</v>
      </c>
      <c r="AA328" s="56"/>
      <c r="AB328" s="241">
        <f t="shared" si="83"/>
        <v>103771.12</v>
      </c>
      <c r="AC328" s="241"/>
      <c r="AE328" s="531">
        <f t="shared" ref="AE328:AE337" si="99">+AG328-B328</f>
        <v>0</v>
      </c>
      <c r="AG328" t="s">
        <v>495</v>
      </c>
      <c r="AH328" t="s">
        <v>1889</v>
      </c>
      <c r="AI328" s="199">
        <v>33111.26</v>
      </c>
      <c r="AJ328" s="199">
        <v>2250.1</v>
      </c>
      <c r="AK328" s="199">
        <v>678.55</v>
      </c>
      <c r="AL328" s="199">
        <v>0</v>
      </c>
      <c r="AM328" s="199">
        <v>5806.63</v>
      </c>
      <c r="AN328" s="199">
        <v>1378.56</v>
      </c>
      <c r="AO328" s="199">
        <v>0</v>
      </c>
      <c r="AP328" s="199">
        <v>137.85</v>
      </c>
      <c r="AQ328" s="199">
        <v>154.69999999999999</v>
      </c>
      <c r="AR328" s="199">
        <v>0</v>
      </c>
      <c r="AS328" s="199">
        <v>43517.649999999994</v>
      </c>
      <c r="AT328"/>
      <c r="AU328"/>
      <c r="AV328" t="str">
        <f t="shared" ref="AV328:AV337" si="100">TEXT(AG328, "00000")</f>
        <v>25160</v>
      </c>
      <c r="AW328" s="241">
        <f t="shared" ref="AW328:AW337" si="101">AS328</f>
        <v>43517.649999999994</v>
      </c>
      <c r="AY328" s="167">
        <f t="shared" si="84"/>
        <v>0</v>
      </c>
      <c r="BA328" s="197">
        <v>321</v>
      </c>
      <c r="BB328" s="73" t="s">
        <v>495</v>
      </c>
      <c r="BC328" s="73" t="s">
        <v>1502</v>
      </c>
      <c r="BD328" s="56">
        <v>41808.46</v>
      </c>
    </row>
    <row r="329" spans="1:56">
      <c r="A329" s="197">
        <v>322</v>
      </c>
      <c r="B329" s="73" t="s">
        <v>293</v>
      </c>
      <c r="C329" s="73" t="s">
        <v>1503</v>
      </c>
      <c r="D329" s="168">
        <v>7324.8</v>
      </c>
      <c r="E329" s="170">
        <v>15732.810000000001</v>
      </c>
      <c r="F329" s="171">
        <f t="shared" si="97"/>
        <v>23057.61</v>
      </c>
      <c r="G329" s="182"/>
      <c r="H329" s="179">
        <v>23057.61</v>
      </c>
      <c r="I329" s="170">
        <v>23597.29</v>
      </c>
      <c r="J329" s="171">
        <f t="shared" si="98"/>
        <v>46654.9</v>
      </c>
      <c r="K329" s="205">
        <v>7318.880000000001</v>
      </c>
      <c r="L329" s="171">
        <v>39336.020000000004</v>
      </c>
      <c r="M329" s="199">
        <v>22146.560000000001</v>
      </c>
      <c r="N329" s="171">
        <f t="shared" si="93"/>
        <v>61482.58</v>
      </c>
      <c r="O329" s="205">
        <v>7546.2</v>
      </c>
      <c r="P329" s="241">
        <v>53936.380000000005</v>
      </c>
      <c r="Q329" s="199">
        <v>23723.980000000003</v>
      </c>
      <c r="R329" s="171">
        <f t="shared" si="94"/>
        <v>77660.360000000015</v>
      </c>
      <c r="S329" s="205">
        <v>33827.980000000003</v>
      </c>
      <c r="T329" s="241">
        <v>43832.380000000012</v>
      </c>
      <c r="U329" s="241">
        <v>23304.02</v>
      </c>
      <c r="V329" s="171">
        <f t="shared" si="95"/>
        <v>67136.400000000009</v>
      </c>
      <c r="W329" s="56">
        <v>32119.510000000002</v>
      </c>
      <c r="X329" s="658">
        <f t="shared" ref="X329:X337" si="102">IF(+V329-W329&lt;0,0,(+V329-W329))</f>
        <v>35016.890000000007</v>
      </c>
      <c r="Y329" s="659">
        <v>24944.42</v>
      </c>
      <c r="Z329" s="171">
        <f t="shared" si="96"/>
        <v>59961.310000000005</v>
      </c>
      <c r="AA329" s="56"/>
      <c r="AB329" s="241">
        <f t="shared" ref="AB329:AB337" si="103">IF(+Z329-AA329&lt;0,0,(+Z329-AA329))</f>
        <v>59961.310000000005</v>
      </c>
      <c r="AC329" s="241"/>
      <c r="AE329" s="531">
        <f t="shared" si="99"/>
        <v>0</v>
      </c>
      <c r="AG329" t="s">
        <v>293</v>
      </c>
      <c r="AH329" t="s">
        <v>1785</v>
      </c>
      <c r="AI329" s="199">
        <v>20645.25</v>
      </c>
      <c r="AJ329" s="199">
        <v>609.54</v>
      </c>
      <c r="AK329" s="199">
        <v>411.51</v>
      </c>
      <c r="AL329" s="199">
        <v>0</v>
      </c>
      <c r="AM329" s="199">
        <v>1972.41</v>
      </c>
      <c r="AN329" s="199">
        <v>775.07</v>
      </c>
      <c r="AO329" s="199">
        <v>530.64</v>
      </c>
      <c r="AP329" s="199">
        <v>0</v>
      </c>
      <c r="AQ329" s="199">
        <v>0</v>
      </c>
      <c r="AR329" s="199">
        <v>0</v>
      </c>
      <c r="AS329" s="199">
        <v>24944.42</v>
      </c>
      <c r="AT329"/>
      <c r="AU329"/>
      <c r="AV329" t="str">
        <f t="shared" si="100"/>
        <v>13167</v>
      </c>
      <c r="AW329" s="241">
        <f t="shared" si="101"/>
        <v>24944.42</v>
      </c>
      <c r="AY329" s="167">
        <f t="shared" ref="AY329:AY337" si="104">+BB329-B329</f>
        <v>0</v>
      </c>
      <c r="BA329" s="197">
        <v>322</v>
      </c>
      <c r="BB329" s="73" t="s">
        <v>293</v>
      </c>
      <c r="BC329" s="73" t="s">
        <v>1503</v>
      </c>
      <c r="BD329" s="56">
        <v>32119.510000000002</v>
      </c>
    </row>
    <row r="330" spans="1:56">
      <c r="A330" s="197">
        <v>323</v>
      </c>
      <c r="B330" s="73" t="s">
        <v>426</v>
      </c>
      <c r="C330" s="73" t="s">
        <v>1504</v>
      </c>
      <c r="D330" s="168">
        <v>4035.6600000000071</v>
      </c>
      <c r="E330" s="170">
        <v>50762.05</v>
      </c>
      <c r="F330" s="171">
        <f t="shared" si="97"/>
        <v>54797.710000000006</v>
      </c>
      <c r="G330" s="182">
        <v>19675.82</v>
      </c>
      <c r="H330" s="179">
        <v>35121.890000000007</v>
      </c>
      <c r="I330" s="170">
        <v>74936.73</v>
      </c>
      <c r="J330" s="171">
        <f t="shared" si="98"/>
        <v>110058.62</v>
      </c>
      <c r="K330" s="205">
        <v>21064.78</v>
      </c>
      <c r="L330" s="171">
        <v>88993.84</v>
      </c>
      <c r="M330" s="199">
        <v>80103.51999999999</v>
      </c>
      <c r="N330" s="171">
        <f t="shared" si="93"/>
        <v>169097.36</v>
      </c>
      <c r="O330" s="205">
        <v>25503.879999999997</v>
      </c>
      <c r="P330" s="241">
        <v>143593.47999999998</v>
      </c>
      <c r="Q330" s="199">
        <v>89421.7</v>
      </c>
      <c r="R330" s="171">
        <f t="shared" si="94"/>
        <v>233015.18</v>
      </c>
      <c r="S330" s="205">
        <v>89101.47</v>
      </c>
      <c r="T330" s="241">
        <v>143913.71</v>
      </c>
      <c r="U330" s="241">
        <v>86948.76</v>
      </c>
      <c r="V330" s="171">
        <f t="shared" si="95"/>
        <v>230862.46999999997</v>
      </c>
      <c r="W330" s="56">
        <v>77919.11</v>
      </c>
      <c r="X330" s="658">
        <f t="shared" si="102"/>
        <v>152943.35999999999</v>
      </c>
      <c r="Y330" s="659">
        <v>93140.81</v>
      </c>
      <c r="Z330" s="171">
        <f t="shared" si="96"/>
        <v>246084.16999999998</v>
      </c>
      <c r="AA330" s="56"/>
      <c r="AB330" s="241">
        <f t="shared" si="103"/>
        <v>246084.16999999998</v>
      </c>
      <c r="AC330" s="241"/>
      <c r="AE330" s="531">
        <f t="shared" si="99"/>
        <v>0</v>
      </c>
      <c r="AG330" t="s">
        <v>426</v>
      </c>
      <c r="AH330" t="s">
        <v>1855</v>
      </c>
      <c r="AI330" s="199">
        <v>59907.6</v>
      </c>
      <c r="AJ330" s="199">
        <v>4780.3500000000004</v>
      </c>
      <c r="AK330" s="199">
        <v>686.88</v>
      </c>
      <c r="AL330" s="199">
        <v>0</v>
      </c>
      <c r="AM330" s="199">
        <v>12813.84</v>
      </c>
      <c r="AN330" s="199">
        <v>5897.32</v>
      </c>
      <c r="AO330" s="199">
        <v>3643.28</v>
      </c>
      <c r="AP330" s="199">
        <v>1013.31</v>
      </c>
      <c r="AQ330" s="199">
        <v>324.88</v>
      </c>
      <c r="AR330" s="199">
        <v>4073.35</v>
      </c>
      <c r="AS330" s="199">
        <v>93140.81</v>
      </c>
      <c r="AT330"/>
      <c r="AU330"/>
      <c r="AV330" t="str">
        <f t="shared" si="100"/>
        <v>21232</v>
      </c>
      <c r="AW330" s="241">
        <f t="shared" si="101"/>
        <v>93140.81</v>
      </c>
      <c r="AY330" s="167">
        <f t="shared" si="104"/>
        <v>0</v>
      </c>
      <c r="BA330" s="197">
        <v>323</v>
      </c>
      <c r="BB330" s="73" t="s">
        <v>426</v>
      </c>
      <c r="BC330" s="73" t="s">
        <v>1504</v>
      </c>
      <c r="BD330" s="56">
        <v>77919.11</v>
      </c>
    </row>
    <row r="331" spans="1:56">
      <c r="A331" s="197">
        <v>324</v>
      </c>
      <c r="B331" s="73" t="s">
        <v>316</v>
      </c>
      <c r="C331" s="73" t="s">
        <v>1505</v>
      </c>
      <c r="D331" s="168">
        <v>0</v>
      </c>
      <c r="E331" s="170">
        <v>15405.039999999999</v>
      </c>
      <c r="F331" s="171">
        <f t="shared" si="97"/>
        <v>15405.039999999999</v>
      </c>
      <c r="G331" s="182">
        <v>14086.17</v>
      </c>
      <c r="H331" s="179">
        <v>1318.869999999999</v>
      </c>
      <c r="I331" s="170">
        <v>23310.42</v>
      </c>
      <c r="J331" s="171">
        <f t="shared" si="98"/>
        <v>24629.289999999997</v>
      </c>
      <c r="K331" s="205">
        <v>27392.68</v>
      </c>
      <c r="L331" s="171">
        <v>0</v>
      </c>
      <c r="M331" s="199">
        <v>24638.28</v>
      </c>
      <c r="N331" s="171">
        <f t="shared" si="93"/>
        <v>24638.28</v>
      </c>
      <c r="O331" s="205">
        <v>28714.100000000002</v>
      </c>
      <c r="P331" s="241">
        <v>0</v>
      </c>
      <c r="Q331" s="199">
        <v>26688.449999999997</v>
      </c>
      <c r="R331" s="171">
        <f t="shared" si="94"/>
        <v>26688.449999999997</v>
      </c>
      <c r="S331" s="205">
        <v>33979.42</v>
      </c>
      <c r="T331" s="241">
        <v>0</v>
      </c>
      <c r="U331" s="241">
        <v>27649.56</v>
      </c>
      <c r="V331" s="171">
        <f t="shared" si="95"/>
        <v>27649.56</v>
      </c>
      <c r="W331" s="56">
        <v>27649.560000000005</v>
      </c>
      <c r="X331" s="658">
        <f t="shared" si="102"/>
        <v>0</v>
      </c>
      <c r="Y331" s="659">
        <v>30589.489999999994</v>
      </c>
      <c r="Z331" s="171">
        <f t="shared" si="96"/>
        <v>30589.489999999994</v>
      </c>
      <c r="AA331" s="56"/>
      <c r="AB331" s="241">
        <f t="shared" si="103"/>
        <v>30589.489999999994</v>
      </c>
      <c r="AC331" s="241"/>
      <c r="AE331" s="531">
        <f t="shared" si="99"/>
        <v>0</v>
      </c>
      <c r="AG331" t="s">
        <v>316</v>
      </c>
      <c r="AH331" t="s">
        <v>1797</v>
      </c>
      <c r="AI331" s="199">
        <v>23482.85</v>
      </c>
      <c r="AJ331" s="199">
        <v>1046.17</v>
      </c>
      <c r="AK331" s="199">
        <v>346.17</v>
      </c>
      <c r="AL331" s="199">
        <v>0</v>
      </c>
      <c r="AM331" s="199">
        <v>2776.44</v>
      </c>
      <c r="AN331" s="199">
        <v>1141.1400000000001</v>
      </c>
      <c r="AO331" s="199">
        <v>802.63</v>
      </c>
      <c r="AP331" s="199">
        <v>0</v>
      </c>
      <c r="AQ331" s="199">
        <v>0</v>
      </c>
      <c r="AR331" s="199">
        <v>994.09</v>
      </c>
      <c r="AS331" s="199">
        <v>30589.489999999994</v>
      </c>
      <c r="AT331"/>
      <c r="AU331"/>
      <c r="AV331" t="str">
        <f t="shared" si="100"/>
        <v>14117</v>
      </c>
      <c r="AW331" s="241">
        <f t="shared" si="101"/>
        <v>30589.489999999994</v>
      </c>
      <c r="AY331" s="167">
        <f t="shared" si="104"/>
        <v>0</v>
      </c>
      <c r="BA331" s="197">
        <v>324</v>
      </c>
      <c r="BB331" s="73" t="s">
        <v>316</v>
      </c>
      <c r="BC331" s="73" t="s">
        <v>1505</v>
      </c>
      <c r="BD331" s="56">
        <v>27649.560000000005</v>
      </c>
    </row>
    <row r="332" spans="1:56">
      <c r="A332" s="197">
        <v>325</v>
      </c>
      <c r="B332" s="73" t="s">
        <v>396</v>
      </c>
      <c r="C332" s="73" t="s">
        <v>1506</v>
      </c>
      <c r="D332" s="168">
        <v>0</v>
      </c>
      <c r="E332" s="170">
        <v>12053.12</v>
      </c>
      <c r="F332" s="171">
        <f t="shared" si="97"/>
        <v>12053.12</v>
      </c>
      <c r="G332" s="182">
        <v>8072.63</v>
      </c>
      <c r="H332" s="179">
        <v>3980.4900000000007</v>
      </c>
      <c r="I332" s="170">
        <v>18422.939999999999</v>
      </c>
      <c r="J332" s="171">
        <f t="shared" si="98"/>
        <v>22403.43</v>
      </c>
      <c r="K332" s="205">
        <v>12706.75</v>
      </c>
      <c r="L332" s="171">
        <v>9696.68</v>
      </c>
      <c r="M332" s="199">
        <v>18586.23</v>
      </c>
      <c r="N332" s="171">
        <f t="shared" si="93"/>
        <v>28282.91</v>
      </c>
      <c r="O332" s="205">
        <v>19308.12</v>
      </c>
      <c r="P332" s="241">
        <v>8974.7900000000009</v>
      </c>
      <c r="Q332" s="199">
        <v>19703.62</v>
      </c>
      <c r="R332" s="171">
        <f t="shared" si="94"/>
        <v>28678.41</v>
      </c>
      <c r="S332" s="205">
        <v>21013.940000000002</v>
      </c>
      <c r="T332" s="241">
        <v>7664.4699999999975</v>
      </c>
      <c r="U332" s="241">
        <v>21064.83</v>
      </c>
      <c r="V332" s="171">
        <f t="shared" si="95"/>
        <v>28729.3</v>
      </c>
      <c r="W332" s="56">
        <v>25186.68</v>
      </c>
      <c r="X332" s="658">
        <f t="shared" si="102"/>
        <v>3542.619999999999</v>
      </c>
      <c r="Y332" s="659">
        <v>21702.989999999998</v>
      </c>
      <c r="Z332" s="171">
        <f t="shared" si="96"/>
        <v>25245.609999999997</v>
      </c>
      <c r="AA332" s="56"/>
      <c r="AB332" s="241">
        <f t="shared" si="103"/>
        <v>25245.609999999997</v>
      </c>
      <c r="AC332" s="241"/>
      <c r="AE332" s="531">
        <f t="shared" si="99"/>
        <v>0</v>
      </c>
      <c r="AG332" t="s">
        <v>396</v>
      </c>
      <c r="AH332" t="s">
        <v>1840</v>
      </c>
      <c r="AI332" s="199">
        <v>19785.259999999998</v>
      </c>
      <c r="AJ332" s="199">
        <v>644.86</v>
      </c>
      <c r="AK332" s="199">
        <v>0</v>
      </c>
      <c r="AL332" s="199">
        <v>0</v>
      </c>
      <c r="AM332" s="199">
        <v>0</v>
      </c>
      <c r="AN332" s="199">
        <v>821.01</v>
      </c>
      <c r="AO332" s="199">
        <v>451.86</v>
      </c>
      <c r="AP332" s="199">
        <v>0</v>
      </c>
      <c r="AQ332" s="199">
        <v>0</v>
      </c>
      <c r="AR332" s="199">
        <v>0</v>
      </c>
      <c r="AS332" s="199">
        <v>21702.989999999998</v>
      </c>
      <c r="AT332"/>
      <c r="AU332"/>
      <c r="AV332" t="str">
        <f t="shared" si="100"/>
        <v>20094</v>
      </c>
      <c r="AW332" s="241">
        <f t="shared" si="101"/>
        <v>21702.989999999998</v>
      </c>
      <c r="AY332" s="167">
        <f t="shared" si="104"/>
        <v>0</v>
      </c>
      <c r="BA332" s="197">
        <v>325</v>
      </c>
      <c r="BB332" s="73" t="s">
        <v>396</v>
      </c>
      <c r="BC332" s="73" t="s">
        <v>1506</v>
      </c>
      <c r="BD332" s="56">
        <v>25186.68</v>
      </c>
    </row>
    <row r="333" spans="1:56">
      <c r="A333" s="197">
        <v>326</v>
      </c>
      <c r="B333" s="73" t="s">
        <v>241</v>
      </c>
      <c r="C333" s="73" t="s">
        <v>1507</v>
      </c>
      <c r="D333" s="168">
        <v>0</v>
      </c>
      <c r="E333" s="170">
        <v>148852.97000000003</v>
      </c>
      <c r="F333" s="171">
        <f t="shared" si="97"/>
        <v>148852.97000000003</v>
      </c>
      <c r="G333" s="182">
        <v>146139.03</v>
      </c>
      <c r="H333" s="179">
        <v>2713.9400000000314</v>
      </c>
      <c r="I333" s="170">
        <v>193194.78999999998</v>
      </c>
      <c r="J333" s="171">
        <f t="shared" si="98"/>
        <v>195908.73</v>
      </c>
      <c r="K333" s="205">
        <v>231004.66</v>
      </c>
      <c r="L333" s="171">
        <v>0</v>
      </c>
      <c r="M333" s="199">
        <v>205162.32</v>
      </c>
      <c r="N333" s="171">
        <f t="shared" si="93"/>
        <v>205162.32</v>
      </c>
      <c r="O333" s="205">
        <v>237770.71000000002</v>
      </c>
      <c r="P333" s="241">
        <v>0</v>
      </c>
      <c r="Q333" s="199">
        <v>228743.12</v>
      </c>
      <c r="R333" s="171">
        <f t="shared" si="94"/>
        <v>228743.12</v>
      </c>
      <c r="S333" s="205">
        <v>278726.25</v>
      </c>
      <c r="T333" s="241">
        <v>0</v>
      </c>
      <c r="U333" s="241">
        <v>232695.49</v>
      </c>
      <c r="V333" s="171">
        <f t="shared" si="95"/>
        <v>232695.49</v>
      </c>
      <c r="W333" s="56">
        <v>243480.63000000006</v>
      </c>
      <c r="X333" s="658">
        <f t="shared" si="102"/>
        <v>0</v>
      </c>
      <c r="Y333" s="659">
        <v>250591.33000000002</v>
      </c>
      <c r="Z333" s="171">
        <f t="shared" si="96"/>
        <v>250591.33000000002</v>
      </c>
      <c r="AA333" s="56"/>
      <c r="AB333" s="241">
        <f t="shared" si="103"/>
        <v>250591.33000000002</v>
      </c>
      <c r="AC333" s="241"/>
      <c r="AE333" s="531">
        <f t="shared" si="99"/>
        <v>0</v>
      </c>
      <c r="AG333" t="s">
        <v>241</v>
      </c>
      <c r="AH333" t="s">
        <v>1759</v>
      </c>
      <c r="AI333" s="199">
        <v>186698.69</v>
      </c>
      <c r="AJ333" s="199">
        <v>5979.85</v>
      </c>
      <c r="AK333" s="199">
        <v>0</v>
      </c>
      <c r="AL333" s="199">
        <v>0</v>
      </c>
      <c r="AM333" s="199">
        <v>39535.17</v>
      </c>
      <c r="AN333" s="199">
        <v>10878.3</v>
      </c>
      <c r="AO333" s="199">
        <v>1406.12</v>
      </c>
      <c r="AP333" s="199">
        <v>5048.5600000000004</v>
      </c>
      <c r="AQ333" s="199">
        <v>1044.6400000000001</v>
      </c>
      <c r="AR333" s="199">
        <v>0</v>
      </c>
      <c r="AS333" s="199">
        <v>250591.33000000002</v>
      </c>
      <c r="AT333"/>
      <c r="AU333"/>
      <c r="AV333" t="str">
        <f t="shared" si="100"/>
        <v>08404</v>
      </c>
      <c r="AW333" s="241">
        <f t="shared" si="101"/>
        <v>250591.33000000002</v>
      </c>
      <c r="AY333" s="167">
        <f t="shared" si="104"/>
        <v>0</v>
      </c>
      <c r="BA333" s="197">
        <v>326</v>
      </c>
      <c r="BB333" s="73" t="s">
        <v>241</v>
      </c>
      <c r="BC333" s="73" t="s">
        <v>1507</v>
      </c>
      <c r="BD333" s="56">
        <v>243480.63000000006</v>
      </c>
    </row>
    <row r="334" spans="1:56">
      <c r="A334" s="197">
        <v>327</v>
      </c>
      <c r="B334" s="73" t="s">
        <v>1555</v>
      </c>
      <c r="C334" s="73" t="s">
        <v>1600</v>
      </c>
      <c r="D334" s="168">
        <v>0</v>
      </c>
      <c r="E334" s="170">
        <v>11818.29</v>
      </c>
      <c r="F334" s="171">
        <f t="shared" si="97"/>
        <v>11818.29</v>
      </c>
      <c r="G334" s="182"/>
      <c r="H334" s="179">
        <v>11818.29</v>
      </c>
      <c r="I334" s="170">
        <v>16971.89</v>
      </c>
      <c r="J334" s="171">
        <f t="shared" si="98"/>
        <v>28790.18</v>
      </c>
      <c r="K334" s="205"/>
      <c r="L334" s="171">
        <v>28790.18</v>
      </c>
      <c r="M334" s="199">
        <v>19248.71</v>
      </c>
      <c r="N334" s="171">
        <f t="shared" si="93"/>
        <v>48038.89</v>
      </c>
      <c r="O334" s="79"/>
      <c r="P334" s="241">
        <v>48038.89</v>
      </c>
      <c r="Q334" s="199">
        <v>19580.53</v>
      </c>
      <c r="R334" s="171">
        <f t="shared" si="94"/>
        <v>67619.42</v>
      </c>
      <c r="S334" s="205">
        <v>0</v>
      </c>
      <c r="T334" s="241">
        <v>67619.42</v>
      </c>
      <c r="U334" s="241">
        <v>21062.93</v>
      </c>
      <c r="V334" s="171">
        <f t="shared" si="95"/>
        <v>88682.35</v>
      </c>
      <c r="W334" s="79"/>
      <c r="X334" s="658">
        <f t="shared" si="102"/>
        <v>88682.35</v>
      </c>
      <c r="Y334" s="659">
        <v>12086.42</v>
      </c>
      <c r="Z334" s="171">
        <f t="shared" si="96"/>
        <v>100768.77</v>
      </c>
      <c r="AA334" s="79"/>
      <c r="AB334" s="241">
        <f t="shared" si="103"/>
        <v>100768.77</v>
      </c>
      <c r="AC334" s="241"/>
      <c r="AE334" s="531">
        <f t="shared" si="99"/>
        <v>0</v>
      </c>
      <c r="AG334" t="s">
        <v>1555</v>
      </c>
      <c r="AH334" t="s">
        <v>2016</v>
      </c>
      <c r="AI334" s="199">
        <v>10204.35</v>
      </c>
      <c r="AJ334" s="199">
        <v>0</v>
      </c>
      <c r="AK334" s="199">
        <v>0</v>
      </c>
      <c r="AL334" s="199">
        <v>0</v>
      </c>
      <c r="AM334" s="199">
        <v>1882.07</v>
      </c>
      <c r="AN334" s="199">
        <v>0</v>
      </c>
      <c r="AO334" s="199">
        <v>0</v>
      </c>
      <c r="AP334" s="199">
        <v>0</v>
      </c>
      <c r="AQ334" s="199">
        <v>0</v>
      </c>
      <c r="AR334" s="199">
        <v>0</v>
      </c>
      <c r="AS334" s="199">
        <v>12086.42</v>
      </c>
      <c r="AT334"/>
      <c r="AU334"/>
      <c r="AV334" t="str">
        <f t="shared" si="100"/>
        <v>39901</v>
      </c>
      <c r="AW334" s="241">
        <f t="shared" si="101"/>
        <v>12086.42</v>
      </c>
      <c r="AY334" s="167">
        <f t="shared" si="104"/>
        <v>0</v>
      </c>
      <c r="BA334" s="197">
        <v>327</v>
      </c>
      <c r="BB334" s="73" t="s">
        <v>1555</v>
      </c>
      <c r="BC334" s="73" t="s">
        <v>1600</v>
      </c>
      <c r="BD334" s="79"/>
    </row>
    <row r="335" spans="1:56">
      <c r="A335" s="197">
        <v>328</v>
      </c>
      <c r="B335" s="73" t="s">
        <v>715</v>
      </c>
      <c r="C335" s="73" t="s">
        <v>1508</v>
      </c>
      <c r="D335" s="168">
        <v>550522.31999999995</v>
      </c>
      <c r="E335" s="170">
        <v>1055031.27</v>
      </c>
      <c r="F335" s="171">
        <f t="shared" si="97"/>
        <v>1605553.5899999999</v>
      </c>
      <c r="G335" s="182">
        <v>914261.75</v>
      </c>
      <c r="H335" s="179">
        <v>691291.83999999985</v>
      </c>
      <c r="I335" s="170">
        <v>1558859.4000000001</v>
      </c>
      <c r="J335" s="171">
        <f t="shared" si="98"/>
        <v>2250151.2400000002</v>
      </c>
      <c r="K335" s="205">
        <v>1407944.5999999999</v>
      </c>
      <c r="L335" s="171">
        <v>842206.64000000036</v>
      </c>
      <c r="M335" s="199">
        <v>1601421.48</v>
      </c>
      <c r="N335" s="171">
        <f t="shared" si="93"/>
        <v>2443628.12</v>
      </c>
      <c r="O335" s="205">
        <v>1234307.75</v>
      </c>
      <c r="P335" s="241">
        <v>1209320.3700000001</v>
      </c>
      <c r="Q335" s="199">
        <v>1717221.48</v>
      </c>
      <c r="R335" s="171">
        <f t="shared" si="94"/>
        <v>2926541.85</v>
      </c>
      <c r="S335" s="205">
        <v>1288976.21</v>
      </c>
      <c r="T335" s="241">
        <v>1637565.6400000001</v>
      </c>
      <c r="U335" s="241">
        <v>1746286.7999999998</v>
      </c>
      <c r="V335" s="171">
        <f t="shared" si="95"/>
        <v>3383852.44</v>
      </c>
      <c r="W335" s="56">
        <v>1432108.370000001</v>
      </c>
      <c r="X335" s="658">
        <f t="shared" si="102"/>
        <v>1951744.0699999989</v>
      </c>
      <c r="Y335" s="659">
        <v>1826415.53</v>
      </c>
      <c r="Z335" s="171">
        <f t="shared" si="96"/>
        <v>3778159.5999999987</v>
      </c>
      <c r="AA335" s="56"/>
      <c r="AB335" s="241">
        <f t="shared" si="103"/>
        <v>3778159.5999999987</v>
      </c>
      <c r="AC335" s="241"/>
      <c r="AE335" s="531">
        <f t="shared" si="99"/>
        <v>0</v>
      </c>
      <c r="AG335" t="s">
        <v>715</v>
      </c>
      <c r="AH335" t="s">
        <v>2003</v>
      </c>
      <c r="AI335" s="199">
        <v>1098489.1200000001</v>
      </c>
      <c r="AJ335" s="199">
        <v>85405.82</v>
      </c>
      <c r="AK335" s="199">
        <v>43551.49</v>
      </c>
      <c r="AL335" s="199">
        <v>50337.02</v>
      </c>
      <c r="AM335" s="199">
        <v>224173.26</v>
      </c>
      <c r="AN335" s="199">
        <v>128223.62</v>
      </c>
      <c r="AO335" s="199">
        <v>66775.48</v>
      </c>
      <c r="AP335" s="199">
        <v>122709.42</v>
      </c>
      <c r="AQ335" s="199">
        <v>6750.3</v>
      </c>
      <c r="AR335" s="199">
        <v>0</v>
      </c>
      <c r="AS335" s="199">
        <v>1826415.53</v>
      </c>
      <c r="AT335"/>
      <c r="AU335"/>
      <c r="AV335" t="str">
        <f t="shared" si="100"/>
        <v>39007</v>
      </c>
      <c r="AW335" s="241">
        <f t="shared" si="101"/>
        <v>1826415.53</v>
      </c>
      <c r="AY335" s="167">
        <f t="shared" si="104"/>
        <v>0</v>
      </c>
      <c r="BA335" s="197">
        <v>328</v>
      </c>
      <c r="BB335" s="73" t="s">
        <v>715</v>
      </c>
      <c r="BC335" s="73" t="s">
        <v>1508</v>
      </c>
      <c r="BD335" s="56">
        <v>1432108.370000001</v>
      </c>
    </row>
    <row r="336" spans="1:56">
      <c r="A336" s="197">
        <v>329</v>
      </c>
      <c r="B336" s="73" t="s">
        <v>640</v>
      </c>
      <c r="C336" s="73" t="s">
        <v>1509</v>
      </c>
      <c r="D336" s="168">
        <v>20102.809999999998</v>
      </c>
      <c r="E336" s="170">
        <v>346207.02999999997</v>
      </c>
      <c r="F336" s="171">
        <f t="shared" si="97"/>
        <v>366309.83999999997</v>
      </c>
      <c r="G336" s="182">
        <v>327404.82</v>
      </c>
      <c r="H336" s="179">
        <v>38905.01999999996</v>
      </c>
      <c r="I336" s="170">
        <v>485864.21</v>
      </c>
      <c r="J336" s="171">
        <f t="shared" si="98"/>
        <v>524769.23</v>
      </c>
      <c r="K336" s="205">
        <v>362239.1</v>
      </c>
      <c r="L336" s="171">
        <v>162530.13</v>
      </c>
      <c r="M336" s="199">
        <v>488495.55000000005</v>
      </c>
      <c r="N336" s="171">
        <f t="shared" si="93"/>
        <v>651025.68000000005</v>
      </c>
      <c r="O336" s="205">
        <v>553069.51</v>
      </c>
      <c r="P336" s="241">
        <v>97956.170000000042</v>
      </c>
      <c r="Q336" s="199">
        <v>548907.31999999995</v>
      </c>
      <c r="R336" s="171">
        <f t="shared" si="94"/>
        <v>646863.49</v>
      </c>
      <c r="S336" s="205">
        <v>538566.99</v>
      </c>
      <c r="T336" s="241">
        <v>108296.5</v>
      </c>
      <c r="U336" s="241">
        <v>606454.88</v>
      </c>
      <c r="V336" s="171">
        <f t="shared" si="95"/>
        <v>714751.38</v>
      </c>
      <c r="W336" s="56">
        <v>653136.04999999993</v>
      </c>
      <c r="X336" s="658">
        <f t="shared" si="102"/>
        <v>61615.330000000075</v>
      </c>
      <c r="Y336" s="659">
        <v>622965.65</v>
      </c>
      <c r="Z336" s="171">
        <f t="shared" si="96"/>
        <v>684580.9800000001</v>
      </c>
      <c r="AA336" s="56"/>
      <c r="AB336" s="241">
        <f t="shared" si="103"/>
        <v>684580.9800000001</v>
      </c>
      <c r="AC336" s="241"/>
      <c r="AE336" s="531">
        <f t="shared" si="99"/>
        <v>0</v>
      </c>
      <c r="AG336" t="s">
        <v>640</v>
      </c>
      <c r="AH336" t="s">
        <v>1963</v>
      </c>
      <c r="AI336" s="199">
        <v>446752.24</v>
      </c>
      <c r="AJ336" s="199">
        <v>35979.56</v>
      </c>
      <c r="AK336" s="199">
        <v>0</v>
      </c>
      <c r="AL336" s="199">
        <v>0</v>
      </c>
      <c r="AM336" s="199">
        <v>97512.97</v>
      </c>
      <c r="AN336" s="199">
        <v>27520.48</v>
      </c>
      <c r="AO336" s="199">
        <v>3075.15</v>
      </c>
      <c r="AP336" s="199">
        <v>5754.14</v>
      </c>
      <c r="AQ336" s="199">
        <v>2586.44</v>
      </c>
      <c r="AR336" s="199">
        <v>3784.67</v>
      </c>
      <c r="AS336" s="199">
        <v>622965.65</v>
      </c>
      <c r="AT336"/>
      <c r="AU336"/>
      <c r="AV336" t="str">
        <f t="shared" si="100"/>
        <v>34002</v>
      </c>
      <c r="AW336" s="241">
        <f t="shared" si="101"/>
        <v>622965.65</v>
      </c>
      <c r="AY336" s="167">
        <f t="shared" si="104"/>
        <v>0</v>
      </c>
      <c r="BA336" s="197">
        <v>329</v>
      </c>
      <c r="BB336" s="73" t="s">
        <v>640</v>
      </c>
      <c r="BC336" s="73" t="s">
        <v>1509</v>
      </c>
      <c r="BD336" s="56">
        <v>653136.04999999993</v>
      </c>
    </row>
    <row r="337" spans="1:56" ht="15" thickBot="1">
      <c r="A337" s="197">
        <v>330</v>
      </c>
      <c r="B337" s="73" t="s">
        <v>732</v>
      </c>
      <c r="C337" s="73" t="s">
        <v>1510</v>
      </c>
      <c r="D337" s="168">
        <v>2725.0999999999985</v>
      </c>
      <c r="E337" s="170">
        <v>80904.72</v>
      </c>
      <c r="F337" s="171">
        <f t="shared" si="97"/>
        <v>83629.820000000007</v>
      </c>
      <c r="G337" s="182">
        <v>72139.520000000004</v>
      </c>
      <c r="H337" s="179">
        <v>11490.300000000003</v>
      </c>
      <c r="I337" s="170">
        <v>115399.61</v>
      </c>
      <c r="J337" s="171">
        <f t="shared" si="98"/>
        <v>126889.91</v>
      </c>
      <c r="K337" s="205">
        <v>116909.42000000001</v>
      </c>
      <c r="L337" s="171">
        <v>9980.4899999999907</v>
      </c>
      <c r="M337" s="199">
        <v>120630.6</v>
      </c>
      <c r="N337" s="171">
        <f t="shared" si="93"/>
        <v>130611.09</v>
      </c>
      <c r="O337" s="205">
        <v>121802.43000000001</v>
      </c>
      <c r="P337" s="241">
        <v>8808.6599999999889</v>
      </c>
      <c r="Q337" s="199">
        <v>137360.5</v>
      </c>
      <c r="R337" s="171">
        <f t="shared" si="94"/>
        <v>146169.15999999997</v>
      </c>
      <c r="S337" s="205">
        <v>148897.66999999998</v>
      </c>
      <c r="T337" s="241">
        <v>0</v>
      </c>
      <c r="U337" s="241">
        <v>136462.32</v>
      </c>
      <c r="V337" s="171">
        <f t="shared" si="95"/>
        <v>136462.32</v>
      </c>
      <c r="W337" s="56">
        <v>154208.61000000002</v>
      </c>
      <c r="X337" s="660">
        <f t="shared" si="102"/>
        <v>0</v>
      </c>
      <c r="Y337" s="661">
        <v>148124.24</v>
      </c>
      <c r="Z337" s="171">
        <f t="shared" si="96"/>
        <v>148124.24</v>
      </c>
      <c r="AA337" s="56"/>
      <c r="AB337" s="241">
        <f t="shared" si="103"/>
        <v>148124.24</v>
      </c>
      <c r="AC337" s="241"/>
      <c r="AE337" s="531">
        <f t="shared" si="99"/>
        <v>0</v>
      </c>
      <c r="AG337" t="s">
        <v>732</v>
      </c>
      <c r="AH337" t="s">
        <v>2012</v>
      </c>
      <c r="AI337" s="199">
        <v>103690</v>
      </c>
      <c r="AJ337" s="199">
        <v>6451.62</v>
      </c>
      <c r="AK337" s="199">
        <v>0</v>
      </c>
      <c r="AL337" s="199">
        <v>0</v>
      </c>
      <c r="AM337" s="199">
        <v>14239.39</v>
      </c>
      <c r="AN337" s="199">
        <v>9069.33</v>
      </c>
      <c r="AO337" s="199">
        <v>6004.35</v>
      </c>
      <c r="AP337" s="199">
        <v>4077.44</v>
      </c>
      <c r="AQ337" s="199">
        <v>568.27</v>
      </c>
      <c r="AR337" s="199">
        <v>4023.84</v>
      </c>
      <c r="AS337" s="199">
        <v>148124.24</v>
      </c>
      <c r="AT337"/>
      <c r="AU337"/>
      <c r="AV337" t="str">
        <f t="shared" si="100"/>
        <v>39205</v>
      </c>
      <c r="AW337" s="241">
        <f t="shared" si="101"/>
        <v>148124.24</v>
      </c>
      <c r="AY337" s="167">
        <f t="shared" si="104"/>
        <v>0</v>
      </c>
      <c r="BA337" s="197">
        <v>330</v>
      </c>
      <c r="BB337" s="73" t="s">
        <v>732</v>
      </c>
      <c r="BC337" s="73" t="s">
        <v>1510</v>
      </c>
      <c r="BD337" s="56">
        <v>154208.61000000002</v>
      </c>
    </row>
    <row r="338" spans="1:56">
      <c r="O338"/>
      <c r="P338"/>
      <c r="R338"/>
      <c r="AE338" s="66"/>
      <c r="AG338"/>
      <c r="AH338"/>
      <c r="AI338" s="48"/>
      <c r="AJ338" s="48"/>
      <c r="AK338" s="48"/>
      <c r="AL338" s="48"/>
      <c r="AM338" s="48"/>
      <c r="AN338" s="48"/>
      <c r="AO338" s="48"/>
      <c r="AP338" s="48"/>
      <c r="AQ338" s="48"/>
      <c r="AR338" s="48"/>
      <c r="AS338" s="383"/>
      <c r="AT338"/>
      <c r="AU338"/>
      <c r="AV338"/>
      <c r="AW338" s="383"/>
    </row>
    <row r="339" spans="1:56">
      <c r="O339"/>
      <c r="P339"/>
      <c r="Q339"/>
      <c r="R339"/>
      <c r="AV339"/>
      <c r="AW339"/>
    </row>
    <row r="340" spans="1:56">
      <c r="O340"/>
      <c r="P340"/>
      <c r="Q340"/>
      <c r="R340"/>
    </row>
    <row r="341" spans="1:56">
      <c r="O341"/>
      <c r="P341"/>
      <c r="Q341"/>
      <c r="R341"/>
    </row>
    <row r="342" spans="1:56">
      <c r="O342"/>
      <c r="P342"/>
      <c r="Q342"/>
      <c r="R342"/>
    </row>
  </sheetData>
  <sortState xmlns:xlrd2="http://schemas.microsoft.com/office/spreadsheetml/2017/richdata2" ref="A8:AW337">
    <sortCondition ref="A8:A337"/>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9F49-5A9E-41B5-90D2-81B5779FF5BC}">
  <sheetPr>
    <tabColor rgb="FF66FF33"/>
  </sheetPr>
  <dimension ref="A1:O335"/>
  <sheetViews>
    <sheetView workbookViewId="0">
      <pane xSplit="2" ySplit="3" topLeftCell="C4" activePane="bottomRight" state="frozen"/>
      <selection pane="topRight" activeCell="C1" sqref="C1"/>
      <selection pane="bottomLeft" activeCell="A4" sqref="A4"/>
      <selection pane="bottomRight" activeCell="O7" sqref="O7"/>
    </sheetView>
  </sheetViews>
  <sheetFormatPr defaultRowHeight="14.4"/>
  <cols>
    <col min="2" max="2" width="39" bestFit="1" customWidth="1"/>
    <col min="3" max="3" width="11.44140625" bestFit="1" customWidth="1"/>
    <col min="4" max="5" width="10.6640625" bestFit="1" customWidth="1"/>
    <col min="6" max="6" width="10.44140625" customWidth="1"/>
    <col min="7" max="7" width="11.44140625" bestFit="1" customWidth="1"/>
    <col min="8" max="10" width="10.44140625" bestFit="1" customWidth="1"/>
    <col min="11" max="11" width="8.88671875" bestFit="1" customWidth="1"/>
    <col min="13" max="13" width="12.44140625" bestFit="1" customWidth="1"/>
    <col min="15" max="15" width="17.5546875" customWidth="1"/>
  </cols>
  <sheetData>
    <row r="1" spans="1:15">
      <c r="A1" s="535"/>
      <c r="B1" s="165"/>
      <c r="C1" s="165" t="s">
        <v>2495</v>
      </c>
      <c r="D1" s="165"/>
      <c r="E1" s="165"/>
      <c r="F1" s="165"/>
      <c r="G1" s="165"/>
      <c r="H1" s="165"/>
      <c r="I1" s="165"/>
      <c r="J1" s="165"/>
      <c r="K1" s="165"/>
      <c r="L1" s="165"/>
      <c r="M1" s="536"/>
    </row>
    <row r="2" spans="1:15">
      <c r="B2" t="s">
        <v>2677</v>
      </c>
      <c r="O2" s="383">
        <f>SUM(M5:M334)</f>
        <v>127573648.14000006</v>
      </c>
    </row>
    <row r="3" spans="1:15" ht="43.2">
      <c r="A3" t="s">
        <v>79</v>
      </c>
      <c r="B3" t="s">
        <v>2449</v>
      </c>
      <c r="C3" s="426" t="s">
        <v>2038</v>
      </c>
      <c r="D3" s="426" t="s">
        <v>2678</v>
      </c>
      <c r="E3" s="426" t="s">
        <v>2679</v>
      </c>
      <c r="F3" s="426" t="s">
        <v>2680</v>
      </c>
      <c r="G3" s="426" t="s">
        <v>2037</v>
      </c>
      <c r="H3" s="426" t="s">
        <v>2034</v>
      </c>
      <c r="I3" s="426" t="s">
        <v>2450</v>
      </c>
      <c r="J3" s="426" t="s">
        <v>2035</v>
      </c>
      <c r="K3" s="426" t="s">
        <v>2036</v>
      </c>
      <c r="L3" s="426" t="s">
        <v>2681</v>
      </c>
      <c r="M3" s="426" t="s">
        <v>1717</v>
      </c>
    </row>
    <row r="4" spans="1:15">
      <c r="B4" s="742" t="s">
        <v>2451</v>
      </c>
      <c r="C4" s="743">
        <v>88854096.679999992</v>
      </c>
      <c r="D4" s="743">
        <v>6004575.3199999966</v>
      </c>
      <c r="E4" s="743">
        <v>1285838.2700000005</v>
      </c>
      <c r="F4" s="743">
        <v>753255.42999999993</v>
      </c>
      <c r="G4" s="743">
        <v>17309650.489999998</v>
      </c>
      <c r="H4" s="743">
        <v>5397556.580000001</v>
      </c>
      <c r="I4" s="743">
        <v>2311167.4699999983</v>
      </c>
      <c r="J4" s="743">
        <v>4269348.54</v>
      </c>
      <c r="K4" s="743">
        <v>509218.85000000021</v>
      </c>
      <c r="L4" s="743">
        <v>878940.50999999978</v>
      </c>
      <c r="M4" s="743">
        <v>127573648.13999999</v>
      </c>
    </row>
    <row r="5" spans="1:15">
      <c r="A5" t="s">
        <v>297</v>
      </c>
      <c r="B5" t="s">
        <v>1787</v>
      </c>
      <c r="C5" s="199">
        <v>215349.57</v>
      </c>
      <c r="D5" s="199">
        <v>22274.31</v>
      </c>
      <c r="E5" s="199">
        <v>9714.19</v>
      </c>
      <c r="F5" s="199">
        <v>6290.79</v>
      </c>
      <c r="G5" s="199">
        <v>52064.76</v>
      </c>
      <c r="H5" s="199">
        <v>21021.38</v>
      </c>
      <c r="I5" s="199">
        <v>13889.67</v>
      </c>
      <c r="J5" s="199">
        <v>11209.15</v>
      </c>
      <c r="K5" s="199">
        <v>1366.3</v>
      </c>
      <c r="L5" s="199">
        <v>675.49</v>
      </c>
      <c r="M5" s="199">
        <v>353855.61</v>
      </c>
    </row>
    <row r="6" spans="1:15">
      <c r="A6" t="s">
        <v>424</v>
      </c>
      <c r="B6" t="s">
        <v>1854</v>
      </c>
      <c r="C6" s="199">
        <v>50567.95</v>
      </c>
      <c r="D6" s="199">
        <v>5868.58</v>
      </c>
      <c r="E6" s="199">
        <v>887.29</v>
      </c>
      <c r="F6" s="199">
        <v>0</v>
      </c>
      <c r="G6" s="199">
        <v>6903.36</v>
      </c>
      <c r="H6" s="199">
        <v>1752.29</v>
      </c>
      <c r="I6" s="199">
        <v>0</v>
      </c>
      <c r="J6" s="199">
        <v>0</v>
      </c>
      <c r="K6" s="199">
        <v>285.14999999999998</v>
      </c>
      <c r="L6" s="199">
        <v>0</v>
      </c>
      <c r="M6" s="199">
        <v>66264.62</v>
      </c>
    </row>
    <row r="7" spans="1:15">
      <c r="A7" t="s">
        <v>446</v>
      </c>
      <c r="B7" t="s">
        <v>1865</v>
      </c>
      <c r="C7" s="199">
        <v>21189.81</v>
      </c>
      <c r="D7" s="199">
        <v>518.25</v>
      </c>
      <c r="E7" s="199">
        <v>26.3</v>
      </c>
      <c r="F7" s="199">
        <v>0</v>
      </c>
      <c r="G7" s="199">
        <v>1166.18</v>
      </c>
      <c r="H7" s="199">
        <v>428.54</v>
      </c>
      <c r="I7" s="199">
        <v>0</v>
      </c>
      <c r="J7" s="199">
        <v>0</v>
      </c>
      <c r="K7" s="199">
        <v>47.96</v>
      </c>
      <c r="L7" s="199">
        <v>0</v>
      </c>
      <c r="M7" s="199">
        <v>23377.040000000001</v>
      </c>
    </row>
    <row r="8" spans="1:15">
      <c r="A8" t="s">
        <v>548</v>
      </c>
      <c r="B8" t="s">
        <v>1915</v>
      </c>
      <c r="C8" s="199">
        <v>236918.37</v>
      </c>
      <c r="D8" s="199">
        <v>10127.75</v>
      </c>
      <c r="E8" s="199">
        <v>2734.49</v>
      </c>
      <c r="F8" s="199">
        <v>0</v>
      </c>
      <c r="G8" s="199">
        <v>45700.45</v>
      </c>
      <c r="H8" s="199">
        <v>8731.19</v>
      </c>
      <c r="I8" s="199">
        <v>284.29000000000002</v>
      </c>
      <c r="J8" s="199">
        <v>1634.66</v>
      </c>
      <c r="K8" s="199">
        <v>1298.8399999999999</v>
      </c>
      <c r="L8" s="199">
        <v>0</v>
      </c>
      <c r="M8" s="199">
        <v>307430.03999999998</v>
      </c>
    </row>
    <row r="9" spans="1:15">
      <c r="A9" t="s">
        <v>572</v>
      </c>
      <c r="B9" t="s">
        <v>1927</v>
      </c>
      <c r="C9" s="199">
        <v>486681.24</v>
      </c>
      <c r="D9" s="199">
        <v>37549.1</v>
      </c>
      <c r="E9" s="199">
        <v>3642.43</v>
      </c>
      <c r="F9" s="199">
        <v>0</v>
      </c>
      <c r="G9" s="199">
        <v>110560.05</v>
      </c>
      <c r="H9" s="199">
        <v>24215.99</v>
      </c>
      <c r="I9" s="199">
        <v>321.60000000000002</v>
      </c>
      <c r="J9" s="199">
        <v>10492</v>
      </c>
      <c r="K9" s="199">
        <v>2837.55</v>
      </c>
      <c r="L9" s="199">
        <v>0</v>
      </c>
      <c r="M9" s="199">
        <v>676299.96000000008</v>
      </c>
    </row>
    <row r="10" spans="1:15">
      <c r="A10" t="s">
        <v>175</v>
      </c>
      <c r="B10" t="s">
        <v>1724</v>
      </c>
      <c r="C10" s="199">
        <v>51285.16</v>
      </c>
      <c r="D10" s="199">
        <v>3973.3</v>
      </c>
      <c r="E10" s="199">
        <v>271.12</v>
      </c>
      <c r="F10" s="199">
        <v>0</v>
      </c>
      <c r="G10" s="199">
        <v>9617.7900000000009</v>
      </c>
      <c r="H10" s="199">
        <v>2141.35</v>
      </c>
      <c r="I10" s="199">
        <v>0</v>
      </c>
      <c r="J10" s="199">
        <v>0</v>
      </c>
      <c r="K10" s="199">
        <v>274.17</v>
      </c>
      <c r="L10" s="199">
        <v>3504.58</v>
      </c>
      <c r="M10" s="199">
        <v>71067.470000000016</v>
      </c>
    </row>
    <row r="11" spans="1:15">
      <c r="A11" t="s">
        <v>97</v>
      </c>
      <c r="B11" t="s">
        <v>1819</v>
      </c>
      <c r="C11" s="199">
        <v>1526463.21</v>
      </c>
      <c r="D11" s="199">
        <v>76473.179999999993</v>
      </c>
      <c r="E11" s="199">
        <v>20548.62</v>
      </c>
      <c r="F11" s="199">
        <v>0</v>
      </c>
      <c r="G11" s="199">
        <v>248568.34</v>
      </c>
      <c r="H11" s="199">
        <v>108821.22</v>
      </c>
      <c r="I11" s="199">
        <v>64165.97</v>
      </c>
      <c r="J11" s="199">
        <v>148130.87</v>
      </c>
      <c r="K11" s="199">
        <v>8543.34</v>
      </c>
      <c r="L11" s="199">
        <v>19538.18</v>
      </c>
      <c r="M11" s="199">
        <v>2221252.9300000002</v>
      </c>
    </row>
    <row r="12" spans="1:15">
      <c r="A12" t="s">
        <v>376</v>
      </c>
      <c r="B12" t="s">
        <v>1829</v>
      </c>
      <c r="C12" s="199">
        <v>317206.62</v>
      </c>
      <c r="D12" s="199">
        <v>31880.06</v>
      </c>
      <c r="E12" s="199">
        <v>6405.92</v>
      </c>
      <c r="F12" s="199">
        <v>0</v>
      </c>
      <c r="G12" s="199">
        <v>53804.11</v>
      </c>
      <c r="H12" s="199">
        <v>3881.3</v>
      </c>
      <c r="I12" s="199">
        <v>0</v>
      </c>
      <c r="J12" s="199">
        <v>1418.35</v>
      </c>
      <c r="K12" s="199">
        <v>1857.49</v>
      </c>
      <c r="L12" s="199">
        <v>0</v>
      </c>
      <c r="M12" s="199">
        <v>416453.84999999992</v>
      </c>
    </row>
    <row r="13" spans="1:15">
      <c r="A13" t="s">
        <v>225</v>
      </c>
      <c r="B13" t="s">
        <v>1751</v>
      </c>
      <c r="C13" s="199">
        <v>891321.56</v>
      </c>
      <c r="D13" s="199">
        <v>93188.2</v>
      </c>
      <c r="E13" s="199">
        <v>6090.9</v>
      </c>
      <c r="F13" s="199">
        <v>0</v>
      </c>
      <c r="G13" s="199">
        <v>205562.18</v>
      </c>
      <c r="H13" s="199">
        <v>51384.26</v>
      </c>
      <c r="I13" s="199">
        <v>5142.3</v>
      </c>
      <c r="J13" s="199">
        <v>39076.089999999997</v>
      </c>
      <c r="K13" s="199">
        <v>6045.41</v>
      </c>
      <c r="L13" s="199">
        <v>15007.37</v>
      </c>
      <c r="M13" s="199">
        <v>1312818.2700000003</v>
      </c>
    </row>
    <row r="14" spans="1:15">
      <c r="A14" t="s">
        <v>354</v>
      </c>
      <c r="B14" t="s">
        <v>1816</v>
      </c>
      <c r="C14" s="199">
        <v>1795620.06</v>
      </c>
      <c r="D14" s="199">
        <v>83376.91</v>
      </c>
      <c r="E14" s="199">
        <v>22511.58</v>
      </c>
      <c r="F14" s="199">
        <v>0</v>
      </c>
      <c r="G14" s="199">
        <v>254434.52</v>
      </c>
      <c r="H14" s="199">
        <v>46494.42</v>
      </c>
      <c r="I14" s="199">
        <v>7161.05</v>
      </c>
      <c r="J14" s="199">
        <v>121098.04</v>
      </c>
      <c r="K14" s="199">
        <v>10177.66</v>
      </c>
      <c r="L14" s="199">
        <v>0</v>
      </c>
      <c r="M14" s="199">
        <v>2340874.2399999998</v>
      </c>
    </row>
    <row r="15" spans="1:15">
      <c r="A15" t="s">
        <v>671</v>
      </c>
      <c r="B15" t="s">
        <v>1980</v>
      </c>
      <c r="C15" s="199">
        <v>833821.59</v>
      </c>
      <c r="D15" s="199">
        <v>78070.460000000006</v>
      </c>
      <c r="E15" s="199">
        <v>31811.72</v>
      </c>
      <c r="F15" s="199">
        <v>0</v>
      </c>
      <c r="G15" s="199">
        <v>193488.26</v>
      </c>
      <c r="H15" s="199">
        <v>44024.639999999999</v>
      </c>
      <c r="I15" s="199">
        <v>8874.74</v>
      </c>
      <c r="J15" s="199">
        <v>28069.26</v>
      </c>
      <c r="K15" s="199">
        <v>5060.8500000000004</v>
      </c>
      <c r="L15" s="199">
        <v>29238.27</v>
      </c>
      <c r="M15" s="199">
        <v>1252459.7899999998</v>
      </c>
    </row>
    <row r="16" spans="1:15">
      <c r="A16" t="s">
        <v>165</v>
      </c>
      <c r="B16" t="s">
        <v>1719</v>
      </c>
      <c r="C16" s="199">
        <v>3299.33</v>
      </c>
      <c r="D16" s="199">
        <v>0</v>
      </c>
      <c r="E16" s="199">
        <v>0</v>
      </c>
      <c r="F16" s="199">
        <v>0</v>
      </c>
      <c r="G16" s="199">
        <v>64.02</v>
      </c>
      <c r="H16" s="199">
        <v>0</v>
      </c>
      <c r="I16" s="199">
        <v>0</v>
      </c>
      <c r="J16" s="199">
        <v>0</v>
      </c>
      <c r="K16" s="199">
        <v>0</v>
      </c>
      <c r="L16" s="199">
        <v>0</v>
      </c>
      <c r="M16" s="199">
        <v>3363.35</v>
      </c>
    </row>
    <row r="17" spans="1:13">
      <c r="A17" t="s">
        <v>527</v>
      </c>
      <c r="B17" t="s">
        <v>1904</v>
      </c>
      <c r="C17" s="199">
        <v>1634673.82</v>
      </c>
      <c r="D17" s="199">
        <v>91911.88</v>
      </c>
      <c r="E17" s="199">
        <v>22748.63</v>
      </c>
      <c r="F17" s="199">
        <v>53207.87</v>
      </c>
      <c r="G17" s="199">
        <v>330405.45</v>
      </c>
      <c r="H17" s="199">
        <v>110031.56</v>
      </c>
      <c r="I17" s="199">
        <v>47642.080000000002</v>
      </c>
      <c r="J17" s="199">
        <v>46218.15</v>
      </c>
      <c r="K17" s="199">
        <v>9699.5499999999993</v>
      </c>
      <c r="L17" s="199">
        <v>13682.3</v>
      </c>
      <c r="M17" s="199">
        <v>2360221.29</v>
      </c>
    </row>
    <row r="18" spans="1:13">
      <c r="A18" t="s">
        <v>398</v>
      </c>
      <c r="B18" t="s">
        <v>1841</v>
      </c>
      <c r="C18" s="199">
        <v>20204.96</v>
      </c>
      <c r="D18" s="199">
        <v>0</v>
      </c>
      <c r="E18" s="199">
        <v>0</v>
      </c>
      <c r="F18" s="199">
        <v>0</v>
      </c>
      <c r="G18" s="199">
        <v>0</v>
      </c>
      <c r="H18" s="199">
        <v>0</v>
      </c>
      <c r="I18" s="199">
        <v>0</v>
      </c>
      <c r="J18" s="199">
        <v>0</v>
      </c>
      <c r="K18" s="199">
        <v>41.35</v>
      </c>
      <c r="L18" s="199">
        <v>0</v>
      </c>
      <c r="M18" s="199">
        <v>20246.309999999998</v>
      </c>
    </row>
    <row r="19" spans="1:13">
      <c r="A19" t="s">
        <v>675</v>
      </c>
      <c r="B19" t="s">
        <v>1982</v>
      </c>
      <c r="C19" s="199">
        <v>163641.23000000001</v>
      </c>
      <c r="D19" s="199">
        <v>8823.86</v>
      </c>
      <c r="E19" s="199">
        <v>604.05999999999995</v>
      </c>
      <c r="F19" s="199">
        <v>0</v>
      </c>
      <c r="G19" s="199">
        <v>36542.85</v>
      </c>
      <c r="H19" s="199">
        <v>10618.74</v>
      </c>
      <c r="I19" s="199">
        <v>4718.29</v>
      </c>
      <c r="J19" s="199">
        <v>2935.52</v>
      </c>
      <c r="K19" s="199">
        <v>957.15</v>
      </c>
      <c r="L19" s="199">
        <v>5877.96</v>
      </c>
      <c r="M19" s="199">
        <v>234719.66</v>
      </c>
    </row>
    <row r="20" spans="1:13">
      <c r="A20" t="s">
        <v>428</v>
      </c>
      <c r="B20" t="s">
        <v>1856</v>
      </c>
      <c r="C20" s="199">
        <v>10519.87</v>
      </c>
      <c r="D20" s="199">
        <v>0</v>
      </c>
      <c r="E20" s="199">
        <v>108.76</v>
      </c>
      <c r="F20" s="199">
        <v>0</v>
      </c>
      <c r="G20" s="199">
        <v>3669.06</v>
      </c>
      <c r="H20" s="199">
        <v>1691.03</v>
      </c>
      <c r="I20" s="199">
        <v>375.27</v>
      </c>
      <c r="J20" s="199">
        <v>0</v>
      </c>
      <c r="K20" s="199">
        <v>128.66</v>
      </c>
      <c r="L20" s="199">
        <v>341.58</v>
      </c>
      <c r="M20" s="199">
        <v>16834.230000000003</v>
      </c>
    </row>
    <row r="21" spans="1:13">
      <c r="A21" t="s">
        <v>374</v>
      </c>
      <c r="B21" t="s">
        <v>1828</v>
      </c>
      <c r="C21" s="199">
        <v>372085.49</v>
      </c>
      <c r="D21" s="199">
        <v>31328.25</v>
      </c>
      <c r="E21" s="199">
        <v>9499.8700000000008</v>
      </c>
      <c r="F21" s="199">
        <v>34760.559999999998</v>
      </c>
      <c r="G21" s="199">
        <v>89739.32</v>
      </c>
      <c r="H21" s="199">
        <v>32347.64</v>
      </c>
      <c r="I21" s="199">
        <v>20232.41</v>
      </c>
      <c r="J21" s="199">
        <v>17645.97</v>
      </c>
      <c r="K21" s="199">
        <v>2329.7800000000002</v>
      </c>
      <c r="L21" s="199">
        <v>0</v>
      </c>
      <c r="M21" s="199">
        <v>609969.29</v>
      </c>
    </row>
    <row r="22" spans="1:13">
      <c r="A22" t="s">
        <v>478</v>
      </c>
      <c r="B22" t="s">
        <v>1880</v>
      </c>
      <c r="C22" s="199">
        <v>69900.19</v>
      </c>
      <c r="D22" s="199">
        <v>7269.56</v>
      </c>
      <c r="E22" s="199">
        <v>1355.57</v>
      </c>
      <c r="F22" s="199">
        <v>0</v>
      </c>
      <c r="G22" s="199">
        <v>11935.55</v>
      </c>
      <c r="H22" s="199">
        <v>9389.4599999999991</v>
      </c>
      <c r="I22" s="199">
        <v>4458.8500000000004</v>
      </c>
      <c r="J22" s="199">
        <v>9559.49</v>
      </c>
      <c r="K22" s="199">
        <v>418.16</v>
      </c>
      <c r="L22" s="199">
        <v>3634.78</v>
      </c>
      <c r="M22" s="199">
        <v>117921.61000000003</v>
      </c>
    </row>
    <row r="23" spans="1:13">
      <c r="A23" t="s">
        <v>247</v>
      </c>
      <c r="B23" t="s">
        <v>1762</v>
      </c>
      <c r="C23" s="199">
        <v>58150.34</v>
      </c>
      <c r="D23" s="199">
        <v>2697.36</v>
      </c>
      <c r="E23" s="199">
        <v>507</v>
      </c>
      <c r="F23" s="199">
        <v>0</v>
      </c>
      <c r="G23" s="199">
        <v>9343.68</v>
      </c>
      <c r="H23" s="199">
        <v>6541.99</v>
      </c>
      <c r="I23" s="199">
        <v>3311.58</v>
      </c>
      <c r="J23" s="199">
        <v>10084.86</v>
      </c>
      <c r="K23" s="199">
        <v>318.58999999999997</v>
      </c>
      <c r="L23" s="199">
        <v>2979.21</v>
      </c>
      <c r="M23" s="199">
        <v>93934.610000000015</v>
      </c>
    </row>
    <row r="24" spans="1:13">
      <c r="A24" t="s">
        <v>330</v>
      </c>
      <c r="B24" t="s">
        <v>1804</v>
      </c>
      <c r="C24" s="199">
        <v>5987.51</v>
      </c>
      <c r="D24" s="199">
        <v>0</v>
      </c>
      <c r="E24" s="199">
        <v>0</v>
      </c>
      <c r="F24" s="199">
        <v>0</v>
      </c>
      <c r="G24" s="199">
        <v>892.02</v>
      </c>
      <c r="H24" s="199">
        <v>546.82000000000005</v>
      </c>
      <c r="I24" s="199">
        <v>329.32</v>
      </c>
      <c r="J24" s="199">
        <v>0</v>
      </c>
      <c r="K24" s="199">
        <v>29.11</v>
      </c>
      <c r="L24" s="199">
        <v>799.56</v>
      </c>
      <c r="M24" s="199">
        <v>8584.34</v>
      </c>
    </row>
    <row r="25" spans="1:13">
      <c r="A25" t="s">
        <v>545</v>
      </c>
      <c r="B25" t="s">
        <v>1913</v>
      </c>
      <c r="C25" s="199">
        <v>272198</v>
      </c>
      <c r="D25" s="199">
        <v>26631.89</v>
      </c>
      <c r="E25" s="199">
        <v>6220.51</v>
      </c>
      <c r="F25" s="199">
        <v>0</v>
      </c>
      <c r="G25" s="199">
        <v>62271.09</v>
      </c>
      <c r="H25" s="199">
        <v>20536.61</v>
      </c>
      <c r="I25" s="199">
        <v>12362.11</v>
      </c>
      <c r="J25" s="199">
        <v>21349.77</v>
      </c>
      <c r="K25" s="199">
        <v>1562.85</v>
      </c>
      <c r="L25" s="199">
        <v>3676.38</v>
      </c>
      <c r="M25" s="199">
        <v>426809.20999999996</v>
      </c>
    </row>
    <row r="26" spans="1:13">
      <c r="A26" t="s">
        <v>223</v>
      </c>
      <c r="B26" t="s">
        <v>1750</v>
      </c>
      <c r="C26" s="199">
        <v>592655.28</v>
      </c>
      <c r="D26" s="199">
        <v>38516.71</v>
      </c>
      <c r="E26" s="199">
        <v>2331.89</v>
      </c>
      <c r="F26" s="199">
        <v>0</v>
      </c>
      <c r="G26" s="199">
        <v>100950.57</v>
      </c>
      <c r="H26" s="199">
        <v>13548.24</v>
      </c>
      <c r="I26" s="199">
        <v>0</v>
      </c>
      <c r="J26" s="199">
        <v>8345.2900000000009</v>
      </c>
      <c r="K26" s="199">
        <v>3423.71</v>
      </c>
      <c r="L26" s="199">
        <v>1969.64</v>
      </c>
      <c r="M26" s="199">
        <v>761741.33</v>
      </c>
    </row>
    <row r="27" spans="1:13">
      <c r="A27" t="s">
        <v>209</v>
      </c>
      <c r="B27" t="s">
        <v>1741</v>
      </c>
      <c r="C27" s="199">
        <v>57431.97</v>
      </c>
      <c r="D27" s="199">
        <v>1003.28</v>
      </c>
      <c r="E27" s="199">
        <v>0</v>
      </c>
      <c r="F27" s="199">
        <v>0</v>
      </c>
      <c r="G27" s="199">
        <v>8337.84</v>
      </c>
      <c r="H27" s="199">
        <v>3607.2</v>
      </c>
      <c r="I27" s="199">
        <v>2188.84</v>
      </c>
      <c r="J27" s="199">
        <v>0</v>
      </c>
      <c r="K27" s="199">
        <v>212.9</v>
      </c>
      <c r="L27" s="199">
        <v>0</v>
      </c>
      <c r="M27" s="199">
        <v>72782.029999999984</v>
      </c>
    </row>
    <row r="28" spans="1:13">
      <c r="A28" t="s">
        <v>511</v>
      </c>
      <c r="B28" t="s">
        <v>1897</v>
      </c>
      <c r="C28" s="199">
        <v>17082.71</v>
      </c>
      <c r="D28" s="199">
        <v>0</v>
      </c>
      <c r="E28" s="199">
        <v>0</v>
      </c>
      <c r="F28" s="199">
        <v>0</v>
      </c>
      <c r="G28" s="199">
        <v>3217.51</v>
      </c>
      <c r="H28" s="199">
        <v>460.55</v>
      </c>
      <c r="I28" s="199">
        <v>0</v>
      </c>
      <c r="J28" s="199">
        <v>0</v>
      </c>
      <c r="K28" s="199">
        <v>83.58</v>
      </c>
      <c r="L28" s="199">
        <v>0</v>
      </c>
      <c r="M28" s="199">
        <v>20844.350000000002</v>
      </c>
    </row>
    <row r="29" spans="1:13">
      <c r="A29" t="s">
        <v>199</v>
      </c>
      <c r="B29" t="s">
        <v>1736</v>
      </c>
      <c r="C29" s="199">
        <v>85199.039999999994</v>
      </c>
      <c r="D29" s="199">
        <v>11380.7</v>
      </c>
      <c r="E29" s="199">
        <v>4739.1499999999996</v>
      </c>
      <c r="F29" s="199">
        <v>0</v>
      </c>
      <c r="G29" s="199">
        <v>0</v>
      </c>
      <c r="H29" s="199">
        <v>5442.22</v>
      </c>
      <c r="I29" s="199">
        <v>1084.46</v>
      </c>
      <c r="J29" s="199">
        <v>3305.46</v>
      </c>
      <c r="K29" s="199">
        <v>525.38</v>
      </c>
      <c r="L29" s="199">
        <v>1913.12</v>
      </c>
      <c r="M29" s="199">
        <v>113589.53</v>
      </c>
    </row>
    <row r="30" spans="1:13">
      <c r="A30" t="s">
        <v>197</v>
      </c>
      <c r="B30" t="s">
        <v>1735</v>
      </c>
      <c r="C30" s="199">
        <v>129153.43</v>
      </c>
      <c r="D30" s="199">
        <v>12192.77</v>
      </c>
      <c r="E30" s="199">
        <v>4385.51</v>
      </c>
      <c r="F30" s="199">
        <v>0</v>
      </c>
      <c r="G30" s="199">
        <v>18807.25</v>
      </c>
      <c r="H30" s="199">
        <v>7448.83</v>
      </c>
      <c r="I30" s="199">
        <v>2739.95</v>
      </c>
      <c r="J30" s="199">
        <v>4735.97</v>
      </c>
      <c r="K30" s="199">
        <v>735.97</v>
      </c>
      <c r="L30" s="199">
        <v>0</v>
      </c>
      <c r="M30" s="199">
        <v>180199.67999999999</v>
      </c>
    </row>
    <row r="31" spans="1:13">
      <c r="A31" t="s">
        <v>237</v>
      </c>
      <c r="B31" t="s">
        <v>1757</v>
      </c>
      <c r="C31" s="199">
        <v>112393.26</v>
      </c>
      <c r="D31" s="199">
        <v>8585.2999999999993</v>
      </c>
      <c r="E31" s="199">
        <v>860.83</v>
      </c>
      <c r="F31" s="199">
        <v>0</v>
      </c>
      <c r="G31" s="199">
        <v>25596.07</v>
      </c>
      <c r="H31" s="199">
        <v>7392.1</v>
      </c>
      <c r="I31" s="199">
        <v>4373.0600000000004</v>
      </c>
      <c r="J31" s="199">
        <v>575.92999999999995</v>
      </c>
      <c r="K31" s="199">
        <v>626.47</v>
      </c>
      <c r="L31" s="199">
        <v>0</v>
      </c>
      <c r="M31" s="199">
        <v>160403.01999999999</v>
      </c>
    </row>
    <row r="32" spans="1:13">
      <c r="A32" t="s">
        <v>1623</v>
      </c>
      <c r="B32" t="s">
        <v>2023</v>
      </c>
      <c r="C32" s="199">
        <v>66522.59</v>
      </c>
      <c r="D32" s="199">
        <v>0</v>
      </c>
      <c r="E32" s="199">
        <v>0</v>
      </c>
      <c r="F32" s="199">
        <v>0</v>
      </c>
      <c r="G32" s="199">
        <v>9699.76</v>
      </c>
      <c r="H32" s="199">
        <v>2853.94</v>
      </c>
      <c r="I32" s="199">
        <v>2550.2800000000002</v>
      </c>
      <c r="J32" s="199">
        <v>271.12</v>
      </c>
      <c r="K32" s="199">
        <v>0</v>
      </c>
      <c r="L32" s="199">
        <v>0</v>
      </c>
      <c r="M32" s="199">
        <v>81897.689999999988</v>
      </c>
    </row>
    <row r="33" spans="1:13">
      <c r="A33" t="s">
        <v>400</v>
      </c>
      <c r="B33" t="s">
        <v>1842</v>
      </c>
      <c r="C33" s="199">
        <v>9464.7999999999993</v>
      </c>
      <c r="D33" s="199">
        <v>0</v>
      </c>
      <c r="E33" s="199">
        <v>0</v>
      </c>
      <c r="F33" s="199">
        <v>0</v>
      </c>
      <c r="G33" s="199">
        <v>0</v>
      </c>
      <c r="H33" s="199">
        <v>250.63</v>
      </c>
      <c r="I33" s="199">
        <v>0</v>
      </c>
      <c r="J33" s="199">
        <v>0</v>
      </c>
      <c r="K33" s="199">
        <v>40.22</v>
      </c>
      <c r="L33" s="199">
        <v>0</v>
      </c>
      <c r="M33" s="199">
        <v>9755.6499999999978</v>
      </c>
    </row>
    <row r="34" spans="1:13">
      <c r="A34" t="s">
        <v>380</v>
      </c>
      <c r="B34" t="s">
        <v>1831</v>
      </c>
      <c r="C34" s="199">
        <v>1001603.92</v>
      </c>
      <c r="D34" s="199">
        <v>64802.86</v>
      </c>
      <c r="E34" s="199">
        <v>12041.92</v>
      </c>
      <c r="F34" s="199">
        <v>0</v>
      </c>
      <c r="G34" s="199">
        <v>219341.77</v>
      </c>
      <c r="H34" s="199">
        <v>50866.080000000002</v>
      </c>
      <c r="I34" s="199">
        <v>11378.53</v>
      </c>
      <c r="J34" s="199">
        <v>15697.1</v>
      </c>
      <c r="K34" s="199">
        <v>5850.91</v>
      </c>
      <c r="L34" s="199">
        <v>6398.43</v>
      </c>
      <c r="M34" s="199">
        <v>1387981.52</v>
      </c>
    </row>
    <row r="35" spans="1:13">
      <c r="A35" t="s">
        <v>604</v>
      </c>
      <c r="B35" t="s">
        <v>1943</v>
      </c>
      <c r="C35" s="199">
        <v>1155741.32</v>
      </c>
      <c r="D35" s="199">
        <v>60935.14</v>
      </c>
      <c r="E35" s="199">
        <v>35415.4</v>
      </c>
      <c r="F35" s="199">
        <v>4860.21</v>
      </c>
      <c r="G35" s="199">
        <v>247846.94</v>
      </c>
      <c r="H35" s="199">
        <v>63971.39</v>
      </c>
      <c r="I35" s="199">
        <v>18051.79</v>
      </c>
      <c r="J35" s="199">
        <v>23391.49</v>
      </c>
      <c r="K35" s="199">
        <v>6641.18</v>
      </c>
      <c r="L35" s="199">
        <v>0</v>
      </c>
      <c r="M35" s="199">
        <v>1616854.8599999996</v>
      </c>
    </row>
    <row r="36" spans="1:13">
      <c r="A36" t="s">
        <v>440</v>
      </c>
      <c r="B36" t="s">
        <v>1862</v>
      </c>
      <c r="C36" s="199">
        <v>240837.44</v>
      </c>
      <c r="D36" s="199">
        <v>24169.06</v>
      </c>
      <c r="E36" s="199">
        <v>8372.4</v>
      </c>
      <c r="F36" s="199">
        <v>0</v>
      </c>
      <c r="G36" s="199">
        <v>55727.23</v>
      </c>
      <c r="H36" s="199">
        <v>23197.95</v>
      </c>
      <c r="I36" s="199">
        <v>15007.82</v>
      </c>
      <c r="J36" s="199">
        <v>13283.11</v>
      </c>
      <c r="K36" s="199">
        <v>1447.48</v>
      </c>
      <c r="L36" s="199">
        <v>0</v>
      </c>
      <c r="M36" s="199">
        <v>382042.49</v>
      </c>
    </row>
    <row r="37" spans="1:13">
      <c r="A37" t="s">
        <v>436</v>
      </c>
      <c r="B37" t="s">
        <v>1860</v>
      </c>
      <c r="C37" s="199">
        <v>239401.24</v>
      </c>
      <c r="D37" s="199">
        <v>20786.95</v>
      </c>
      <c r="E37" s="199">
        <v>0</v>
      </c>
      <c r="F37" s="199">
        <v>0</v>
      </c>
      <c r="G37" s="199">
        <v>43202.23</v>
      </c>
      <c r="H37" s="199">
        <v>14884.92</v>
      </c>
      <c r="I37" s="199">
        <v>3257.67</v>
      </c>
      <c r="J37" s="199">
        <v>3966.55</v>
      </c>
      <c r="K37" s="199">
        <v>1347.68</v>
      </c>
      <c r="L37" s="199">
        <v>0</v>
      </c>
      <c r="M37" s="199">
        <v>326847.23999999993</v>
      </c>
    </row>
    <row r="38" spans="1:13">
      <c r="A38" t="s">
        <v>608</v>
      </c>
      <c r="B38" t="s">
        <v>1945</v>
      </c>
      <c r="C38" s="199">
        <v>410209.28000000003</v>
      </c>
      <c r="D38" s="199">
        <v>23380.22</v>
      </c>
      <c r="E38" s="199">
        <v>9181.15</v>
      </c>
      <c r="F38" s="199">
        <v>0</v>
      </c>
      <c r="G38" s="199">
        <v>90183.33</v>
      </c>
      <c r="H38" s="199">
        <v>26573.86</v>
      </c>
      <c r="I38" s="199">
        <v>12445.25</v>
      </c>
      <c r="J38" s="199">
        <v>12301.26</v>
      </c>
      <c r="K38" s="199">
        <v>2412.4699999999998</v>
      </c>
      <c r="L38" s="199">
        <v>0</v>
      </c>
      <c r="M38" s="199">
        <v>586686.81999999995</v>
      </c>
    </row>
    <row r="39" spans="1:13">
      <c r="A39" t="s">
        <v>620</v>
      </c>
      <c r="B39" t="s">
        <v>1952</v>
      </c>
      <c r="C39" s="199">
        <v>48004.21</v>
      </c>
      <c r="D39" s="199">
        <v>3737.41</v>
      </c>
      <c r="E39" s="199">
        <v>1012.47</v>
      </c>
      <c r="F39" s="199">
        <v>0</v>
      </c>
      <c r="G39" s="199">
        <v>11843.65</v>
      </c>
      <c r="H39" s="199">
        <v>4756.01</v>
      </c>
      <c r="I39" s="199">
        <v>3738.93</v>
      </c>
      <c r="J39" s="199">
        <v>38.299999999999997</v>
      </c>
      <c r="K39" s="199">
        <v>340.04</v>
      </c>
      <c r="L39" s="199">
        <v>1588.39</v>
      </c>
      <c r="M39" s="199">
        <v>75059.409999999989</v>
      </c>
    </row>
    <row r="40" spans="1:13">
      <c r="A40" t="s">
        <v>1553</v>
      </c>
      <c r="B40" t="s">
        <v>1908</v>
      </c>
      <c r="C40" s="199">
        <v>56497.55</v>
      </c>
      <c r="D40" s="199">
        <v>3787.89</v>
      </c>
      <c r="E40" s="199">
        <v>734.25</v>
      </c>
      <c r="F40" s="199">
        <v>0</v>
      </c>
      <c r="G40" s="199">
        <v>10587.66</v>
      </c>
      <c r="H40" s="199">
        <v>4245.9399999999996</v>
      </c>
      <c r="I40" s="199">
        <v>3245.78</v>
      </c>
      <c r="J40" s="199">
        <v>0</v>
      </c>
      <c r="K40" s="199">
        <v>308.79000000000002</v>
      </c>
      <c r="L40" s="199">
        <v>1811.6</v>
      </c>
      <c r="M40" s="199">
        <v>81219.460000000006</v>
      </c>
    </row>
    <row r="41" spans="1:13">
      <c r="A41" t="s">
        <v>334</v>
      </c>
      <c r="B41" t="s">
        <v>1806</v>
      </c>
      <c r="C41" s="199">
        <v>61278.74</v>
      </c>
      <c r="D41" s="199">
        <v>2165</v>
      </c>
      <c r="E41" s="199">
        <v>73.77</v>
      </c>
      <c r="F41" s="199">
        <v>0</v>
      </c>
      <c r="G41" s="199">
        <v>12869.33</v>
      </c>
      <c r="H41" s="199">
        <v>4220.21</v>
      </c>
      <c r="I41" s="199">
        <v>2125.54</v>
      </c>
      <c r="J41" s="199">
        <v>0</v>
      </c>
      <c r="K41" s="199">
        <v>319.08999999999997</v>
      </c>
      <c r="L41" s="199">
        <v>3825.63</v>
      </c>
      <c r="M41" s="199">
        <v>86877.31</v>
      </c>
    </row>
    <row r="42" spans="1:13">
      <c r="A42" t="s">
        <v>173</v>
      </c>
      <c r="B42" t="s">
        <v>1723</v>
      </c>
      <c r="C42" s="199">
        <v>173994.58</v>
      </c>
      <c r="D42" s="199">
        <v>10555.1</v>
      </c>
      <c r="E42" s="199">
        <v>1972.86</v>
      </c>
      <c r="F42" s="199">
        <v>0</v>
      </c>
      <c r="G42" s="199">
        <v>40737.9</v>
      </c>
      <c r="H42" s="199">
        <v>13376.54</v>
      </c>
      <c r="I42" s="199">
        <v>6168.25</v>
      </c>
      <c r="J42" s="199">
        <v>672.43</v>
      </c>
      <c r="K42" s="199">
        <v>1033.9100000000001</v>
      </c>
      <c r="L42" s="199">
        <v>6087.07</v>
      </c>
      <c r="M42" s="199">
        <v>254598.63999999998</v>
      </c>
    </row>
    <row r="43" spans="1:13">
      <c r="A43" t="s">
        <v>394</v>
      </c>
      <c r="B43" t="s">
        <v>1839</v>
      </c>
      <c r="C43" s="199">
        <v>76276.350000000006</v>
      </c>
      <c r="D43" s="199">
        <v>6333.77</v>
      </c>
      <c r="E43" s="199">
        <v>836.17</v>
      </c>
      <c r="F43" s="199">
        <v>0</v>
      </c>
      <c r="G43" s="199">
        <v>16488.28</v>
      </c>
      <c r="H43" s="199">
        <v>3495.66</v>
      </c>
      <c r="I43" s="199">
        <v>0</v>
      </c>
      <c r="J43" s="199">
        <v>500.08</v>
      </c>
      <c r="K43" s="199">
        <v>430.26</v>
      </c>
      <c r="L43" s="199">
        <v>5775.24</v>
      </c>
      <c r="M43" s="199">
        <v>110135.81000000001</v>
      </c>
    </row>
    <row r="44" spans="1:13">
      <c r="A44" t="s">
        <v>521</v>
      </c>
      <c r="B44" t="s">
        <v>1901</v>
      </c>
      <c r="C44" s="199">
        <v>979209.24</v>
      </c>
      <c r="D44" s="199">
        <v>53787.5</v>
      </c>
      <c r="E44" s="199">
        <v>34419.269999999997</v>
      </c>
      <c r="F44" s="199">
        <v>0</v>
      </c>
      <c r="G44" s="199">
        <v>229659.81</v>
      </c>
      <c r="H44" s="199">
        <v>83808.36</v>
      </c>
      <c r="I44" s="199">
        <v>46018.46</v>
      </c>
      <c r="J44" s="199">
        <v>52863.66</v>
      </c>
      <c r="K44" s="199">
        <v>5466.75</v>
      </c>
      <c r="L44" s="199">
        <v>0</v>
      </c>
      <c r="M44" s="199">
        <v>1485233.05</v>
      </c>
    </row>
    <row r="45" spans="1:13">
      <c r="A45" t="s">
        <v>693</v>
      </c>
      <c r="B45" t="s">
        <v>1992</v>
      </c>
      <c r="C45" s="199">
        <v>47104.78</v>
      </c>
      <c r="D45" s="199">
        <v>3783.35</v>
      </c>
      <c r="E45" s="199">
        <v>845.88</v>
      </c>
      <c r="F45" s="199">
        <v>0</v>
      </c>
      <c r="G45" s="199">
        <v>7199.2</v>
      </c>
      <c r="H45" s="199">
        <v>1701.32</v>
      </c>
      <c r="I45" s="199">
        <v>0</v>
      </c>
      <c r="J45" s="199">
        <v>0</v>
      </c>
      <c r="K45" s="199">
        <v>238.94</v>
      </c>
      <c r="L45" s="199">
        <v>1914.78</v>
      </c>
      <c r="M45" s="199">
        <v>62788.249999999993</v>
      </c>
    </row>
    <row r="46" spans="1:13">
      <c r="A46" t="s">
        <v>662</v>
      </c>
      <c r="B46" t="s">
        <v>1975</v>
      </c>
      <c r="C46" s="199">
        <v>110048.19</v>
      </c>
      <c r="D46" s="199">
        <v>13290.76</v>
      </c>
      <c r="E46" s="199">
        <v>1202.4000000000001</v>
      </c>
      <c r="F46" s="199">
        <v>0</v>
      </c>
      <c r="G46" s="199">
        <v>24787.97</v>
      </c>
      <c r="H46" s="199">
        <v>7978.74</v>
      </c>
      <c r="I46" s="199">
        <v>6666.06</v>
      </c>
      <c r="J46" s="199">
        <v>6024.27</v>
      </c>
      <c r="K46" s="199">
        <v>643.32000000000005</v>
      </c>
      <c r="L46" s="199">
        <v>1802.84</v>
      </c>
      <c r="M46" s="199">
        <v>172444.55</v>
      </c>
    </row>
    <row r="47" spans="1:13">
      <c r="A47" t="s">
        <v>701</v>
      </c>
      <c r="B47" t="s">
        <v>1996</v>
      </c>
      <c r="C47" s="199">
        <v>22138.14</v>
      </c>
      <c r="D47" s="199">
        <v>442.45</v>
      </c>
      <c r="E47" s="199">
        <v>72.72</v>
      </c>
      <c r="F47" s="199">
        <v>0</v>
      </c>
      <c r="G47" s="199">
        <v>2408.62</v>
      </c>
      <c r="H47" s="199">
        <v>428.54</v>
      </c>
      <c r="I47" s="199">
        <v>0</v>
      </c>
      <c r="J47" s="199">
        <v>0</v>
      </c>
      <c r="K47" s="199">
        <v>0</v>
      </c>
      <c r="L47" s="199">
        <v>1007.12</v>
      </c>
      <c r="M47" s="199">
        <v>26497.59</v>
      </c>
    </row>
    <row r="48" spans="1:13">
      <c r="A48" t="s">
        <v>633</v>
      </c>
      <c r="B48" t="s">
        <v>1959</v>
      </c>
      <c r="C48" s="199">
        <v>19232.32</v>
      </c>
      <c r="D48" s="199">
        <v>661.7</v>
      </c>
      <c r="E48" s="199">
        <v>107.22</v>
      </c>
      <c r="F48" s="199">
        <v>0</v>
      </c>
      <c r="G48" s="199">
        <v>1835.38</v>
      </c>
      <c r="H48" s="199">
        <v>796.49</v>
      </c>
      <c r="I48" s="199">
        <v>503.94</v>
      </c>
      <c r="J48" s="199">
        <v>0</v>
      </c>
      <c r="K48" s="199">
        <v>0</v>
      </c>
      <c r="L48" s="199">
        <v>914.44</v>
      </c>
      <c r="M48" s="199">
        <v>24051.49</v>
      </c>
    </row>
    <row r="49" spans="1:13">
      <c r="A49" t="s">
        <v>666</v>
      </c>
      <c r="B49" t="s">
        <v>1977</v>
      </c>
      <c r="C49" s="199">
        <v>63830.89</v>
      </c>
      <c r="D49" s="199">
        <v>5054.18</v>
      </c>
      <c r="E49" s="199">
        <v>0</v>
      </c>
      <c r="F49" s="199">
        <v>0</v>
      </c>
      <c r="G49" s="199">
        <v>11682.78</v>
      </c>
      <c r="H49" s="199">
        <v>4393.59</v>
      </c>
      <c r="I49" s="199">
        <v>3534.98</v>
      </c>
      <c r="J49" s="199">
        <v>3508.68</v>
      </c>
      <c r="K49" s="199">
        <v>340.34</v>
      </c>
      <c r="L49" s="199">
        <v>1915.24</v>
      </c>
      <c r="M49" s="199">
        <v>94260.68</v>
      </c>
    </row>
    <row r="50" spans="1:13">
      <c r="A50" t="s">
        <v>626</v>
      </c>
      <c r="B50" t="s">
        <v>1955</v>
      </c>
      <c r="C50" s="199">
        <v>130107.64</v>
      </c>
      <c r="D50" s="199">
        <v>9688.58</v>
      </c>
      <c r="E50" s="199">
        <v>2305.06</v>
      </c>
      <c r="F50" s="199">
        <v>1545.2</v>
      </c>
      <c r="G50" s="199">
        <v>29801.89</v>
      </c>
      <c r="H50" s="199">
        <v>11053.78</v>
      </c>
      <c r="I50" s="199">
        <v>7842.3</v>
      </c>
      <c r="J50" s="199">
        <v>266.02999999999997</v>
      </c>
      <c r="K50" s="199">
        <v>759.85</v>
      </c>
      <c r="L50" s="199">
        <v>8777.39</v>
      </c>
      <c r="M50" s="199">
        <v>202147.71999999997</v>
      </c>
    </row>
    <row r="51" spans="1:13">
      <c r="A51" t="s">
        <v>543</v>
      </c>
      <c r="B51" t="s">
        <v>1912</v>
      </c>
      <c r="C51" s="199">
        <v>48921.49</v>
      </c>
      <c r="D51" s="199">
        <v>2489.0100000000002</v>
      </c>
      <c r="E51" s="199">
        <v>246.79</v>
      </c>
      <c r="F51" s="199">
        <v>0</v>
      </c>
      <c r="G51" s="199">
        <v>8893.59</v>
      </c>
      <c r="H51" s="199">
        <v>3950.29</v>
      </c>
      <c r="I51" s="199">
        <v>2523.12</v>
      </c>
      <c r="J51" s="199">
        <v>389.67</v>
      </c>
      <c r="K51" s="199">
        <v>227.31</v>
      </c>
      <c r="L51" s="199">
        <v>3341.42</v>
      </c>
      <c r="M51" s="199">
        <v>70982.69</v>
      </c>
    </row>
    <row r="52" spans="1:13">
      <c r="A52" t="s">
        <v>552</v>
      </c>
      <c r="B52" t="s">
        <v>1917</v>
      </c>
      <c r="C52" s="199">
        <v>44091.27</v>
      </c>
      <c r="D52" s="199">
        <v>0</v>
      </c>
      <c r="E52" s="199">
        <v>0</v>
      </c>
      <c r="F52" s="199">
        <v>0</v>
      </c>
      <c r="G52" s="199">
        <v>5939.48</v>
      </c>
      <c r="H52" s="199">
        <v>1421.44</v>
      </c>
      <c r="I52" s="199">
        <v>0</v>
      </c>
      <c r="J52" s="199">
        <v>687.62</v>
      </c>
      <c r="K52" s="199">
        <v>213.21</v>
      </c>
      <c r="L52" s="199">
        <v>0</v>
      </c>
      <c r="M52" s="199">
        <v>52353.020000000004</v>
      </c>
    </row>
    <row r="53" spans="1:13">
      <c r="A53" t="s">
        <v>312</v>
      </c>
      <c r="B53" t="s">
        <v>1795</v>
      </c>
      <c r="C53" s="199">
        <v>17349.830000000002</v>
      </c>
      <c r="D53" s="199">
        <v>0</v>
      </c>
      <c r="E53" s="199">
        <v>0</v>
      </c>
      <c r="F53" s="199">
        <v>0</v>
      </c>
      <c r="G53" s="199">
        <v>3376.39</v>
      </c>
      <c r="H53" s="199">
        <v>948.14</v>
      </c>
      <c r="I53" s="199">
        <v>814.87</v>
      </c>
      <c r="J53" s="199">
        <v>36.76</v>
      </c>
      <c r="K53" s="199">
        <v>75.05</v>
      </c>
      <c r="L53" s="199">
        <v>1645.07</v>
      </c>
      <c r="M53" s="199">
        <v>24246.109999999997</v>
      </c>
    </row>
    <row r="54" spans="1:13">
      <c r="A54" t="s">
        <v>283</v>
      </c>
      <c r="B54" t="s">
        <v>1780</v>
      </c>
      <c r="C54" s="199">
        <v>23323.55</v>
      </c>
      <c r="D54" s="199">
        <v>1631.29</v>
      </c>
      <c r="E54" s="199">
        <v>55.15</v>
      </c>
      <c r="F54" s="199">
        <v>0</v>
      </c>
      <c r="G54" s="199">
        <v>2331.0700000000002</v>
      </c>
      <c r="H54" s="199">
        <v>779.64</v>
      </c>
      <c r="I54" s="199">
        <v>0</v>
      </c>
      <c r="J54" s="199">
        <v>0</v>
      </c>
      <c r="K54" s="199">
        <v>85.78</v>
      </c>
      <c r="L54" s="199">
        <v>0</v>
      </c>
      <c r="M54" s="199">
        <v>28206.48</v>
      </c>
    </row>
    <row r="55" spans="1:13">
      <c r="A55" t="s">
        <v>324</v>
      </c>
      <c r="B55" t="s">
        <v>1801</v>
      </c>
      <c r="C55" s="199">
        <v>90123.48</v>
      </c>
      <c r="D55" s="199">
        <v>3160.53</v>
      </c>
      <c r="E55" s="199">
        <v>382.52</v>
      </c>
      <c r="F55" s="199">
        <v>0</v>
      </c>
      <c r="G55" s="199">
        <v>19014.560000000001</v>
      </c>
      <c r="H55" s="199">
        <v>4723.4799999999996</v>
      </c>
      <c r="I55" s="199">
        <v>2315.88</v>
      </c>
      <c r="J55" s="199">
        <v>868.88</v>
      </c>
      <c r="K55" s="199">
        <v>505.41</v>
      </c>
      <c r="L55" s="199">
        <v>1988.74</v>
      </c>
      <c r="M55" s="199">
        <v>123083.48000000001</v>
      </c>
    </row>
    <row r="56" spans="1:13">
      <c r="A56" t="s">
        <v>205</v>
      </c>
      <c r="B56" t="s">
        <v>1739</v>
      </c>
      <c r="C56" s="199">
        <v>28336.880000000001</v>
      </c>
      <c r="D56" s="199">
        <v>203.72</v>
      </c>
      <c r="E56" s="199">
        <v>0</v>
      </c>
      <c r="F56" s="199">
        <v>0</v>
      </c>
      <c r="G56" s="199">
        <v>4346.16</v>
      </c>
      <c r="H56" s="199">
        <v>2083.15</v>
      </c>
      <c r="I56" s="199">
        <v>977.24</v>
      </c>
      <c r="J56" s="199">
        <v>0</v>
      </c>
      <c r="K56" s="199">
        <v>168.49</v>
      </c>
      <c r="L56" s="199">
        <v>0</v>
      </c>
      <c r="M56" s="199">
        <v>36115.64</v>
      </c>
    </row>
    <row r="57" spans="1:13">
      <c r="A57" t="s">
        <v>448</v>
      </c>
      <c r="B57" t="s">
        <v>1866</v>
      </c>
      <c r="C57" s="199">
        <v>19277.669999999998</v>
      </c>
      <c r="D57" s="199">
        <v>309.39999999999998</v>
      </c>
      <c r="E57" s="199">
        <v>78.900000000000006</v>
      </c>
      <c r="F57" s="199">
        <v>0</v>
      </c>
      <c r="G57" s="199">
        <v>1171.8699999999999</v>
      </c>
      <c r="H57" s="199">
        <v>505.88</v>
      </c>
      <c r="I57" s="199">
        <v>190.28</v>
      </c>
      <c r="J57" s="199">
        <v>0</v>
      </c>
      <c r="K57" s="199">
        <v>32.49</v>
      </c>
      <c r="L57" s="199">
        <v>0</v>
      </c>
      <c r="M57" s="199">
        <v>21566.49</v>
      </c>
    </row>
    <row r="58" spans="1:13">
      <c r="A58" t="s">
        <v>259</v>
      </c>
      <c r="B58" t="s">
        <v>1768</v>
      </c>
      <c r="C58" s="199">
        <v>23451.59</v>
      </c>
      <c r="D58" s="199">
        <v>442.45</v>
      </c>
      <c r="E58" s="199">
        <v>0</v>
      </c>
      <c r="F58" s="199">
        <v>0</v>
      </c>
      <c r="G58" s="199">
        <v>4559.57</v>
      </c>
      <c r="H58" s="199">
        <v>1429.46</v>
      </c>
      <c r="I58" s="199">
        <v>973.09</v>
      </c>
      <c r="J58" s="199">
        <v>0</v>
      </c>
      <c r="K58" s="199">
        <v>0</v>
      </c>
      <c r="L58" s="199">
        <v>0</v>
      </c>
      <c r="M58" s="199">
        <v>30856.16</v>
      </c>
    </row>
    <row r="59" spans="1:13">
      <c r="A59" t="s">
        <v>501</v>
      </c>
      <c r="B59" t="s">
        <v>1892</v>
      </c>
      <c r="C59" s="199">
        <v>28736.66</v>
      </c>
      <c r="D59" s="199">
        <v>940.48</v>
      </c>
      <c r="E59" s="199">
        <v>0</v>
      </c>
      <c r="F59" s="199">
        <v>0</v>
      </c>
      <c r="G59" s="199">
        <v>4863.57</v>
      </c>
      <c r="H59" s="199">
        <v>2548.79</v>
      </c>
      <c r="I59" s="199">
        <v>1131.94</v>
      </c>
      <c r="J59" s="199">
        <v>0</v>
      </c>
      <c r="K59" s="199">
        <v>163.89</v>
      </c>
      <c r="L59" s="199">
        <v>1507.22</v>
      </c>
      <c r="M59" s="199">
        <v>39892.550000000003</v>
      </c>
    </row>
    <row r="60" spans="1:13">
      <c r="A60" t="s">
        <v>384</v>
      </c>
      <c r="B60" t="s">
        <v>1834</v>
      </c>
      <c r="C60" s="199">
        <v>4125.8500000000004</v>
      </c>
      <c r="D60" s="199">
        <v>0</v>
      </c>
      <c r="E60" s="199">
        <v>0</v>
      </c>
      <c r="F60" s="199">
        <v>0</v>
      </c>
      <c r="G60" s="199">
        <v>764.95</v>
      </c>
      <c r="H60" s="199">
        <v>0</v>
      </c>
      <c r="I60" s="199">
        <v>0</v>
      </c>
      <c r="J60" s="199">
        <v>0</v>
      </c>
      <c r="K60" s="199">
        <v>0</v>
      </c>
      <c r="L60" s="199">
        <v>0</v>
      </c>
      <c r="M60" s="199">
        <v>4890.8</v>
      </c>
    </row>
    <row r="61" spans="1:13">
      <c r="A61" t="s">
        <v>586</v>
      </c>
      <c r="B61" t="s">
        <v>1934</v>
      </c>
      <c r="C61" s="199">
        <v>48506.61</v>
      </c>
      <c r="D61" s="199">
        <v>1459.92</v>
      </c>
      <c r="E61" s="199">
        <v>0</v>
      </c>
      <c r="F61" s="199">
        <v>0</v>
      </c>
      <c r="G61" s="199">
        <v>8212.56</v>
      </c>
      <c r="H61" s="199">
        <v>2444.63</v>
      </c>
      <c r="I61" s="199">
        <v>1679.5</v>
      </c>
      <c r="J61" s="199">
        <v>0</v>
      </c>
      <c r="K61" s="199">
        <v>204.15</v>
      </c>
      <c r="L61" s="199">
        <v>1281.51</v>
      </c>
      <c r="M61" s="199">
        <v>63788.88</v>
      </c>
    </row>
    <row r="62" spans="1:13">
      <c r="A62" t="s">
        <v>456</v>
      </c>
      <c r="B62" t="s">
        <v>1870</v>
      </c>
      <c r="C62" s="199">
        <v>52945.54</v>
      </c>
      <c r="D62" s="199">
        <v>4158.63</v>
      </c>
      <c r="E62" s="199">
        <v>1159.52</v>
      </c>
      <c r="F62" s="199">
        <v>0</v>
      </c>
      <c r="G62" s="199">
        <v>9606.19</v>
      </c>
      <c r="H62" s="199">
        <v>3455.57</v>
      </c>
      <c r="I62" s="199">
        <v>2767.82</v>
      </c>
      <c r="J62" s="199">
        <v>0</v>
      </c>
      <c r="K62" s="199">
        <v>289.5</v>
      </c>
      <c r="L62" s="199">
        <v>2136.75</v>
      </c>
      <c r="M62" s="199">
        <v>76519.520000000004</v>
      </c>
    </row>
    <row r="63" spans="1:13">
      <c r="A63" t="s">
        <v>229</v>
      </c>
      <c r="B63" t="s">
        <v>1753</v>
      </c>
      <c r="C63" s="199">
        <v>37025.919999999998</v>
      </c>
      <c r="D63" s="199">
        <v>2118.6799999999998</v>
      </c>
      <c r="E63" s="199">
        <v>304.26</v>
      </c>
      <c r="F63" s="199">
        <v>0</v>
      </c>
      <c r="G63" s="199">
        <v>0</v>
      </c>
      <c r="H63" s="199">
        <v>1873.36</v>
      </c>
      <c r="I63" s="199">
        <v>1585.02</v>
      </c>
      <c r="J63" s="199">
        <v>20.71</v>
      </c>
      <c r="K63" s="199">
        <v>160.88999999999999</v>
      </c>
      <c r="L63" s="199">
        <v>0</v>
      </c>
      <c r="M63" s="199">
        <v>43088.84</v>
      </c>
    </row>
    <row r="64" spans="1:13">
      <c r="A64" t="s">
        <v>614</v>
      </c>
      <c r="B64" t="s">
        <v>1949</v>
      </c>
      <c r="C64" s="199">
        <v>157888.5</v>
      </c>
      <c r="D64" s="199">
        <v>9865.83</v>
      </c>
      <c r="E64" s="199">
        <v>0</v>
      </c>
      <c r="F64" s="199">
        <v>0</v>
      </c>
      <c r="G64" s="199">
        <v>38039.599999999999</v>
      </c>
      <c r="H64" s="199">
        <v>13319.86</v>
      </c>
      <c r="I64" s="199">
        <v>6647.68</v>
      </c>
      <c r="J64" s="199">
        <v>762.79</v>
      </c>
      <c r="K64" s="199">
        <v>1162.57</v>
      </c>
      <c r="L64" s="199">
        <v>0</v>
      </c>
      <c r="M64" s="199">
        <v>227686.83</v>
      </c>
    </row>
    <row r="65" spans="1:13">
      <c r="A65" t="s">
        <v>517</v>
      </c>
      <c r="B65" t="s">
        <v>1899</v>
      </c>
      <c r="C65" s="199">
        <v>142660.97</v>
      </c>
      <c r="D65" s="199">
        <v>0</v>
      </c>
      <c r="E65" s="199">
        <v>8212.36</v>
      </c>
      <c r="F65" s="199">
        <v>0</v>
      </c>
      <c r="G65" s="199">
        <v>22022.93</v>
      </c>
      <c r="H65" s="199">
        <v>2953.04</v>
      </c>
      <c r="I65" s="199">
        <v>0</v>
      </c>
      <c r="J65" s="199">
        <v>3411.46</v>
      </c>
      <c r="K65" s="199">
        <v>721.38</v>
      </c>
      <c r="L65" s="199">
        <v>2148.15</v>
      </c>
      <c r="M65" s="199">
        <v>182130.29</v>
      </c>
    </row>
    <row r="66" spans="1:13">
      <c r="A66" t="s">
        <v>658</v>
      </c>
      <c r="B66" t="s">
        <v>1973</v>
      </c>
      <c r="C66" s="199">
        <v>3428.12</v>
      </c>
      <c r="D66" s="199">
        <v>0</v>
      </c>
      <c r="E66" s="199">
        <v>0</v>
      </c>
      <c r="F66" s="199">
        <v>0</v>
      </c>
      <c r="G66" s="199">
        <v>0</v>
      </c>
      <c r="H66" s="199">
        <v>192.75</v>
      </c>
      <c r="I66" s="199">
        <v>89.2</v>
      </c>
      <c r="J66" s="199">
        <v>0</v>
      </c>
      <c r="K66" s="199">
        <v>0</v>
      </c>
      <c r="L66" s="199">
        <v>0</v>
      </c>
      <c r="M66" s="199">
        <v>3710.0699999999997</v>
      </c>
    </row>
    <row r="67" spans="1:13">
      <c r="A67" t="s">
        <v>610</v>
      </c>
      <c r="B67" t="s">
        <v>1946</v>
      </c>
      <c r="C67" s="199">
        <v>263820.21999999997</v>
      </c>
      <c r="D67" s="199">
        <v>17898.86</v>
      </c>
      <c r="E67" s="199">
        <v>4313.83</v>
      </c>
      <c r="F67" s="199">
        <v>0</v>
      </c>
      <c r="G67" s="199">
        <v>61664.02</v>
      </c>
      <c r="H67" s="199">
        <v>21851.08</v>
      </c>
      <c r="I67" s="199">
        <v>14233.39</v>
      </c>
      <c r="J67" s="199">
        <v>4664.28</v>
      </c>
      <c r="K67" s="199">
        <v>1554.76</v>
      </c>
      <c r="L67" s="199">
        <v>0</v>
      </c>
      <c r="M67" s="199">
        <v>390000.44000000006</v>
      </c>
    </row>
    <row r="68" spans="1:13">
      <c r="A68" t="s">
        <v>717</v>
      </c>
      <c r="B68" t="s">
        <v>2004</v>
      </c>
      <c r="C68" s="199">
        <v>256721.42</v>
      </c>
      <c r="D68" s="199">
        <v>15638.89</v>
      </c>
      <c r="E68" s="199">
        <v>1453.61</v>
      </c>
      <c r="F68" s="199">
        <v>0</v>
      </c>
      <c r="G68" s="199">
        <v>45879.27</v>
      </c>
      <c r="H68" s="199">
        <v>21179.13</v>
      </c>
      <c r="I68" s="199">
        <v>15202.35</v>
      </c>
      <c r="J68" s="199">
        <v>11740.66</v>
      </c>
      <c r="K68" s="199">
        <v>1442.88</v>
      </c>
      <c r="L68" s="199">
        <v>9697.34</v>
      </c>
      <c r="M68" s="199">
        <v>378955.55</v>
      </c>
    </row>
    <row r="69" spans="1:13">
      <c r="A69" t="s">
        <v>251</v>
      </c>
      <c r="B69" t="s">
        <v>1764</v>
      </c>
      <c r="C69" s="199">
        <v>433443.99</v>
      </c>
      <c r="D69" s="199">
        <v>34080.839999999997</v>
      </c>
      <c r="E69" s="199">
        <v>10882.89</v>
      </c>
      <c r="F69" s="199">
        <v>0</v>
      </c>
      <c r="G69" s="199">
        <v>79248.929999999993</v>
      </c>
      <c r="H69" s="199">
        <v>37177.99</v>
      </c>
      <c r="I69" s="199">
        <v>26581.53</v>
      </c>
      <c r="J69" s="199">
        <v>28571.23</v>
      </c>
      <c r="K69" s="199">
        <v>2545.7199999999998</v>
      </c>
      <c r="L69" s="199">
        <v>8009.38</v>
      </c>
      <c r="M69" s="199">
        <v>660542.49999999988</v>
      </c>
    </row>
    <row r="70" spans="1:13">
      <c r="A70" t="s">
        <v>386</v>
      </c>
      <c r="B70" t="s">
        <v>1835</v>
      </c>
      <c r="C70" s="199">
        <v>21756.35</v>
      </c>
      <c r="D70" s="199">
        <v>0</v>
      </c>
      <c r="E70" s="199">
        <v>0</v>
      </c>
      <c r="F70" s="199">
        <v>0</v>
      </c>
      <c r="G70" s="199">
        <v>1646.19</v>
      </c>
      <c r="H70" s="199">
        <v>723.96</v>
      </c>
      <c r="I70" s="199">
        <v>386</v>
      </c>
      <c r="J70" s="199">
        <v>114.94</v>
      </c>
      <c r="K70" s="199">
        <v>0</v>
      </c>
      <c r="L70" s="199">
        <v>0</v>
      </c>
      <c r="M70" s="199">
        <v>24627.439999999995</v>
      </c>
    </row>
    <row r="71" spans="1:13">
      <c r="A71" t="s">
        <v>529</v>
      </c>
      <c r="B71" t="s">
        <v>1905</v>
      </c>
      <c r="C71" s="199">
        <v>146290.29</v>
      </c>
      <c r="D71" s="199">
        <v>10967.14</v>
      </c>
      <c r="E71" s="199">
        <v>5505.01</v>
      </c>
      <c r="F71" s="199">
        <v>0</v>
      </c>
      <c r="G71" s="199">
        <v>27248.17</v>
      </c>
      <c r="H71" s="199">
        <v>8085.97</v>
      </c>
      <c r="I71" s="199">
        <v>847.05</v>
      </c>
      <c r="J71" s="199">
        <v>503.94</v>
      </c>
      <c r="K71" s="199">
        <v>862.36</v>
      </c>
      <c r="L71" s="199">
        <v>5460.6</v>
      </c>
      <c r="M71" s="199">
        <v>205770.52999999997</v>
      </c>
    </row>
    <row r="72" spans="1:13">
      <c r="A72" t="s">
        <v>570</v>
      </c>
      <c r="B72" t="s">
        <v>1926</v>
      </c>
      <c r="C72" s="199">
        <v>1818390.12</v>
      </c>
      <c r="D72" s="199">
        <v>96444.65</v>
      </c>
      <c r="E72" s="199">
        <v>9958.9599999999991</v>
      </c>
      <c r="F72" s="199">
        <v>0</v>
      </c>
      <c r="G72" s="199">
        <v>392184.38</v>
      </c>
      <c r="H72" s="199">
        <v>94948.09</v>
      </c>
      <c r="I72" s="199">
        <v>19531.13</v>
      </c>
      <c r="J72" s="199">
        <v>117401.84</v>
      </c>
      <c r="K72" s="199">
        <v>10503</v>
      </c>
      <c r="L72" s="199">
        <v>0</v>
      </c>
      <c r="M72" s="199">
        <v>2559362.1699999995</v>
      </c>
    </row>
    <row r="73" spans="1:13">
      <c r="A73" t="s">
        <v>390</v>
      </c>
      <c r="B73" t="s">
        <v>1837</v>
      </c>
      <c r="C73" s="199">
        <v>247422.32</v>
      </c>
      <c r="D73" s="199">
        <v>15496.44</v>
      </c>
      <c r="E73" s="199">
        <v>2075.4899999999998</v>
      </c>
      <c r="F73" s="199">
        <v>0</v>
      </c>
      <c r="G73" s="199">
        <v>47405.4</v>
      </c>
      <c r="H73" s="199">
        <v>14016.8</v>
      </c>
      <c r="I73" s="199">
        <v>3757.31</v>
      </c>
      <c r="J73" s="199">
        <v>5958.4</v>
      </c>
      <c r="K73" s="199">
        <v>1435.22</v>
      </c>
      <c r="L73" s="199">
        <v>4569.13</v>
      </c>
      <c r="M73" s="199">
        <v>342136.51</v>
      </c>
    </row>
    <row r="74" spans="1:13">
      <c r="A74" t="s">
        <v>307</v>
      </c>
      <c r="B74" t="s">
        <v>1792</v>
      </c>
      <c r="C74" s="199">
        <v>97508.41</v>
      </c>
      <c r="D74" s="199">
        <v>28818.27</v>
      </c>
      <c r="E74" s="199">
        <v>5915.89</v>
      </c>
      <c r="F74" s="199">
        <v>0</v>
      </c>
      <c r="G74" s="199">
        <v>27017.7</v>
      </c>
      <c r="H74" s="199">
        <v>11643.03</v>
      </c>
      <c r="I74" s="199">
        <v>7286.56</v>
      </c>
      <c r="J74" s="199">
        <v>3289.01</v>
      </c>
      <c r="K74" s="199">
        <v>719.37</v>
      </c>
      <c r="L74" s="199">
        <v>1593.45</v>
      </c>
      <c r="M74" s="199">
        <v>183791.69000000003</v>
      </c>
    </row>
    <row r="75" spans="1:13">
      <c r="A75" t="s">
        <v>703</v>
      </c>
      <c r="B75" t="s">
        <v>1997</v>
      </c>
      <c r="C75" s="199">
        <v>19423.78</v>
      </c>
      <c r="D75" s="199">
        <v>0</v>
      </c>
      <c r="E75" s="199">
        <v>0</v>
      </c>
      <c r="F75" s="199">
        <v>0</v>
      </c>
      <c r="G75" s="199">
        <v>1182.5899999999999</v>
      </c>
      <c r="H75" s="199">
        <v>497.81</v>
      </c>
      <c r="I75" s="199">
        <v>347.7</v>
      </c>
      <c r="J75" s="199">
        <v>0</v>
      </c>
      <c r="K75" s="199">
        <v>0</v>
      </c>
      <c r="L75" s="199">
        <v>0</v>
      </c>
      <c r="M75" s="199">
        <v>21451.88</v>
      </c>
    </row>
    <row r="76" spans="1:13">
      <c r="A76" t="s">
        <v>193</v>
      </c>
      <c r="B76" t="s">
        <v>1733</v>
      </c>
      <c r="C76" s="199">
        <v>42623.7</v>
      </c>
      <c r="D76" s="199">
        <v>1422.54</v>
      </c>
      <c r="E76" s="199">
        <v>1311.04</v>
      </c>
      <c r="F76" s="199">
        <v>0</v>
      </c>
      <c r="G76" s="199">
        <v>0</v>
      </c>
      <c r="H76" s="199">
        <v>2717.64</v>
      </c>
      <c r="I76" s="199">
        <v>1777.77</v>
      </c>
      <c r="J76" s="199">
        <v>3034.65</v>
      </c>
      <c r="K76" s="199">
        <v>184.78</v>
      </c>
      <c r="L76" s="199">
        <v>0</v>
      </c>
      <c r="M76" s="199">
        <v>53072.119999999995</v>
      </c>
    </row>
    <row r="77" spans="1:13">
      <c r="A77" t="s">
        <v>342</v>
      </c>
      <c r="B77" t="s">
        <v>1810</v>
      </c>
      <c r="C77" s="199">
        <v>364499.13</v>
      </c>
      <c r="D77" s="199">
        <v>43999.87</v>
      </c>
      <c r="E77" s="199">
        <v>14715.66</v>
      </c>
      <c r="F77" s="199">
        <v>0</v>
      </c>
      <c r="G77" s="199">
        <v>85776.09</v>
      </c>
      <c r="H77" s="199">
        <v>13974.86</v>
      </c>
      <c r="I77" s="199">
        <v>0</v>
      </c>
      <c r="J77" s="199">
        <v>9583.7000000000007</v>
      </c>
      <c r="K77" s="199">
        <v>2154.91</v>
      </c>
      <c r="L77" s="199">
        <v>5111.1899999999996</v>
      </c>
      <c r="M77" s="199">
        <v>539815.40999999992</v>
      </c>
    </row>
    <row r="78" spans="1:13">
      <c r="A78" t="s">
        <v>291</v>
      </c>
      <c r="B78" t="s">
        <v>1784</v>
      </c>
      <c r="C78" s="199">
        <v>213496</v>
      </c>
      <c r="D78" s="199">
        <v>19585.84</v>
      </c>
      <c r="E78" s="199">
        <v>4549.59</v>
      </c>
      <c r="F78" s="199">
        <v>0</v>
      </c>
      <c r="G78" s="199">
        <v>39270.6</v>
      </c>
      <c r="H78" s="199">
        <v>16347.29</v>
      </c>
      <c r="I78" s="199">
        <v>12627.65</v>
      </c>
      <c r="J78" s="199">
        <v>11773.81</v>
      </c>
      <c r="K78" s="199">
        <v>1240.94</v>
      </c>
      <c r="L78" s="199">
        <v>0</v>
      </c>
      <c r="M78" s="199">
        <v>318891.71999999997</v>
      </c>
    </row>
    <row r="79" spans="1:13">
      <c r="A79" t="s">
        <v>1542</v>
      </c>
      <c r="B79" t="s">
        <v>1633</v>
      </c>
      <c r="C79" s="199"/>
      <c r="D79" s="199"/>
      <c r="E79" s="199"/>
      <c r="F79" s="199"/>
      <c r="G79" s="199"/>
      <c r="H79" s="199"/>
      <c r="I79" s="199"/>
      <c r="J79" s="199"/>
      <c r="K79" s="199"/>
      <c r="L79" s="199"/>
      <c r="M79" s="199"/>
    </row>
    <row r="80" spans="1:13">
      <c r="A80" t="s">
        <v>766</v>
      </c>
      <c r="B80" t="s">
        <v>1634</v>
      </c>
      <c r="C80" s="199">
        <v>0</v>
      </c>
      <c r="D80" s="199">
        <v>0</v>
      </c>
      <c r="E80" s="199">
        <v>0</v>
      </c>
      <c r="F80" s="199">
        <v>0</v>
      </c>
      <c r="G80" s="199">
        <v>0</v>
      </c>
      <c r="H80" s="199">
        <v>0</v>
      </c>
      <c r="I80" s="199">
        <v>0</v>
      </c>
      <c r="J80" s="199">
        <v>0</v>
      </c>
      <c r="K80" s="199">
        <v>0</v>
      </c>
      <c r="L80" s="199">
        <v>0</v>
      </c>
      <c r="M80" s="199">
        <v>0</v>
      </c>
    </row>
    <row r="81" spans="1:13">
      <c r="A81" t="s">
        <v>768</v>
      </c>
      <c r="B81" t="s">
        <v>1635</v>
      </c>
      <c r="C81" s="199">
        <v>0</v>
      </c>
      <c r="D81" s="199">
        <v>0</v>
      </c>
      <c r="E81" s="199">
        <v>0</v>
      </c>
      <c r="F81" s="199">
        <v>0</v>
      </c>
      <c r="G81" s="199">
        <v>0</v>
      </c>
      <c r="H81" s="199">
        <v>0</v>
      </c>
      <c r="I81" s="199">
        <v>0</v>
      </c>
      <c r="J81" s="199">
        <v>0</v>
      </c>
      <c r="K81" s="199">
        <v>0</v>
      </c>
      <c r="L81" s="199">
        <v>0</v>
      </c>
      <c r="M81" s="199">
        <v>0</v>
      </c>
    </row>
    <row r="82" spans="1:13">
      <c r="A82" t="s">
        <v>761</v>
      </c>
      <c r="B82" t="s">
        <v>1636</v>
      </c>
      <c r="C82" s="199">
        <v>0</v>
      </c>
      <c r="D82" s="199">
        <v>0</v>
      </c>
      <c r="E82" s="199">
        <v>0</v>
      </c>
      <c r="F82" s="199">
        <v>0</v>
      </c>
      <c r="G82" s="199">
        <v>0</v>
      </c>
      <c r="H82" s="199">
        <v>0</v>
      </c>
      <c r="I82" s="199">
        <v>0</v>
      </c>
      <c r="J82" s="199">
        <v>0</v>
      </c>
      <c r="K82" s="199">
        <v>0</v>
      </c>
      <c r="L82" s="199">
        <v>0</v>
      </c>
      <c r="M82" s="199">
        <v>0</v>
      </c>
    </row>
    <row r="83" spans="1:13">
      <c r="A83" t="s">
        <v>767</v>
      </c>
      <c r="B83" t="s">
        <v>1637</v>
      </c>
      <c r="C83" s="199">
        <v>0</v>
      </c>
      <c r="D83" s="199">
        <v>0</v>
      </c>
      <c r="E83" s="199">
        <v>0</v>
      </c>
      <c r="F83" s="199">
        <v>0</v>
      </c>
      <c r="G83" s="199">
        <v>0</v>
      </c>
      <c r="H83" s="199">
        <v>0</v>
      </c>
      <c r="I83" s="199">
        <v>0</v>
      </c>
      <c r="J83" s="199">
        <v>0</v>
      </c>
      <c r="K83" s="199">
        <v>0</v>
      </c>
      <c r="L83" s="199">
        <v>0</v>
      </c>
      <c r="M83" s="199">
        <v>0</v>
      </c>
    </row>
    <row r="84" spans="1:13">
      <c r="A84" t="s">
        <v>764</v>
      </c>
      <c r="B84" t="s">
        <v>1653</v>
      </c>
      <c r="C84" s="199">
        <v>0</v>
      </c>
      <c r="D84" s="199">
        <v>0</v>
      </c>
      <c r="E84" s="199">
        <v>0</v>
      </c>
      <c r="F84" s="199">
        <v>0</v>
      </c>
      <c r="G84" s="199">
        <v>0</v>
      </c>
      <c r="H84" s="199">
        <v>0</v>
      </c>
      <c r="I84" s="199">
        <v>0</v>
      </c>
      <c r="J84" s="199">
        <v>0</v>
      </c>
      <c r="K84" s="199">
        <v>0</v>
      </c>
      <c r="L84" s="199">
        <v>0</v>
      </c>
      <c r="M84" s="199">
        <v>0</v>
      </c>
    </row>
    <row r="85" spans="1:13">
      <c r="A85" t="s">
        <v>763</v>
      </c>
      <c r="B85" t="s">
        <v>1654</v>
      </c>
      <c r="C85" s="199">
        <v>0</v>
      </c>
      <c r="D85" s="199">
        <v>0</v>
      </c>
      <c r="E85" s="199">
        <v>0</v>
      </c>
      <c r="F85" s="199">
        <v>0</v>
      </c>
      <c r="G85" s="199">
        <v>0</v>
      </c>
      <c r="H85" s="199">
        <v>0</v>
      </c>
      <c r="I85" s="199">
        <v>0</v>
      </c>
      <c r="J85" s="199">
        <v>0</v>
      </c>
      <c r="K85" s="199">
        <v>0</v>
      </c>
      <c r="L85" s="199">
        <v>0</v>
      </c>
      <c r="M85" s="199">
        <v>0</v>
      </c>
    </row>
    <row r="86" spans="1:13">
      <c r="A86" t="s">
        <v>762</v>
      </c>
      <c r="B86" t="s">
        <v>1638</v>
      </c>
      <c r="C86" s="199">
        <v>0</v>
      </c>
      <c r="D86" s="199">
        <v>0</v>
      </c>
      <c r="E86" s="199">
        <v>0</v>
      </c>
      <c r="F86" s="199">
        <v>0</v>
      </c>
      <c r="G86" s="199">
        <v>0</v>
      </c>
      <c r="H86" s="199">
        <v>0</v>
      </c>
      <c r="I86" s="199">
        <v>0</v>
      </c>
      <c r="J86" s="199">
        <v>0</v>
      </c>
      <c r="K86" s="199">
        <v>0</v>
      </c>
      <c r="L86" s="199">
        <v>0</v>
      </c>
      <c r="M86" s="199">
        <v>0</v>
      </c>
    </row>
    <row r="87" spans="1:13">
      <c r="A87" t="s">
        <v>760</v>
      </c>
      <c r="B87" t="s">
        <v>1651</v>
      </c>
      <c r="C87" s="199">
        <v>0</v>
      </c>
      <c r="D87" s="199">
        <v>0</v>
      </c>
      <c r="E87" s="199">
        <v>0</v>
      </c>
      <c r="F87" s="199">
        <v>0</v>
      </c>
      <c r="G87" s="199">
        <v>0</v>
      </c>
      <c r="H87" s="199">
        <v>0</v>
      </c>
      <c r="I87" s="199">
        <v>0</v>
      </c>
      <c r="J87" s="199">
        <v>0</v>
      </c>
      <c r="K87" s="199">
        <v>0</v>
      </c>
      <c r="L87" s="199">
        <v>0</v>
      </c>
      <c r="M87" s="199">
        <v>0</v>
      </c>
    </row>
    <row r="88" spans="1:13">
      <c r="A88" t="s">
        <v>765</v>
      </c>
      <c r="B88" t="s">
        <v>1652</v>
      </c>
      <c r="C88" s="199">
        <v>0</v>
      </c>
      <c r="D88" s="199">
        <v>0</v>
      </c>
      <c r="E88" s="199">
        <v>0</v>
      </c>
      <c r="F88" s="199">
        <v>0</v>
      </c>
      <c r="G88" s="199">
        <v>0</v>
      </c>
      <c r="H88" s="199">
        <v>0</v>
      </c>
      <c r="I88" s="199">
        <v>0</v>
      </c>
      <c r="J88" s="199">
        <v>0</v>
      </c>
      <c r="K88" s="199">
        <v>0</v>
      </c>
      <c r="L88" s="199">
        <v>0</v>
      </c>
      <c r="M88" s="199">
        <v>0</v>
      </c>
    </row>
    <row r="89" spans="1:13">
      <c r="A89" t="s">
        <v>418</v>
      </c>
      <c r="B89" t="s">
        <v>1851</v>
      </c>
      <c r="C89" s="199">
        <v>5808.3</v>
      </c>
      <c r="D89" s="199">
        <v>0</v>
      </c>
      <c r="E89" s="199">
        <v>0</v>
      </c>
      <c r="F89" s="199">
        <v>0</v>
      </c>
      <c r="G89" s="199">
        <v>561.4</v>
      </c>
      <c r="H89" s="199">
        <v>307.88</v>
      </c>
      <c r="I89" s="199">
        <v>264.99</v>
      </c>
      <c r="J89" s="199">
        <v>38.299999999999997</v>
      </c>
      <c r="K89" s="199">
        <v>22.97</v>
      </c>
      <c r="L89" s="199">
        <v>341.58</v>
      </c>
      <c r="M89" s="199">
        <v>7345.42</v>
      </c>
    </row>
    <row r="90" spans="1:13">
      <c r="A90" t="s">
        <v>564</v>
      </c>
      <c r="B90" t="s">
        <v>1923</v>
      </c>
      <c r="C90" s="199">
        <v>1885744.12</v>
      </c>
      <c r="D90" s="199">
        <v>122957.89</v>
      </c>
      <c r="E90" s="199">
        <v>2750.91</v>
      </c>
      <c r="F90" s="199">
        <v>0</v>
      </c>
      <c r="G90" s="199">
        <v>339303.51</v>
      </c>
      <c r="H90" s="199">
        <v>100918.05</v>
      </c>
      <c r="I90" s="199">
        <v>43410.93</v>
      </c>
      <c r="J90" s="199">
        <v>116606.57</v>
      </c>
      <c r="K90" s="199">
        <v>10367.44</v>
      </c>
      <c r="L90" s="199">
        <v>6232.03</v>
      </c>
      <c r="M90" s="199">
        <v>2628291.4499999993</v>
      </c>
    </row>
    <row r="91" spans="1:13">
      <c r="A91" t="s">
        <v>222</v>
      </c>
      <c r="B91" t="s">
        <v>1749</v>
      </c>
      <c r="C91" s="199">
        <v>1754274.53</v>
      </c>
      <c r="D91" s="199">
        <v>194059.54</v>
      </c>
      <c r="E91" s="199">
        <v>17474.05</v>
      </c>
      <c r="F91" s="199">
        <v>95673.42</v>
      </c>
      <c r="G91" s="199">
        <v>384196.86</v>
      </c>
      <c r="H91" s="199">
        <v>130564.24</v>
      </c>
      <c r="I91" s="199">
        <v>66986.399999999994</v>
      </c>
      <c r="J91" s="199">
        <v>106198.97</v>
      </c>
      <c r="K91" s="199">
        <v>10687.29</v>
      </c>
      <c r="L91" s="199">
        <v>11303.97</v>
      </c>
      <c r="M91" s="199">
        <v>2771419.2700000005</v>
      </c>
    </row>
    <row r="92" spans="1:13">
      <c r="A92" t="s">
        <v>632</v>
      </c>
      <c r="B92" t="s">
        <v>1958</v>
      </c>
      <c r="C92" s="199">
        <v>4229.09</v>
      </c>
      <c r="D92" s="199">
        <v>0</v>
      </c>
      <c r="E92" s="199">
        <v>0</v>
      </c>
      <c r="F92" s="199">
        <v>0</v>
      </c>
      <c r="G92" s="199">
        <v>349.46</v>
      </c>
      <c r="H92" s="199">
        <v>340.04</v>
      </c>
      <c r="I92" s="199">
        <v>156.24</v>
      </c>
      <c r="J92" s="199">
        <v>0</v>
      </c>
      <c r="K92" s="199">
        <v>0</v>
      </c>
      <c r="L92" s="199">
        <v>0</v>
      </c>
      <c r="M92" s="199">
        <v>5074.83</v>
      </c>
    </row>
    <row r="93" spans="1:13">
      <c r="A93" t="s">
        <v>340</v>
      </c>
      <c r="B93" t="s">
        <v>1809</v>
      </c>
      <c r="C93" s="199">
        <v>1867661.54</v>
      </c>
      <c r="D93" s="199">
        <v>119512.41</v>
      </c>
      <c r="E93" s="199">
        <v>11495.77</v>
      </c>
      <c r="F93" s="199">
        <v>0</v>
      </c>
      <c r="G93" s="199">
        <v>350033.83</v>
      </c>
      <c r="H93" s="199">
        <v>164213.97</v>
      </c>
      <c r="I93" s="199">
        <v>103602.57</v>
      </c>
      <c r="J93" s="199">
        <v>188764.91</v>
      </c>
      <c r="K93" s="199">
        <v>10464.74</v>
      </c>
      <c r="L93" s="199">
        <v>14189.14</v>
      </c>
      <c r="M93" s="199">
        <v>2829938.8800000004</v>
      </c>
    </row>
    <row r="94" spans="1:13">
      <c r="A94" t="s">
        <v>673</v>
      </c>
      <c r="B94" t="s">
        <v>1981</v>
      </c>
      <c r="C94" s="199">
        <v>365416.66</v>
      </c>
      <c r="D94" s="199">
        <v>33847.74</v>
      </c>
      <c r="E94" s="199">
        <v>2630.27</v>
      </c>
      <c r="F94" s="199">
        <v>0</v>
      </c>
      <c r="G94" s="199">
        <v>79132.509999999995</v>
      </c>
      <c r="H94" s="199">
        <v>24854.48</v>
      </c>
      <c r="I94" s="199">
        <v>13907.99</v>
      </c>
      <c r="J94" s="199">
        <v>13528.06</v>
      </c>
      <c r="K94" s="199">
        <v>2141.56</v>
      </c>
      <c r="L94" s="199">
        <v>12485.68</v>
      </c>
      <c r="M94" s="199">
        <v>547944.95000000007</v>
      </c>
    </row>
    <row r="95" spans="1:13">
      <c r="A95" t="s">
        <v>533</v>
      </c>
      <c r="B95" t="s">
        <v>1907</v>
      </c>
      <c r="C95" s="199">
        <v>321121.49</v>
      </c>
      <c r="D95" s="199">
        <v>30395.759999999998</v>
      </c>
      <c r="E95" s="199">
        <v>6297.71</v>
      </c>
      <c r="F95" s="199">
        <v>0</v>
      </c>
      <c r="G95" s="199">
        <v>51830.239999999998</v>
      </c>
      <c r="H95" s="199">
        <v>20684.150000000001</v>
      </c>
      <c r="I95" s="199">
        <v>12024.15</v>
      </c>
      <c r="J95" s="199">
        <v>20857.41</v>
      </c>
      <c r="K95" s="199">
        <v>1912.82</v>
      </c>
      <c r="L95" s="199">
        <v>0</v>
      </c>
      <c r="M95" s="199">
        <v>465123.73000000004</v>
      </c>
    </row>
    <row r="96" spans="1:13">
      <c r="A96" t="s">
        <v>183</v>
      </c>
      <c r="B96" t="s">
        <v>1728</v>
      </c>
      <c r="C96" s="199">
        <v>66584.009999999995</v>
      </c>
      <c r="D96" s="199">
        <v>6304.58</v>
      </c>
      <c r="E96" s="199">
        <v>447.27</v>
      </c>
      <c r="F96" s="199">
        <v>0</v>
      </c>
      <c r="G96" s="199">
        <v>12104.13</v>
      </c>
      <c r="H96" s="199">
        <v>6033.46</v>
      </c>
      <c r="I96" s="199">
        <v>3841.57</v>
      </c>
      <c r="J96" s="199">
        <v>4449.66</v>
      </c>
      <c r="K96" s="199">
        <v>378.34</v>
      </c>
      <c r="L96" s="199">
        <v>0</v>
      </c>
      <c r="M96" s="199">
        <v>100143.02000000002</v>
      </c>
    </row>
    <row r="97" spans="1:13">
      <c r="A97" t="s">
        <v>525</v>
      </c>
      <c r="B97" t="s">
        <v>1903</v>
      </c>
      <c r="C97" s="199">
        <v>576353.37</v>
      </c>
      <c r="D97" s="199">
        <v>37565.86</v>
      </c>
      <c r="E97" s="199">
        <v>10873.42</v>
      </c>
      <c r="F97" s="199">
        <v>0</v>
      </c>
      <c r="G97" s="199">
        <v>120265.29</v>
      </c>
      <c r="H97" s="199">
        <v>52865.279999999999</v>
      </c>
      <c r="I97" s="199">
        <v>33579.85</v>
      </c>
      <c r="J97" s="199">
        <v>30712.52</v>
      </c>
      <c r="K97" s="199">
        <v>3229.4</v>
      </c>
      <c r="L97" s="199">
        <v>0</v>
      </c>
      <c r="M97" s="199">
        <v>865444.99000000011</v>
      </c>
    </row>
    <row r="98" spans="1:13">
      <c r="A98" t="s">
        <v>606</v>
      </c>
      <c r="B98" t="s">
        <v>1944</v>
      </c>
      <c r="C98" s="199">
        <v>62408.66</v>
      </c>
      <c r="D98" s="199">
        <v>9830.36</v>
      </c>
      <c r="E98" s="199">
        <v>2330.5500000000002</v>
      </c>
      <c r="F98" s="199">
        <v>0</v>
      </c>
      <c r="G98" s="199">
        <v>11773.04</v>
      </c>
      <c r="H98" s="199">
        <v>2110.71</v>
      </c>
      <c r="I98" s="199">
        <v>0</v>
      </c>
      <c r="J98" s="199">
        <v>109.92</v>
      </c>
      <c r="K98" s="199">
        <v>379.13</v>
      </c>
      <c r="L98" s="199">
        <v>5347.68</v>
      </c>
      <c r="M98" s="199">
        <v>94290.050000000017</v>
      </c>
    </row>
    <row r="99" spans="1:13">
      <c r="A99" t="s">
        <v>697</v>
      </c>
      <c r="B99" t="s">
        <v>1994</v>
      </c>
      <c r="C99" s="199">
        <v>19869.52</v>
      </c>
      <c r="D99" s="199">
        <v>807.22</v>
      </c>
      <c r="E99" s="199">
        <v>0</v>
      </c>
      <c r="F99" s="199">
        <v>0</v>
      </c>
      <c r="G99" s="199">
        <v>1957.92</v>
      </c>
      <c r="H99" s="199">
        <v>649.45000000000005</v>
      </c>
      <c r="I99" s="199">
        <v>209.85</v>
      </c>
      <c r="J99" s="199">
        <v>0</v>
      </c>
      <c r="K99" s="199">
        <v>0</v>
      </c>
      <c r="L99" s="199">
        <v>0</v>
      </c>
      <c r="M99" s="199">
        <v>23493.960000000003</v>
      </c>
    </row>
    <row r="100" spans="1:13">
      <c r="A100" t="s">
        <v>404</v>
      </c>
      <c r="B100" t="s">
        <v>1844</v>
      </c>
      <c r="C100" s="199">
        <v>20195.95</v>
      </c>
      <c r="D100" s="199">
        <v>0</v>
      </c>
      <c r="E100" s="199">
        <v>0</v>
      </c>
      <c r="F100" s="199">
        <v>0</v>
      </c>
      <c r="G100" s="199">
        <v>0</v>
      </c>
      <c r="H100" s="199">
        <v>246.91</v>
      </c>
      <c r="I100" s="199">
        <v>125.84</v>
      </c>
      <c r="J100" s="199">
        <v>0</v>
      </c>
      <c r="K100" s="199">
        <v>0</v>
      </c>
      <c r="L100" s="199">
        <v>0</v>
      </c>
      <c r="M100" s="199">
        <v>20568.7</v>
      </c>
    </row>
    <row r="101" spans="1:13">
      <c r="A101" t="s">
        <v>410</v>
      </c>
      <c r="B101" t="s">
        <v>1847</v>
      </c>
      <c r="C101" s="199">
        <v>65926.91</v>
      </c>
      <c r="D101" s="199">
        <v>7523.82</v>
      </c>
      <c r="E101" s="199">
        <v>1328</v>
      </c>
      <c r="F101" s="199">
        <v>0</v>
      </c>
      <c r="G101" s="199">
        <v>0</v>
      </c>
      <c r="H101" s="199">
        <v>13852.9</v>
      </c>
      <c r="I101" s="199">
        <v>3861.47</v>
      </c>
      <c r="J101" s="199">
        <v>3357.54</v>
      </c>
      <c r="K101" s="199">
        <v>1298.9000000000001</v>
      </c>
      <c r="L101" s="199">
        <v>0</v>
      </c>
      <c r="M101" s="199">
        <v>97149.54</v>
      </c>
    </row>
    <row r="102" spans="1:13">
      <c r="A102" t="s">
        <v>295</v>
      </c>
      <c r="B102" t="s">
        <v>1786</v>
      </c>
      <c r="C102" s="199">
        <v>51807.48</v>
      </c>
      <c r="D102" s="199">
        <v>3034.34</v>
      </c>
      <c r="E102" s="199">
        <v>940.48</v>
      </c>
      <c r="F102" s="199">
        <v>0</v>
      </c>
      <c r="G102" s="199">
        <v>8220.43</v>
      </c>
      <c r="H102" s="199">
        <v>5053.1499999999996</v>
      </c>
      <c r="I102" s="199">
        <v>3153.82</v>
      </c>
      <c r="J102" s="199">
        <v>0</v>
      </c>
      <c r="K102" s="199">
        <v>289.5</v>
      </c>
      <c r="L102" s="199">
        <v>0</v>
      </c>
      <c r="M102" s="199">
        <v>72499.200000000012</v>
      </c>
    </row>
    <row r="103" spans="1:13">
      <c r="A103" t="s">
        <v>722</v>
      </c>
      <c r="B103" t="s">
        <v>2007</v>
      </c>
      <c r="C103" s="199">
        <v>263137.8</v>
      </c>
      <c r="D103" s="199">
        <v>27552.639999999999</v>
      </c>
      <c r="E103" s="199">
        <v>3607.2</v>
      </c>
      <c r="F103" s="199">
        <v>0</v>
      </c>
      <c r="G103" s="199">
        <v>57625.95</v>
      </c>
      <c r="H103" s="199">
        <v>30730.97</v>
      </c>
      <c r="I103" s="199">
        <v>16055.52</v>
      </c>
      <c r="J103" s="199">
        <v>27747.17</v>
      </c>
      <c r="K103" s="199">
        <v>1517.94</v>
      </c>
      <c r="L103" s="199">
        <v>11320.97</v>
      </c>
      <c r="M103" s="199">
        <v>439296.16000000003</v>
      </c>
    </row>
    <row r="104" spans="1:13">
      <c r="A104" t="s">
        <v>730</v>
      </c>
      <c r="B104" t="s">
        <v>2011</v>
      </c>
      <c r="C104" s="199">
        <v>104247.55</v>
      </c>
      <c r="D104" s="199">
        <v>13650.71</v>
      </c>
      <c r="E104" s="199">
        <v>2787.74</v>
      </c>
      <c r="F104" s="199">
        <v>0</v>
      </c>
      <c r="G104" s="199">
        <v>21654.91</v>
      </c>
      <c r="H104" s="199">
        <v>12218.56</v>
      </c>
      <c r="I104" s="199">
        <v>6126.89</v>
      </c>
      <c r="J104" s="199">
        <v>17337.580000000002</v>
      </c>
      <c r="K104" s="199">
        <v>609.63</v>
      </c>
      <c r="L104" s="199">
        <v>0</v>
      </c>
      <c r="M104" s="199">
        <v>178633.57</v>
      </c>
    </row>
    <row r="105" spans="1:13">
      <c r="A105" t="s">
        <v>588</v>
      </c>
      <c r="B105" t="s">
        <v>1935</v>
      </c>
      <c r="C105" s="199">
        <v>184457.22</v>
      </c>
      <c r="D105" s="199">
        <v>11106.34</v>
      </c>
      <c r="E105" s="199">
        <v>3123.98</v>
      </c>
      <c r="F105" s="199">
        <v>0</v>
      </c>
      <c r="G105" s="199">
        <v>45601.73</v>
      </c>
      <c r="H105" s="199">
        <v>11372.25</v>
      </c>
      <c r="I105" s="199">
        <v>3727.85</v>
      </c>
      <c r="J105" s="199">
        <v>2545.84</v>
      </c>
      <c r="K105" s="199">
        <v>1104.81</v>
      </c>
      <c r="L105" s="199">
        <v>0</v>
      </c>
      <c r="M105" s="199">
        <v>263040.02</v>
      </c>
    </row>
    <row r="106" spans="1:13">
      <c r="A106" t="s">
        <v>460</v>
      </c>
      <c r="B106" t="s">
        <v>1872</v>
      </c>
      <c r="C106" s="199">
        <v>19891.05</v>
      </c>
      <c r="D106" s="199">
        <v>0</v>
      </c>
      <c r="E106" s="199">
        <v>60.07</v>
      </c>
      <c r="F106" s="199">
        <v>0</v>
      </c>
      <c r="G106" s="199">
        <v>3516.28</v>
      </c>
      <c r="H106" s="199">
        <v>1185.25</v>
      </c>
      <c r="I106" s="199">
        <v>0</v>
      </c>
      <c r="J106" s="199">
        <v>0</v>
      </c>
      <c r="K106" s="199">
        <v>97.42</v>
      </c>
      <c r="L106" s="199">
        <v>1865.54</v>
      </c>
      <c r="M106" s="199">
        <v>26615.609999999997</v>
      </c>
    </row>
    <row r="107" spans="1:13">
      <c r="A107" t="s">
        <v>596</v>
      </c>
      <c r="B107" t="s">
        <v>1939</v>
      </c>
      <c r="C107" s="199">
        <v>4227.55</v>
      </c>
      <c r="D107" s="199">
        <v>0</v>
      </c>
      <c r="E107" s="199">
        <v>0</v>
      </c>
      <c r="F107" s="199">
        <v>0</v>
      </c>
      <c r="G107" s="199">
        <v>716.55</v>
      </c>
      <c r="H107" s="199">
        <v>193</v>
      </c>
      <c r="I107" s="199">
        <v>0</v>
      </c>
      <c r="J107" s="199">
        <v>0</v>
      </c>
      <c r="K107" s="199">
        <v>0</v>
      </c>
      <c r="L107" s="199">
        <v>0</v>
      </c>
      <c r="M107" s="199">
        <v>5137.1000000000004</v>
      </c>
    </row>
    <row r="108" spans="1:13">
      <c r="A108" t="s">
        <v>218</v>
      </c>
      <c r="B108" t="s">
        <v>1747</v>
      </c>
      <c r="C108" s="199">
        <v>16970.150000000001</v>
      </c>
      <c r="D108" s="199">
        <v>0</v>
      </c>
      <c r="E108" s="199">
        <v>0</v>
      </c>
      <c r="F108" s="199">
        <v>0</v>
      </c>
      <c r="G108" s="199">
        <v>0</v>
      </c>
      <c r="H108" s="199">
        <v>535.79999999999995</v>
      </c>
      <c r="I108" s="199">
        <v>0</v>
      </c>
      <c r="J108" s="199">
        <v>0</v>
      </c>
      <c r="K108" s="199">
        <v>76.31</v>
      </c>
      <c r="L108" s="199">
        <v>0</v>
      </c>
      <c r="M108" s="199">
        <v>17582.260000000002</v>
      </c>
    </row>
    <row r="109" spans="1:13">
      <c r="A109" t="s">
        <v>650</v>
      </c>
      <c r="B109" t="s">
        <v>1968</v>
      </c>
      <c r="C109" s="199">
        <v>50700.04</v>
      </c>
      <c r="D109" s="199">
        <v>0</v>
      </c>
      <c r="E109" s="199">
        <v>0</v>
      </c>
      <c r="F109" s="199">
        <v>0</v>
      </c>
      <c r="G109" s="199">
        <v>9510.4699999999993</v>
      </c>
      <c r="H109" s="199">
        <v>1357.11</v>
      </c>
      <c r="I109" s="199">
        <v>0</v>
      </c>
      <c r="J109" s="199">
        <v>0</v>
      </c>
      <c r="K109" s="199">
        <v>245.08</v>
      </c>
      <c r="L109" s="199">
        <v>3133.91</v>
      </c>
      <c r="M109" s="199">
        <v>64946.61</v>
      </c>
    </row>
    <row r="110" spans="1:13">
      <c r="A110" t="s">
        <v>454</v>
      </c>
      <c r="B110" t="s">
        <v>1869</v>
      </c>
      <c r="C110" s="199">
        <v>22399.06</v>
      </c>
      <c r="D110" s="199">
        <v>441.26</v>
      </c>
      <c r="E110" s="199">
        <v>160.88999999999999</v>
      </c>
      <c r="F110" s="199">
        <v>0</v>
      </c>
      <c r="G110" s="199">
        <v>2052.35</v>
      </c>
      <c r="H110" s="199">
        <v>613.29999999999995</v>
      </c>
      <c r="I110" s="199">
        <v>519.30999999999995</v>
      </c>
      <c r="J110" s="199">
        <v>0</v>
      </c>
      <c r="K110" s="199">
        <v>0</v>
      </c>
      <c r="L110" s="199">
        <v>0</v>
      </c>
      <c r="M110" s="199">
        <v>26186.17</v>
      </c>
    </row>
    <row r="111" spans="1:13">
      <c r="A111" t="s">
        <v>728</v>
      </c>
      <c r="B111" t="s">
        <v>2010</v>
      </c>
      <c r="C111" s="199">
        <v>81941.06</v>
      </c>
      <c r="D111" s="199">
        <v>2928.65</v>
      </c>
      <c r="E111" s="199">
        <v>0</v>
      </c>
      <c r="F111" s="199">
        <v>0</v>
      </c>
      <c r="G111" s="199">
        <v>14024.15</v>
      </c>
      <c r="H111" s="199">
        <v>8531.7000000000007</v>
      </c>
      <c r="I111" s="199">
        <v>4860.1499999999996</v>
      </c>
      <c r="J111" s="199">
        <v>8145.7</v>
      </c>
      <c r="K111" s="199">
        <v>441.13</v>
      </c>
      <c r="L111" s="199">
        <v>6074.81</v>
      </c>
      <c r="M111" s="199">
        <v>126947.34999999998</v>
      </c>
    </row>
    <row r="112" spans="1:13">
      <c r="A112" t="s">
        <v>346</v>
      </c>
      <c r="B112" t="s">
        <v>1812</v>
      </c>
      <c r="C112" s="199">
        <v>1601279.4</v>
      </c>
      <c r="D112" s="199">
        <v>71010.45</v>
      </c>
      <c r="E112" s="199">
        <v>9024.51</v>
      </c>
      <c r="F112" s="199">
        <v>66387.03</v>
      </c>
      <c r="G112" s="199">
        <v>340411.26</v>
      </c>
      <c r="H112" s="199">
        <v>144054.25</v>
      </c>
      <c r="I112" s="199">
        <v>74704.84</v>
      </c>
      <c r="J112" s="199">
        <v>195289.58</v>
      </c>
      <c r="K112" s="199">
        <v>9241.41</v>
      </c>
      <c r="L112" s="199">
        <v>7361.67</v>
      </c>
      <c r="M112" s="199">
        <v>2518764.4</v>
      </c>
    </row>
    <row r="113" spans="1:13">
      <c r="A113" t="s">
        <v>215</v>
      </c>
      <c r="B113" t="s">
        <v>1745</v>
      </c>
      <c r="C113" s="199">
        <v>170729.21</v>
      </c>
      <c r="D113" s="199">
        <v>7449.19</v>
      </c>
      <c r="E113" s="199">
        <v>1001.77</v>
      </c>
      <c r="F113" s="199">
        <v>0</v>
      </c>
      <c r="G113" s="199">
        <v>24611.72</v>
      </c>
      <c r="H113" s="199">
        <v>5377.46</v>
      </c>
      <c r="I113" s="199">
        <v>0</v>
      </c>
      <c r="J113" s="199">
        <v>2677.36</v>
      </c>
      <c r="K113" s="199">
        <v>935.2</v>
      </c>
      <c r="L113" s="199">
        <v>8256.15</v>
      </c>
      <c r="M113" s="199">
        <v>221038.05999999997</v>
      </c>
    </row>
    <row r="114" spans="1:13">
      <c r="A114" t="s">
        <v>470</v>
      </c>
      <c r="B114" t="s">
        <v>1877</v>
      </c>
      <c r="C114" s="199">
        <v>28585.02</v>
      </c>
      <c r="D114" s="199">
        <v>0</v>
      </c>
      <c r="E114" s="199">
        <v>0</v>
      </c>
      <c r="F114" s="199">
        <v>0</v>
      </c>
      <c r="G114" s="199">
        <v>6021.67</v>
      </c>
      <c r="H114" s="199">
        <v>2372.64</v>
      </c>
      <c r="I114" s="199">
        <v>1445.95</v>
      </c>
      <c r="J114" s="199">
        <v>0</v>
      </c>
      <c r="K114" s="199">
        <v>134.80000000000001</v>
      </c>
      <c r="L114" s="199">
        <v>1462.8</v>
      </c>
      <c r="M114" s="199">
        <v>40022.880000000005</v>
      </c>
    </row>
    <row r="115" spans="1:13">
      <c r="A115" t="s">
        <v>299</v>
      </c>
      <c r="B115" t="s">
        <v>1788</v>
      </c>
      <c r="C115" s="199">
        <v>110573.57</v>
      </c>
      <c r="D115" s="199">
        <v>8785.9599999999991</v>
      </c>
      <c r="E115" s="199">
        <v>2355.79</v>
      </c>
      <c r="F115" s="199">
        <v>0</v>
      </c>
      <c r="G115" s="199">
        <v>25707.23</v>
      </c>
      <c r="H115" s="199">
        <v>10665.38</v>
      </c>
      <c r="I115" s="199">
        <v>7150.08</v>
      </c>
      <c r="J115" s="199">
        <v>3236.53</v>
      </c>
      <c r="K115" s="199">
        <v>678.55</v>
      </c>
      <c r="L115" s="199">
        <v>1929.97</v>
      </c>
      <c r="M115" s="199">
        <v>171083.05999999997</v>
      </c>
    </row>
    <row r="116" spans="1:13">
      <c r="A116" t="s">
        <v>2364</v>
      </c>
      <c r="B116" t="s">
        <v>2454</v>
      </c>
      <c r="C116" s="199">
        <v>27093.42</v>
      </c>
      <c r="D116" s="199">
        <v>0</v>
      </c>
      <c r="E116" s="199">
        <v>0</v>
      </c>
      <c r="F116" s="199">
        <v>0</v>
      </c>
      <c r="G116" s="199">
        <v>3953.74</v>
      </c>
      <c r="H116" s="199">
        <v>755.51</v>
      </c>
      <c r="I116" s="199">
        <v>659.71</v>
      </c>
      <c r="J116" s="199">
        <v>1210.98</v>
      </c>
      <c r="K116" s="199">
        <v>104.83</v>
      </c>
      <c r="L116" s="199">
        <v>0</v>
      </c>
      <c r="M116" s="199">
        <v>33778.189999999995</v>
      </c>
    </row>
    <row r="117" spans="1:13">
      <c r="A117" t="s">
        <v>1554</v>
      </c>
      <c r="B117" t="s">
        <v>2021</v>
      </c>
      <c r="C117" s="199">
        <v>60505.64</v>
      </c>
      <c r="D117" s="199">
        <v>0</v>
      </c>
      <c r="E117" s="199">
        <v>0</v>
      </c>
      <c r="F117" s="199">
        <v>0</v>
      </c>
      <c r="G117" s="199">
        <v>9220.92</v>
      </c>
      <c r="H117" s="199">
        <v>3766.69</v>
      </c>
      <c r="I117" s="199">
        <v>2555.71</v>
      </c>
      <c r="J117" s="199">
        <v>3867.91</v>
      </c>
      <c r="K117" s="199">
        <v>256.64999999999998</v>
      </c>
      <c r="L117" s="199">
        <v>0</v>
      </c>
      <c r="M117" s="199">
        <v>80173.52</v>
      </c>
    </row>
    <row r="118" spans="1:13">
      <c r="A118" t="s">
        <v>1625</v>
      </c>
      <c r="B118" t="s">
        <v>2022</v>
      </c>
      <c r="C118" s="199">
        <v>48048.82</v>
      </c>
      <c r="D118" s="199">
        <v>0</v>
      </c>
      <c r="E118" s="199">
        <v>0</v>
      </c>
      <c r="F118" s="199">
        <v>0</v>
      </c>
      <c r="G118" s="199">
        <v>4666</v>
      </c>
      <c r="H118" s="199">
        <v>2073.12</v>
      </c>
      <c r="I118" s="199">
        <v>1651.99</v>
      </c>
      <c r="J118" s="199">
        <v>2427.38</v>
      </c>
      <c r="K118" s="199">
        <v>200.62</v>
      </c>
      <c r="L118" s="199">
        <v>0</v>
      </c>
      <c r="M118" s="199">
        <v>59067.93</v>
      </c>
    </row>
    <row r="119" spans="1:13">
      <c r="A119" t="s">
        <v>1687</v>
      </c>
      <c r="B119" t="s">
        <v>2024</v>
      </c>
      <c r="C119" s="199">
        <v>27294.080000000002</v>
      </c>
      <c r="D119" s="199">
        <v>0</v>
      </c>
      <c r="E119" s="199">
        <v>0</v>
      </c>
      <c r="F119" s="199">
        <v>0</v>
      </c>
      <c r="G119" s="199">
        <v>4867.93</v>
      </c>
      <c r="H119" s="199">
        <v>1794.45</v>
      </c>
      <c r="I119" s="199">
        <v>1260.92</v>
      </c>
      <c r="J119" s="199">
        <v>488.92</v>
      </c>
      <c r="K119" s="199">
        <v>111.51</v>
      </c>
      <c r="L119" s="199">
        <v>0</v>
      </c>
      <c r="M119" s="199">
        <v>35817.81</v>
      </c>
    </row>
    <row r="120" spans="1:13">
      <c r="A120" t="s">
        <v>263</v>
      </c>
      <c r="B120" t="s">
        <v>1770</v>
      </c>
      <c r="C120" s="199">
        <v>24604.07</v>
      </c>
      <c r="D120" s="199">
        <v>559.08000000000004</v>
      </c>
      <c r="E120" s="199">
        <v>245.08</v>
      </c>
      <c r="F120" s="199">
        <v>0</v>
      </c>
      <c r="G120" s="199">
        <v>2322.37</v>
      </c>
      <c r="H120" s="199">
        <v>1488.84</v>
      </c>
      <c r="I120" s="199">
        <v>828.66</v>
      </c>
      <c r="J120" s="199">
        <v>0</v>
      </c>
      <c r="K120" s="199">
        <v>0</v>
      </c>
      <c r="L120" s="199">
        <v>0</v>
      </c>
      <c r="M120" s="199">
        <v>30048.100000000002</v>
      </c>
    </row>
    <row r="121" spans="1:13">
      <c r="A121" t="s">
        <v>576</v>
      </c>
      <c r="B121" t="s">
        <v>1929</v>
      </c>
      <c r="C121" s="199">
        <v>6582.68</v>
      </c>
      <c r="D121" s="199">
        <v>0</v>
      </c>
      <c r="E121" s="199">
        <v>0</v>
      </c>
      <c r="F121" s="199">
        <v>0</v>
      </c>
      <c r="G121" s="199">
        <v>670.24</v>
      </c>
      <c r="H121" s="199">
        <v>144.6</v>
      </c>
      <c r="I121" s="199">
        <v>126.52</v>
      </c>
      <c r="J121" s="199">
        <v>0</v>
      </c>
      <c r="K121" s="199">
        <v>0</v>
      </c>
      <c r="L121" s="199">
        <v>0</v>
      </c>
      <c r="M121" s="199">
        <v>7524.0400000000009</v>
      </c>
    </row>
    <row r="122" spans="1:13">
      <c r="A122" t="s">
        <v>364</v>
      </c>
      <c r="B122" t="s">
        <v>1822</v>
      </c>
      <c r="C122" s="199">
        <v>1745978.9</v>
      </c>
      <c r="D122" s="199">
        <v>105391.44</v>
      </c>
      <c r="E122" s="199">
        <v>5608.47</v>
      </c>
      <c r="F122" s="199">
        <v>0</v>
      </c>
      <c r="G122" s="199">
        <v>225836.79999999999</v>
      </c>
      <c r="H122" s="199">
        <v>28456.23</v>
      </c>
      <c r="I122" s="199">
        <v>0</v>
      </c>
      <c r="J122" s="199">
        <v>44309.23</v>
      </c>
      <c r="K122" s="199">
        <v>9733.02</v>
      </c>
      <c r="L122" s="199">
        <v>9854.1299999999992</v>
      </c>
      <c r="M122" s="199">
        <v>2175168.2199999997</v>
      </c>
    </row>
    <row r="123" spans="1:13">
      <c r="A123" t="s">
        <v>273</v>
      </c>
      <c r="B123" t="s">
        <v>1775</v>
      </c>
      <c r="C123" s="199">
        <v>19234.349999999999</v>
      </c>
      <c r="D123" s="199">
        <v>349.63</v>
      </c>
      <c r="E123" s="199">
        <v>82</v>
      </c>
      <c r="F123" s="199">
        <v>0</v>
      </c>
      <c r="G123" s="199">
        <v>0</v>
      </c>
      <c r="H123" s="199">
        <v>331.06</v>
      </c>
      <c r="I123" s="199">
        <v>219.68</v>
      </c>
      <c r="J123" s="199">
        <v>0</v>
      </c>
      <c r="K123" s="199">
        <v>24.75</v>
      </c>
      <c r="L123" s="199">
        <v>0</v>
      </c>
      <c r="M123" s="199">
        <v>20241.47</v>
      </c>
    </row>
    <row r="124" spans="1:13">
      <c r="A124" t="s">
        <v>239</v>
      </c>
      <c r="B124" t="s">
        <v>1758</v>
      </c>
      <c r="C124" s="199">
        <v>87827.48</v>
      </c>
      <c r="D124" s="199">
        <v>2619.25</v>
      </c>
      <c r="E124" s="199">
        <v>462.58</v>
      </c>
      <c r="F124" s="199">
        <v>0</v>
      </c>
      <c r="G124" s="199">
        <v>0</v>
      </c>
      <c r="H124" s="199">
        <v>3976.35</v>
      </c>
      <c r="I124" s="199">
        <v>0</v>
      </c>
      <c r="J124" s="199">
        <v>868.49</v>
      </c>
      <c r="K124" s="199">
        <v>0</v>
      </c>
      <c r="L124" s="199">
        <v>4066.73</v>
      </c>
      <c r="M124" s="199">
        <v>99820.88</v>
      </c>
    </row>
    <row r="125" spans="1:13">
      <c r="A125" t="s">
        <v>257</v>
      </c>
      <c r="B125" t="s">
        <v>1767</v>
      </c>
      <c r="C125" s="199">
        <v>4230.62</v>
      </c>
      <c r="D125" s="199">
        <v>0</v>
      </c>
      <c r="E125" s="199">
        <v>0</v>
      </c>
      <c r="F125" s="199">
        <v>0</v>
      </c>
      <c r="G125" s="199">
        <v>498.6</v>
      </c>
      <c r="H125" s="199">
        <v>398.25</v>
      </c>
      <c r="I125" s="199">
        <v>196.07</v>
      </c>
      <c r="J125" s="199">
        <v>0</v>
      </c>
      <c r="K125" s="199">
        <v>0</v>
      </c>
      <c r="L125" s="199">
        <v>0</v>
      </c>
      <c r="M125" s="199">
        <v>5323.54</v>
      </c>
    </row>
    <row r="126" spans="1:13">
      <c r="A126" t="s">
        <v>243</v>
      </c>
      <c r="B126" t="s">
        <v>1760</v>
      </c>
      <c r="C126" s="199">
        <v>361820.61</v>
      </c>
      <c r="D126" s="199">
        <v>35810.160000000003</v>
      </c>
      <c r="E126" s="199">
        <v>5982.92</v>
      </c>
      <c r="F126" s="199">
        <v>0</v>
      </c>
      <c r="G126" s="199">
        <v>83167.16</v>
      </c>
      <c r="H126" s="199">
        <v>30979.1</v>
      </c>
      <c r="I126" s="199">
        <v>21231.21</v>
      </c>
      <c r="J126" s="199">
        <v>8113.54</v>
      </c>
      <c r="K126" s="199">
        <v>2149.0100000000002</v>
      </c>
      <c r="L126" s="199">
        <v>17752.669999999998</v>
      </c>
      <c r="M126" s="199">
        <v>567006.38</v>
      </c>
    </row>
    <row r="127" spans="1:13">
      <c r="A127" t="s">
        <v>177</v>
      </c>
      <c r="B127" t="s">
        <v>1725</v>
      </c>
      <c r="C127" s="199">
        <v>1417279.03</v>
      </c>
      <c r="D127" s="199">
        <v>81380.460000000006</v>
      </c>
      <c r="E127" s="199">
        <v>11146.35</v>
      </c>
      <c r="F127" s="199">
        <v>69269.119999999995</v>
      </c>
      <c r="G127" s="199">
        <v>250990.47</v>
      </c>
      <c r="H127" s="199">
        <v>108102.9</v>
      </c>
      <c r="I127" s="199">
        <v>57713.8</v>
      </c>
      <c r="J127" s="199">
        <v>86994.23</v>
      </c>
      <c r="K127" s="199">
        <v>8294.2800000000007</v>
      </c>
      <c r="L127" s="199">
        <v>3666.95</v>
      </c>
      <c r="M127" s="199">
        <v>2094837.5899999999</v>
      </c>
    </row>
    <row r="128" spans="1:13">
      <c r="A128" t="s">
        <v>370</v>
      </c>
      <c r="B128" t="s">
        <v>1825</v>
      </c>
      <c r="C128" s="199">
        <v>2294795.23</v>
      </c>
      <c r="D128" s="199">
        <v>176770.61</v>
      </c>
      <c r="E128" s="199">
        <v>32935.06</v>
      </c>
      <c r="F128" s="199">
        <v>0</v>
      </c>
      <c r="G128" s="199">
        <v>423318.71</v>
      </c>
      <c r="H128" s="199">
        <v>165181.34</v>
      </c>
      <c r="I128" s="199">
        <v>71142.39</v>
      </c>
      <c r="J128" s="199">
        <v>221417.83</v>
      </c>
      <c r="K128" s="199">
        <v>13156.31</v>
      </c>
      <c r="L128" s="199">
        <v>0</v>
      </c>
      <c r="M128" s="199">
        <v>3398717.48</v>
      </c>
    </row>
    <row r="129" spans="1:13">
      <c r="A129" t="s">
        <v>638</v>
      </c>
      <c r="B129" t="s">
        <v>1962</v>
      </c>
      <c r="C129" s="199">
        <v>50956.43</v>
      </c>
      <c r="D129" s="199">
        <v>5091.3100000000004</v>
      </c>
      <c r="E129" s="199">
        <v>0</v>
      </c>
      <c r="F129" s="199">
        <v>0</v>
      </c>
      <c r="G129" s="199">
        <v>15314.28</v>
      </c>
      <c r="H129" s="199">
        <v>5840.08</v>
      </c>
      <c r="I129" s="199">
        <v>3350.89</v>
      </c>
      <c r="J129" s="199">
        <v>0</v>
      </c>
      <c r="K129" s="199">
        <v>474.94</v>
      </c>
      <c r="L129" s="199">
        <v>2065.3000000000002</v>
      </c>
      <c r="M129" s="199">
        <v>83093.23000000001</v>
      </c>
    </row>
    <row r="130" spans="1:13">
      <c r="A130" t="s">
        <v>181</v>
      </c>
      <c r="B130" t="s">
        <v>1727</v>
      </c>
      <c r="C130" s="199">
        <v>107593.88</v>
      </c>
      <c r="D130" s="199">
        <v>7270.41</v>
      </c>
      <c r="E130" s="199">
        <v>1240.94</v>
      </c>
      <c r="F130" s="199">
        <v>0</v>
      </c>
      <c r="G130" s="199">
        <v>19885.310000000001</v>
      </c>
      <c r="H130" s="199">
        <v>9910.01</v>
      </c>
      <c r="I130" s="199">
        <v>6351.26</v>
      </c>
      <c r="J130" s="199">
        <v>8586.23</v>
      </c>
      <c r="K130" s="199">
        <v>602.16</v>
      </c>
      <c r="L130" s="199">
        <v>1651.93</v>
      </c>
      <c r="M130" s="199">
        <v>163092.13000000003</v>
      </c>
    </row>
    <row r="131" spans="1:13">
      <c r="A131" t="s">
        <v>392</v>
      </c>
      <c r="B131" t="s">
        <v>1838</v>
      </c>
      <c r="C131" s="199">
        <v>46296.33</v>
      </c>
      <c r="D131" s="199">
        <v>2715.75</v>
      </c>
      <c r="E131" s="199">
        <v>1410.72</v>
      </c>
      <c r="F131" s="199">
        <v>0</v>
      </c>
      <c r="G131" s="199">
        <v>7614.46</v>
      </c>
      <c r="H131" s="199">
        <v>3037.41</v>
      </c>
      <c r="I131" s="199">
        <v>1421.44</v>
      </c>
      <c r="J131" s="199">
        <v>1115.0999999999999</v>
      </c>
      <c r="K131" s="199">
        <v>242.01</v>
      </c>
      <c r="L131" s="199">
        <v>2043.32</v>
      </c>
      <c r="M131" s="199">
        <v>65896.540000000008</v>
      </c>
    </row>
    <row r="132" spans="1:13">
      <c r="A132" t="s">
        <v>406</v>
      </c>
      <c r="B132" t="s">
        <v>1845</v>
      </c>
      <c r="C132" s="199">
        <v>20199.150000000001</v>
      </c>
      <c r="D132" s="199">
        <v>0</v>
      </c>
      <c r="E132" s="199">
        <v>0</v>
      </c>
      <c r="F132" s="199">
        <v>0</v>
      </c>
      <c r="G132" s="199">
        <v>0</v>
      </c>
      <c r="H132" s="199">
        <v>474.72</v>
      </c>
      <c r="I132" s="199">
        <v>0</v>
      </c>
      <c r="J132" s="199">
        <v>0</v>
      </c>
      <c r="K132" s="199">
        <v>33.46</v>
      </c>
      <c r="L132" s="199">
        <v>0</v>
      </c>
      <c r="M132" s="199">
        <v>20707.330000000002</v>
      </c>
    </row>
    <row r="133" spans="1:13">
      <c r="A133" t="s">
        <v>550</v>
      </c>
      <c r="B133" t="s">
        <v>1916</v>
      </c>
      <c r="C133" s="199">
        <v>46833.27</v>
      </c>
      <c r="D133" s="199">
        <v>1644.31</v>
      </c>
      <c r="E133" s="199">
        <v>569.45000000000005</v>
      </c>
      <c r="F133" s="199">
        <v>0</v>
      </c>
      <c r="G133" s="199">
        <v>8712.56</v>
      </c>
      <c r="H133" s="199">
        <v>3501.5</v>
      </c>
      <c r="I133" s="199">
        <v>2551.27</v>
      </c>
      <c r="J133" s="199">
        <v>463.87</v>
      </c>
      <c r="K133" s="199">
        <v>235.4</v>
      </c>
      <c r="L133" s="199">
        <v>0</v>
      </c>
      <c r="M133" s="199">
        <v>64511.62999999999</v>
      </c>
    </row>
    <row r="134" spans="1:13">
      <c r="A134" t="s">
        <v>217</v>
      </c>
      <c r="B134" t="s">
        <v>1746</v>
      </c>
      <c r="C134" s="199">
        <v>154835.16</v>
      </c>
      <c r="D134" s="199">
        <v>10867.57</v>
      </c>
      <c r="E134" s="199">
        <v>655.42</v>
      </c>
      <c r="F134" s="199">
        <v>0</v>
      </c>
      <c r="G134" s="199">
        <v>28160.6</v>
      </c>
      <c r="H134" s="199">
        <v>5684.84</v>
      </c>
      <c r="I134" s="199">
        <v>0</v>
      </c>
      <c r="J134" s="199">
        <v>1455.75</v>
      </c>
      <c r="K134" s="199">
        <v>871.09</v>
      </c>
      <c r="L134" s="199">
        <v>0</v>
      </c>
      <c r="M134" s="199">
        <v>202530.43000000002</v>
      </c>
    </row>
    <row r="135" spans="1:13">
      <c r="A135" t="s">
        <v>685</v>
      </c>
      <c r="B135" t="s">
        <v>1988</v>
      </c>
      <c r="C135" s="199">
        <v>19101.310000000001</v>
      </c>
      <c r="D135" s="199">
        <v>536.82000000000005</v>
      </c>
      <c r="E135" s="199">
        <v>49.51</v>
      </c>
      <c r="F135" s="199">
        <v>0</v>
      </c>
      <c r="G135" s="199">
        <v>1253.78</v>
      </c>
      <c r="H135" s="199">
        <v>379.03</v>
      </c>
      <c r="I135" s="199">
        <v>156.25</v>
      </c>
      <c r="J135" s="199">
        <v>0</v>
      </c>
      <c r="K135" s="199">
        <v>0</v>
      </c>
      <c r="L135" s="199">
        <v>309.39999999999998</v>
      </c>
      <c r="M135" s="199">
        <v>21786.1</v>
      </c>
    </row>
    <row r="136" spans="1:13">
      <c r="A136" t="s">
        <v>195</v>
      </c>
      <c r="B136" t="s">
        <v>1734</v>
      </c>
      <c r="C136" s="199">
        <v>100269.67</v>
      </c>
      <c r="D136" s="199">
        <v>12341.1</v>
      </c>
      <c r="E136" s="199">
        <v>1009.41</v>
      </c>
      <c r="F136" s="199">
        <v>0</v>
      </c>
      <c r="G136" s="199">
        <v>14932.28</v>
      </c>
      <c r="H136" s="199">
        <v>7056.65</v>
      </c>
      <c r="I136" s="199">
        <v>5679.63</v>
      </c>
      <c r="J136" s="199">
        <v>9024.91</v>
      </c>
      <c r="K136" s="199">
        <v>549.89</v>
      </c>
      <c r="L136" s="199">
        <v>0</v>
      </c>
      <c r="M136" s="199">
        <v>150863.54000000004</v>
      </c>
    </row>
    <row r="137" spans="1:13">
      <c r="A137" t="s">
        <v>566</v>
      </c>
      <c r="B137" t="s">
        <v>1924</v>
      </c>
      <c r="C137" s="199">
        <v>930421.56</v>
      </c>
      <c r="D137" s="199">
        <v>46407.66</v>
      </c>
      <c r="E137" s="199">
        <v>12686.38</v>
      </c>
      <c r="F137" s="199">
        <v>0</v>
      </c>
      <c r="G137" s="199">
        <v>190056.86</v>
      </c>
      <c r="H137" s="199">
        <v>31778.3</v>
      </c>
      <c r="I137" s="199">
        <v>0</v>
      </c>
      <c r="J137" s="199">
        <v>22562.19</v>
      </c>
      <c r="K137" s="199">
        <v>5100.58</v>
      </c>
      <c r="L137" s="199">
        <v>0</v>
      </c>
      <c r="M137" s="199">
        <v>1239013.53</v>
      </c>
    </row>
    <row r="138" spans="1:13">
      <c r="A138" t="s">
        <v>368</v>
      </c>
      <c r="B138" t="s">
        <v>1824</v>
      </c>
      <c r="C138" s="199">
        <v>2851808.26</v>
      </c>
      <c r="D138" s="199">
        <v>191566.26</v>
      </c>
      <c r="E138" s="199">
        <v>31973.5</v>
      </c>
      <c r="F138" s="199">
        <v>63475.26</v>
      </c>
      <c r="G138" s="199">
        <v>333353.67</v>
      </c>
      <c r="H138" s="199">
        <v>44226.09</v>
      </c>
      <c r="I138" s="199">
        <v>0</v>
      </c>
      <c r="J138" s="199">
        <v>119211.09</v>
      </c>
      <c r="K138" s="199">
        <v>15999.4</v>
      </c>
      <c r="L138" s="199">
        <v>0</v>
      </c>
      <c r="M138" s="199">
        <v>3651613.5299999989</v>
      </c>
    </row>
    <row r="139" spans="1:13">
      <c r="A139" t="s">
        <v>582</v>
      </c>
      <c r="B139" t="s">
        <v>1932</v>
      </c>
      <c r="C139" s="199">
        <v>235319.26</v>
      </c>
      <c r="D139" s="199">
        <v>13339.96</v>
      </c>
      <c r="E139" s="199">
        <v>2034.62</v>
      </c>
      <c r="F139" s="199">
        <v>0</v>
      </c>
      <c r="G139" s="199">
        <v>49287.18</v>
      </c>
      <c r="H139" s="199">
        <v>12773.84</v>
      </c>
      <c r="I139" s="199">
        <v>2158.14</v>
      </c>
      <c r="J139" s="199">
        <v>8318.6</v>
      </c>
      <c r="K139" s="199">
        <v>1284.94</v>
      </c>
      <c r="L139" s="199">
        <v>1087.6500000000001</v>
      </c>
      <c r="M139" s="199">
        <v>325604.19000000006</v>
      </c>
    </row>
    <row r="140" spans="1:13">
      <c r="A140" t="s">
        <v>687</v>
      </c>
      <c r="B140" t="s">
        <v>1989</v>
      </c>
      <c r="C140" s="199">
        <v>5636.74</v>
      </c>
      <c r="D140" s="199">
        <v>0</v>
      </c>
      <c r="E140" s="199">
        <v>0</v>
      </c>
      <c r="F140" s="199">
        <v>0</v>
      </c>
      <c r="G140" s="199">
        <v>412.95</v>
      </c>
      <c r="H140" s="199">
        <v>183.81</v>
      </c>
      <c r="I140" s="199">
        <v>108.76</v>
      </c>
      <c r="J140" s="199">
        <v>0</v>
      </c>
      <c r="K140" s="199">
        <v>13.78</v>
      </c>
      <c r="L140" s="199">
        <v>0</v>
      </c>
      <c r="M140" s="199">
        <v>6356.04</v>
      </c>
    </row>
    <row r="141" spans="1:13">
      <c r="A141" t="s">
        <v>611</v>
      </c>
      <c r="B141" t="s">
        <v>1947</v>
      </c>
      <c r="C141" s="199">
        <v>52478.37</v>
      </c>
      <c r="D141" s="199">
        <v>2283.8000000000002</v>
      </c>
      <c r="E141" s="199">
        <v>0</v>
      </c>
      <c r="F141" s="199">
        <v>0</v>
      </c>
      <c r="G141" s="199">
        <v>6592.97</v>
      </c>
      <c r="H141" s="199">
        <v>2296.0500000000002</v>
      </c>
      <c r="I141" s="199">
        <v>0</v>
      </c>
      <c r="J141" s="199">
        <v>0</v>
      </c>
      <c r="K141" s="199">
        <v>255.8</v>
      </c>
      <c r="L141" s="199">
        <v>2285.33</v>
      </c>
      <c r="M141" s="199">
        <v>66192.320000000007</v>
      </c>
    </row>
    <row r="142" spans="1:13">
      <c r="A142" t="s">
        <v>169</v>
      </c>
      <c r="B142" t="s">
        <v>1721</v>
      </c>
      <c r="C142" s="199">
        <v>23522.67</v>
      </c>
      <c r="D142" s="199">
        <v>1157.98</v>
      </c>
      <c r="E142" s="199">
        <v>427.35</v>
      </c>
      <c r="F142" s="199">
        <v>0</v>
      </c>
      <c r="G142" s="199">
        <v>1458.7</v>
      </c>
      <c r="H142" s="199">
        <v>1320.34</v>
      </c>
      <c r="I142" s="199">
        <v>817.94</v>
      </c>
      <c r="J142" s="199">
        <v>586.65</v>
      </c>
      <c r="K142" s="199">
        <v>75.05</v>
      </c>
      <c r="L142" s="199">
        <v>251.2</v>
      </c>
      <c r="M142" s="199">
        <v>29617.879999999997</v>
      </c>
    </row>
    <row r="143" spans="1:13">
      <c r="A143" t="s">
        <v>233</v>
      </c>
      <c r="B143" t="s">
        <v>1755</v>
      </c>
      <c r="C143" s="199">
        <v>488322.57</v>
      </c>
      <c r="D143" s="199">
        <v>29127.25</v>
      </c>
      <c r="E143" s="199">
        <v>3968.7</v>
      </c>
      <c r="F143" s="199">
        <v>0</v>
      </c>
      <c r="G143" s="199">
        <v>108041.60000000001</v>
      </c>
      <c r="H143" s="199">
        <v>38660.699999999997</v>
      </c>
      <c r="I143" s="199">
        <v>25762.06</v>
      </c>
      <c r="J143" s="199">
        <v>13200.39</v>
      </c>
      <c r="K143" s="199">
        <v>2720.34</v>
      </c>
      <c r="L143" s="199">
        <v>14551.37</v>
      </c>
      <c r="M143" s="199">
        <v>724354.98</v>
      </c>
    </row>
    <row r="144" spans="1:13">
      <c r="A144" t="s">
        <v>628</v>
      </c>
      <c r="B144" t="s">
        <v>1956</v>
      </c>
      <c r="C144" s="199">
        <v>9835.2000000000007</v>
      </c>
      <c r="D144" s="199">
        <v>0</v>
      </c>
      <c r="E144" s="199">
        <v>0</v>
      </c>
      <c r="F144" s="199">
        <v>0</v>
      </c>
      <c r="G144" s="199">
        <v>1758.62</v>
      </c>
      <c r="H144" s="199">
        <v>1223.8399999999999</v>
      </c>
      <c r="I144" s="199">
        <v>445.73</v>
      </c>
      <c r="J144" s="199">
        <v>0</v>
      </c>
      <c r="K144" s="199">
        <v>113.35</v>
      </c>
      <c r="L144" s="199">
        <v>0</v>
      </c>
      <c r="M144" s="199">
        <v>13376.74</v>
      </c>
    </row>
    <row r="145" spans="1:13">
      <c r="A145" t="s">
        <v>539</v>
      </c>
      <c r="B145" t="s">
        <v>2572</v>
      </c>
      <c r="C145" s="199">
        <v>29994.32</v>
      </c>
      <c r="D145" s="199">
        <v>386</v>
      </c>
      <c r="E145" s="199">
        <v>0</v>
      </c>
      <c r="F145" s="199">
        <v>0</v>
      </c>
      <c r="G145" s="199">
        <v>3698.51</v>
      </c>
      <c r="H145" s="199">
        <v>1446.2</v>
      </c>
      <c r="I145" s="199">
        <v>1075.6400000000001</v>
      </c>
      <c r="J145" s="199">
        <v>566.13</v>
      </c>
      <c r="K145" s="199">
        <v>97.78</v>
      </c>
      <c r="L145" s="199">
        <v>0</v>
      </c>
      <c r="M145" s="199">
        <v>37264.579999999994</v>
      </c>
    </row>
    <row r="146" spans="1:13">
      <c r="A146" t="s">
        <v>1627</v>
      </c>
      <c r="B146" t="s">
        <v>2027</v>
      </c>
      <c r="C146" s="199">
        <v>13785.51</v>
      </c>
      <c r="D146" s="199">
        <v>0</v>
      </c>
      <c r="E146" s="199">
        <v>0</v>
      </c>
      <c r="F146" s="199">
        <v>0</v>
      </c>
      <c r="G146" s="199">
        <v>272.14999999999998</v>
      </c>
      <c r="H146" s="199">
        <v>235.89</v>
      </c>
      <c r="I146" s="199">
        <v>124.07</v>
      </c>
      <c r="J146" s="199">
        <v>0</v>
      </c>
      <c r="K146" s="199">
        <v>0</v>
      </c>
      <c r="L146" s="199">
        <v>0</v>
      </c>
      <c r="M146" s="199">
        <v>14417.619999999999</v>
      </c>
    </row>
    <row r="147" spans="1:13">
      <c r="A147" t="s">
        <v>1179</v>
      </c>
      <c r="B147" t="s">
        <v>1987</v>
      </c>
      <c r="C147" s="199">
        <v>41835.99</v>
      </c>
      <c r="D147" s="199">
        <v>712.77</v>
      </c>
      <c r="E147" s="199">
        <v>0</v>
      </c>
      <c r="F147" s="199">
        <v>0</v>
      </c>
      <c r="G147" s="199">
        <v>8470.81</v>
      </c>
      <c r="H147" s="199">
        <v>3878.84</v>
      </c>
      <c r="I147" s="199">
        <v>1915.88</v>
      </c>
      <c r="J147" s="199">
        <v>0</v>
      </c>
      <c r="K147" s="199">
        <v>0</v>
      </c>
      <c r="L147" s="199">
        <v>0</v>
      </c>
      <c r="M147" s="199">
        <v>56814.289999999986</v>
      </c>
    </row>
    <row r="148" spans="1:13">
      <c r="A148" t="s">
        <v>414</v>
      </c>
      <c r="B148" t="s">
        <v>1849</v>
      </c>
      <c r="C148" s="199">
        <v>26215.45</v>
      </c>
      <c r="D148" s="199">
        <v>0</v>
      </c>
      <c r="E148" s="199">
        <v>0</v>
      </c>
      <c r="F148" s="199">
        <v>0</v>
      </c>
      <c r="G148" s="199">
        <v>0</v>
      </c>
      <c r="H148" s="199">
        <v>1223.8399999999999</v>
      </c>
      <c r="I148" s="199">
        <v>900.66</v>
      </c>
      <c r="J148" s="199">
        <v>261.93</v>
      </c>
      <c r="K148" s="199">
        <v>0</v>
      </c>
      <c r="L148" s="199">
        <v>960.39</v>
      </c>
      <c r="M148" s="199">
        <v>29562.27</v>
      </c>
    </row>
    <row r="149" spans="1:13">
      <c r="A149" t="s">
        <v>677</v>
      </c>
      <c r="B149" t="s">
        <v>1983</v>
      </c>
      <c r="C149" s="199">
        <v>265907.15999999997</v>
      </c>
      <c r="D149" s="199">
        <v>16359.3</v>
      </c>
      <c r="E149" s="199">
        <v>1739.55</v>
      </c>
      <c r="F149" s="199">
        <v>0</v>
      </c>
      <c r="G149" s="199">
        <v>58036.52</v>
      </c>
      <c r="H149" s="199">
        <v>15679.95</v>
      </c>
      <c r="I149" s="199">
        <v>2701.95</v>
      </c>
      <c r="J149" s="199">
        <v>12736.1</v>
      </c>
      <c r="K149" s="199">
        <v>1713.81</v>
      </c>
      <c r="L149" s="199">
        <v>9299.89</v>
      </c>
      <c r="M149" s="199">
        <v>384174.23</v>
      </c>
    </row>
    <row r="150" spans="1:13">
      <c r="A150" t="s">
        <v>720</v>
      </c>
      <c r="B150" t="s">
        <v>2006</v>
      </c>
      <c r="C150" s="199">
        <v>56165.23</v>
      </c>
      <c r="D150" s="199">
        <v>4382.2700000000004</v>
      </c>
      <c r="E150" s="199">
        <v>687.74</v>
      </c>
      <c r="F150" s="199">
        <v>0</v>
      </c>
      <c r="G150" s="199">
        <v>6086.47</v>
      </c>
      <c r="H150" s="199">
        <v>7349.2</v>
      </c>
      <c r="I150" s="199">
        <v>3401.96</v>
      </c>
      <c r="J150" s="199">
        <v>7710.7</v>
      </c>
      <c r="K150" s="199">
        <v>309.39999999999998</v>
      </c>
      <c r="L150" s="199">
        <v>3872.2</v>
      </c>
      <c r="M150" s="199">
        <v>89965.169999999984</v>
      </c>
    </row>
    <row r="151" spans="1:13">
      <c r="A151" t="s">
        <v>253</v>
      </c>
      <c r="B151" t="s">
        <v>1765</v>
      </c>
      <c r="C151" s="199">
        <v>19993.59</v>
      </c>
      <c r="D151" s="199">
        <v>402.85</v>
      </c>
      <c r="E151" s="199">
        <v>131.72999999999999</v>
      </c>
      <c r="F151" s="199">
        <v>0</v>
      </c>
      <c r="G151" s="199">
        <v>0</v>
      </c>
      <c r="H151" s="199">
        <v>719.91</v>
      </c>
      <c r="I151" s="199">
        <v>448.79</v>
      </c>
      <c r="J151" s="199">
        <v>94.97</v>
      </c>
      <c r="K151" s="199">
        <v>0</v>
      </c>
      <c r="L151" s="199">
        <v>0</v>
      </c>
      <c r="M151" s="199">
        <v>21791.84</v>
      </c>
    </row>
    <row r="152" spans="1:13">
      <c r="A152" t="s">
        <v>189</v>
      </c>
      <c r="B152" t="s">
        <v>1731</v>
      </c>
      <c r="C152" s="199">
        <v>49552.78</v>
      </c>
      <c r="D152" s="199">
        <v>4711.58</v>
      </c>
      <c r="E152" s="199">
        <v>464.12</v>
      </c>
      <c r="F152" s="199">
        <v>0</v>
      </c>
      <c r="G152" s="199">
        <v>0</v>
      </c>
      <c r="H152" s="199">
        <v>4184.67</v>
      </c>
      <c r="I152" s="199">
        <v>2916.4</v>
      </c>
      <c r="J152" s="199">
        <v>5596.92</v>
      </c>
      <c r="K152" s="199">
        <v>266.52</v>
      </c>
      <c r="L152" s="199">
        <v>2150.54</v>
      </c>
      <c r="M152" s="199">
        <v>69843.53</v>
      </c>
    </row>
    <row r="153" spans="1:13">
      <c r="A153" t="s">
        <v>464</v>
      </c>
      <c r="B153" t="s">
        <v>1874</v>
      </c>
      <c r="C153" s="199">
        <v>24374.31</v>
      </c>
      <c r="D153" s="199">
        <v>1026.25</v>
      </c>
      <c r="E153" s="199">
        <v>598.9</v>
      </c>
      <c r="F153" s="199">
        <v>0</v>
      </c>
      <c r="G153" s="199">
        <v>10796.15</v>
      </c>
      <c r="H153" s="199">
        <v>3178.33</v>
      </c>
      <c r="I153" s="199">
        <v>794.97</v>
      </c>
      <c r="J153" s="199">
        <v>291.02999999999997</v>
      </c>
      <c r="K153" s="199">
        <v>332.39</v>
      </c>
      <c r="L153" s="199">
        <v>0</v>
      </c>
      <c r="M153" s="199">
        <v>41392.33</v>
      </c>
    </row>
    <row r="154" spans="1:13">
      <c r="A154" t="s">
        <v>634</v>
      </c>
      <c r="B154" t="s">
        <v>1960</v>
      </c>
      <c r="C154" s="199">
        <v>39910.58</v>
      </c>
      <c r="D154" s="199">
        <v>2096.9299999999998</v>
      </c>
      <c r="E154" s="199">
        <v>0</v>
      </c>
      <c r="F154" s="199">
        <v>0</v>
      </c>
      <c r="G154" s="199">
        <v>8771.5300000000007</v>
      </c>
      <c r="H154" s="199">
        <v>3815.53</v>
      </c>
      <c r="I154" s="199">
        <v>2234.7800000000002</v>
      </c>
      <c r="J154" s="199">
        <v>0</v>
      </c>
      <c r="K154" s="199">
        <v>0</v>
      </c>
      <c r="L154" s="199">
        <v>0</v>
      </c>
      <c r="M154" s="199">
        <v>56829.35</v>
      </c>
    </row>
    <row r="155" spans="1:13">
      <c r="A155" t="s">
        <v>574</v>
      </c>
      <c r="B155" t="s">
        <v>1928</v>
      </c>
      <c r="C155" s="199">
        <v>828471.47</v>
      </c>
      <c r="D155" s="199">
        <v>62840.85</v>
      </c>
      <c r="E155" s="199">
        <v>18873.22</v>
      </c>
      <c r="F155" s="199">
        <v>0</v>
      </c>
      <c r="G155" s="199">
        <v>183259.17</v>
      </c>
      <c r="H155" s="199">
        <v>55177.33</v>
      </c>
      <c r="I155" s="199">
        <v>31837.94</v>
      </c>
      <c r="J155" s="199">
        <v>38379.040000000001</v>
      </c>
      <c r="K155" s="199">
        <v>4804.16</v>
      </c>
      <c r="L155" s="199">
        <v>0</v>
      </c>
      <c r="M155" s="199">
        <v>1223643.18</v>
      </c>
    </row>
    <row r="156" spans="1:13">
      <c r="A156" t="s">
        <v>303</v>
      </c>
      <c r="B156" t="s">
        <v>1790</v>
      </c>
      <c r="C156" s="199">
        <v>29107.33</v>
      </c>
      <c r="D156" s="199">
        <v>0</v>
      </c>
      <c r="E156" s="199">
        <v>0</v>
      </c>
      <c r="F156" s="199">
        <v>0</v>
      </c>
      <c r="G156" s="199">
        <v>5941.22</v>
      </c>
      <c r="H156" s="199">
        <v>1959.08</v>
      </c>
      <c r="I156" s="199">
        <v>1433.69</v>
      </c>
      <c r="J156" s="199">
        <v>27.57</v>
      </c>
      <c r="K156" s="199">
        <v>136.32</v>
      </c>
      <c r="L156" s="199">
        <v>0</v>
      </c>
      <c r="M156" s="199">
        <v>38605.210000000006</v>
      </c>
    </row>
    <row r="157" spans="1:13">
      <c r="A157" t="s">
        <v>602</v>
      </c>
      <c r="B157" t="s">
        <v>1942</v>
      </c>
      <c r="C157" s="199">
        <v>753853.29</v>
      </c>
      <c r="D157" s="199">
        <v>44970.17</v>
      </c>
      <c r="E157" s="199">
        <v>29752.31</v>
      </c>
      <c r="F157" s="199">
        <v>0</v>
      </c>
      <c r="G157" s="199">
        <v>177595.1</v>
      </c>
      <c r="H157" s="199">
        <v>32078.080000000002</v>
      </c>
      <c r="I157" s="199">
        <v>3074.47</v>
      </c>
      <c r="J157" s="199">
        <v>11303.87</v>
      </c>
      <c r="K157" s="199">
        <v>4694.55</v>
      </c>
      <c r="L157" s="199">
        <v>16084.44</v>
      </c>
      <c r="M157" s="199">
        <v>1073406.28</v>
      </c>
    </row>
    <row r="158" spans="1:13">
      <c r="A158" t="s">
        <v>600</v>
      </c>
      <c r="B158" t="s">
        <v>1941</v>
      </c>
      <c r="C158" s="199">
        <v>136965.17000000001</v>
      </c>
      <c r="D158" s="199">
        <v>9446.14</v>
      </c>
      <c r="E158" s="199">
        <v>0</v>
      </c>
      <c r="F158" s="199">
        <v>0</v>
      </c>
      <c r="G158" s="199">
        <v>26198.02</v>
      </c>
      <c r="H158" s="199">
        <v>6558.84</v>
      </c>
      <c r="I158" s="199">
        <v>2075.4899999999998</v>
      </c>
      <c r="J158" s="199">
        <v>600.44000000000005</v>
      </c>
      <c r="K158" s="199">
        <v>752.08</v>
      </c>
      <c r="L158" s="199">
        <v>2260.8200000000002</v>
      </c>
      <c r="M158" s="199">
        <v>184856.99999999997</v>
      </c>
    </row>
    <row r="159" spans="1:13">
      <c r="A159" t="s">
        <v>344</v>
      </c>
      <c r="B159" t="s">
        <v>1811</v>
      </c>
      <c r="C159" s="199">
        <v>366397.48</v>
      </c>
      <c r="D159" s="199">
        <v>31566.83</v>
      </c>
      <c r="E159" s="199">
        <v>1764.06</v>
      </c>
      <c r="F159" s="199">
        <v>0</v>
      </c>
      <c r="G159" s="199">
        <v>48921.919999999998</v>
      </c>
      <c r="H159" s="199">
        <v>2628.01</v>
      </c>
      <c r="I159" s="199">
        <v>0</v>
      </c>
      <c r="J159" s="199">
        <v>5398.81</v>
      </c>
      <c r="K159" s="199">
        <v>2058.67</v>
      </c>
      <c r="L159" s="199">
        <v>0</v>
      </c>
      <c r="M159" s="199">
        <v>458735.77999999997</v>
      </c>
    </row>
    <row r="160" spans="1:13">
      <c r="A160" t="s">
        <v>679</v>
      </c>
      <c r="B160" t="s">
        <v>1984</v>
      </c>
      <c r="C160" s="199">
        <v>142792.15</v>
      </c>
      <c r="D160" s="199">
        <v>6549.89</v>
      </c>
      <c r="E160" s="199">
        <v>0</v>
      </c>
      <c r="F160" s="199">
        <v>0</v>
      </c>
      <c r="G160" s="199">
        <v>27374.240000000002</v>
      </c>
      <c r="H160" s="199">
        <v>8044.12</v>
      </c>
      <c r="I160" s="199">
        <v>3803.33</v>
      </c>
      <c r="J160" s="199">
        <v>7381.93</v>
      </c>
      <c r="K160" s="199">
        <v>904.09</v>
      </c>
      <c r="L160" s="199">
        <v>5427.94</v>
      </c>
      <c r="M160" s="199">
        <v>202277.68999999997</v>
      </c>
    </row>
    <row r="161" spans="1:13">
      <c r="A161" t="s">
        <v>482</v>
      </c>
      <c r="B161" t="s">
        <v>1882</v>
      </c>
      <c r="C161" s="199">
        <v>60830.86</v>
      </c>
      <c r="D161" s="199">
        <v>3889.04</v>
      </c>
      <c r="E161" s="199">
        <v>928.22</v>
      </c>
      <c r="F161" s="199">
        <v>0</v>
      </c>
      <c r="G161" s="199">
        <v>0</v>
      </c>
      <c r="H161" s="199">
        <v>2852.07</v>
      </c>
      <c r="I161" s="199">
        <v>170.03</v>
      </c>
      <c r="J161" s="199">
        <v>623.41</v>
      </c>
      <c r="K161" s="199">
        <v>336.98</v>
      </c>
      <c r="L161" s="199">
        <v>0</v>
      </c>
      <c r="M161" s="199">
        <v>69630.61</v>
      </c>
    </row>
    <row r="162" spans="1:13">
      <c r="A162" t="s">
        <v>560</v>
      </c>
      <c r="B162" t="s">
        <v>1921</v>
      </c>
      <c r="C162" s="199">
        <v>19396.21</v>
      </c>
      <c r="D162" s="199">
        <v>27.57</v>
      </c>
      <c r="E162" s="199">
        <v>0</v>
      </c>
      <c r="F162" s="199">
        <v>0</v>
      </c>
      <c r="G162" s="199">
        <v>0</v>
      </c>
      <c r="H162" s="199">
        <v>340.04</v>
      </c>
      <c r="I162" s="199">
        <v>202.19</v>
      </c>
      <c r="J162" s="199">
        <v>0</v>
      </c>
      <c r="K162" s="199">
        <v>0</v>
      </c>
      <c r="L162" s="199">
        <v>0</v>
      </c>
      <c r="M162" s="199">
        <v>19966.009999999998</v>
      </c>
    </row>
    <row r="163" spans="1:13">
      <c r="A163" t="s">
        <v>578</v>
      </c>
      <c r="B163" t="s">
        <v>1930</v>
      </c>
      <c r="C163" s="199">
        <v>429507.64</v>
      </c>
      <c r="D163" s="199">
        <v>35622.71</v>
      </c>
      <c r="E163" s="199">
        <v>7030.92</v>
      </c>
      <c r="F163" s="199">
        <v>0</v>
      </c>
      <c r="G163" s="199">
        <v>97100.27</v>
      </c>
      <c r="H163" s="199">
        <v>21672.93</v>
      </c>
      <c r="I163" s="199">
        <v>3208.2</v>
      </c>
      <c r="J163" s="199">
        <v>24147.31</v>
      </c>
      <c r="K163" s="199">
        <v>2913.58</v>
      </c>
      <c r="L163" s="199">
        <v>6633.27</v>
      </c>
      <c r="M163" s="199">
        <v>627836.83000000007</v>
      </c>
    </row>
    <row r="164" spans="1:13">
      <c r="A164" t="s">
        <v>305</v>
      </c>
      <c r="B164" t="s">
        <v>1791</v>
      </c>
      <c r="C164" s="199">
        <v>106897.74</v>
      </c>
      <c r="D164" s="199">
        <v>12092.4</v>
      </c>
      <c r="E164" s="199">
        <v>2510.5500000000002</v>
      </c>
      <c r="F164" s="199">
        <v>0</v>
      </c>
      <c r="G164" s="199">
        <v>23961.98</v>
      </c>
      <c r="H164" s="199">
        <v>5642.38</v>
      </c>
      <c r="I164" s="199">
        <v>0</v>
      </c>
      <c r="J164" s="199">
        <v>998.81</v>
      </c>
      <c r="K164" s="199">
        <v>653.13</v>
      </c>
      <c r="L164" s="199">
        <v>5572.29</v>
      </c>
      <c r="M164" s="199">
        <v>158329.28000000003</v>
      </c>
    </row>
    <row r="165" spans="1:13">
      <c r="A165" t="s">
        <v>422</v>
      </c>
      <c r="B165" t="s">
        <v>1853</v>
      </c>
      <c r="C165" s="199">
        <v>29995.73</v>
      </c>
      <c r="D165" s="199">
        <v>8533.24</v>
      </c>
      <c r="E165" s="199">
        <v>3677.66</v>
      </c>
      <c r="F165" s="199">
        <v>0</v>
      </c>
      <c r="G165" s="199">
        <v>6687.23</v>
      </c>
      <c r="H165" s="199">
        <v>2372.64</v>
      </c>
      <c r="I165" s="199">
        <v>1952.95</v>
      </c>
      <c r="J165" s="199">
        <v>0</v>
      </c>
      <c r="K165" s="199">
        <v>182.27</v>
      </c>
      <c r="L165" s="199">
        <v>2285.33</v>
      </c>
      <c r="M165" s="199">
        <v>55687.049999999996</v>
      </c>
    </row>
    <row r="166" spans="1:13">
      <c r="A166" t="s">
        <v>289</v>
      </c>
      <c r="B166" t="s">
        <v>1783</v>
      </c>
      <c r="C166" s="199">
        <v>616526.27</v>
      </c>
      <c r="D166" s="199">
        <v>44689.56</v>
      </c>
      <c r="E166" s="199">
        <v>3477.02</v>
      </c>
      <c r="F166" s="199">
        <v>30415.43</v>
      </c>
      <c r="G166" s="199">
        <v>141623.1</v>
      </c>
      <c r="H166" s="199">
        <v>53431.1</v>
      </c>
      <c r="I166" s="199">
        <v>33890.910000000003</v>
      </c>
      <c r="J166" s="199">
        <v>30291.360000000001</v>
      </c>
      <c r="K166" s="199">
        <v>3720.55</v>
      </c>
      <c r="L166" s="199">
        <v>0</v>
      </c>
      <c r="M166" s="199">
        <v>958065.30000000016</v>
      </c>
    </row>
    <row r="167" spans="1:13">
      <c r="A167" t="s">
        <v>420</v>
      </c>
      <c r="B167" t="s">
        <v>1852</v>
      </c>
      <c r="C167" s="199">
        <v>50842.49</v>
      </c>
      <c r="D167" s="199">
        <v>3408.08</v>
      </c>
      <c r="E167" s="199">
        <v>1390.8</v>
      </c>
      <c r="F167" s="199">
        <v>0</v>
      </c>
      <c r="G167" s="199">
        <v>10075.879999999999</v>
      </c>
      <c r="H167" s="199">
        <v>3691.45</v>
      </c>
      <c r="I167" s="199">
        <v>2786.21</v>
      </c>
      <c r="J167" s="199">
        <v>1712.46</v>
      </c>
      <c r="K167" s="199">
        <v>272.64999999999998</v>
      </c>
      <c r="L167" s="199">
        <v>3107.87</v>
      </c>
      <c r="M167" s="199">
        <v>77287.89</v>
      </c>
    </row>
    <row r="168" spans="1:13">
      <c r="A168" t="s">
        <v>737</v>
      </c>
      <c r="B168" t="s">
        <v>2015</v>
      </c>
      <c r="C168" s="199">
        <v>66571.75</v>
      </c>
      <c r="D168" s="199">
        <v>5719.46</v>
      </c>
      <c r="E168" s="199">
        <v>0</v>
      </c>
      <c r="F168" s="199">
        <v>0</v>
      </c>
      <c r="G168" s="199">
        <v>11105.14</v>
      </c>
      <c r="H168" s="199">
        <v>8491.8700000000008</v>
      </c>
      <c r="I168" s="199">
        <v>3912.03</v>
      </c>
      <c r="J168" s="199">
        <v>3130.84</v>
      </c>
      <c r="K168" s="199">
        <v>364.55</v>
      </c>
      <c r="L168" s="199">
        <v>0</v>
      </c>
      <c r="M168" s="199">
        <v>99295.64</v>
      </c>
    </row>
    <row r="169" spans="1:13">
      <c r="A169" t="s">
        <v>683</v>
      </c>
      <c r="B169" t="s">
        <v>1986</v>
      </c>
      <c r="C169" s="199">
        <v>127542.37</v>
      </c>
      <c r="D169" s="199">
        <v>7244.62</v>
      </c>
      <c r="E169" s="199">
        <v>415.64</v>
      </c>
      <c r="F169" s="199">
        <v>0</v>
      </c>
      <c r="G169" s="199">
        <v>27533.56</v>
      </c>
      <c r="H169" s="199">
        <v>8689.65</v>
      </c>
      <c r="I169" s="199">
        <v>3818.77</v>
      </c>
      <c r="J169" s="199">
        <v>2510.13</v>
      </c>
      <c r="K169" s="199">
        <v>724.13</v>
      </c>
      <c r="L169" s="199">
        <v>0</v>
      </c>
      <c r="M169" s="199">
        <v>178478.87</v>
      </c>
    </row>
    <row r="170" spans="1:13">
      <c r="A170" t="s">
        <v>558</v>
      </c>
      <c r="B170" t="s">
        <v>1920</v>
      </c>
      <c r="C170" s="199">
        <v>8462.34</v>
      </c>
      <c r="D170" s="199">
        <v>0</v>
      </c>
      <c r="E170" s="199">
        <v>0</v>
      </c>
      <c r="F170" s="199">
        <v>0</v>
      </c>
      <c r="G170" s="199">
        <v>0</v>
      </c>
      <c r="H170" s="199">
        <v>245.17</v>
      </c>
      <c r="I170" s="199">
        <v>0</v>
      </c>
      <c r="J170" s="199">
        <v>0</v>
      </c>
      <c r="K170" s="199">
        <v>0</v>
      </c>
      <c r="L170" s="199">
        <v>0</v>
      </c>
      <c r="M170" s="199">
        <v>8707.51</v>
      </c>
    </row>
    <row r="171" spans="1:13">
      <c r="A171" t="s">
        <v>554</v>
      </c>
      <c r="B171" t="s">
        <v>1918</v>
      </c>
      <c r="C171" s="199">
        <v>499279.28</v>
      </c>
      <c r="D171" s="199">
        <v>45691.43</v>
      </c>
      <c r="E171" s="199">
        <v>2365.71</v>
      </c>
      <c r="F171" s="199">
        <v>38348.949999999997</v>
      </c>
      <c r="G171" s="199">
        <v>116131.06</v>
      </c>
      <c r="H171" s="199">
        <v>47434.400000000001</v>
      </c>
      <c r="I171" s="199">
        <v>30400.91</v>
      </c>
      <c r="J171" s="199">
        <v>49975.11</v>
      </c>
      <c r="K171" s="199">
        <v>3165.16</v>
      </c>
      <c r="L171" s="199">
        <v>16463.939999999999</v>
      </c>
      <c r="M171" s="199">
        <v>849255.95</v>
      </c>
    </row>
    <row r="172" spans="1:13">
      <c r="A172" t="s">
        <v>1177</v>
      </c>
      <c r="B172" t="s">
        <v>1827</v>
      </c>
      <c r="C172" s="199">
        <v>47926.76</v>
      </c>
      <c r="D172" s="199">
        <v>2115.25</v>
      </c>
      <c r="E172" s="199">
        <v>0</v>
      </c>
      <c r="F172" s="199">
        <v>0</v>
      </c>
      <c r="G172" s="199">
        <v>8066.03</v>
      </c>
      <c r="H172" s="199">
        <v>4390.04</v>
      </c>
      <c r="I172" s="199">
        <v>2679.66</v>
      </c>
      <c r="J172" s="199">
        <v>0</v>
      </c>
      <c r="K172" s="199">
        <v>0</v>
      </c>
      <c r="L172" s="199">
        <v>0</v>
      </c>
      <c r="M172" s="199">
        <v>65177.740000000005</v>
      </c>
    </row>
    <row r="173" spans="1:13">
      <c r="A173" t="s">
        <v>568</v>
      </c>
      <c r="B173" t="s">
        <v>1925</v>
      </c>
      <c r="C173" s="199">
        <v>1405407.84</v>
      </c>
      <c r="D173" s="199">
        <v>53335.56</v>
      </c>
      <c r="E173" s="199">
        <v>18500.89</v>
      </c>
      <c r="F173" s="199">
        <v>71364.7</v>
      </c>
      <c r="G173" s="199">
        <v>271052.69</v>
      </c>
      <c r="H173" s="199">
        <v>87758.12</v>
      </c>
      <c r="I173" s="199">
        <v>43810.38</v>
      </c>
      <c r="J173" s="199">
        <v>120503.39</v>
      </c>
      <c r="K173" s="199">
        <v>7911.14</v>
      </c>
      <c r="L173" s="199">
        <v>0</v>
      </c>
      <c r="M173" s="199">
        <v>2079644.7099999995</v>
      </c>
    </row>
    <row r="174" spans="1:13">
      <c r="A174" t="s">
        <v>713</v>
      </c>
      <c r="B174" t="s">
        <v>2002</v>
      </c>
      <c r="C174" s="199">
        <v>91563.36</v>
      </c>
      <c r="D174" s="199">
        <v>9170.42</v>
      </c>
      <c r="E174" s="199">
        <v>5446.81</v>
      </c>
      <c r="F174" s="199">
        <v>0</v>
      </c>
      <c r="G174" s="199">
        <v>19074.009999999998</v>
      </c>
      <c r="H174" s="199">
        <v>6839.14</v>
      </c>
      <c r="I174" s="199">
        <v>5820.55</v>
      </c>
      <c r="J174" s="199">
        <v>1870.23</v>
      </c>
      <c r="K174" s="199">
        <v>557.54999999999995</v>
      </c>
      <c r="L174" s="199">
        <v>3553.6</v>
      </c>
      <c r="M174" s="199">
        <v>143895.66999999998</v>
      </c>
    </row>
    <row r="175" spans="1:13">
      <c r="A175" t="s">
        <v>416</v>
      </c>
      <c r="B175" t="s">
        <v>1850</v>
      </c>
      <c r="C175" s="199">
        <v>55439.199999999997</v>
      </c>
      <c r="D175" s="199">
        <v>10509.15</v>
      </c>
      <c r="E175" s="199">
        <v>3522.96</v>
      </c>
      <c r="F175" s="199">
        <v>0</v>
      </c>
      <c r="G175" s="199">
        <v>11198.81</v>
      </c>
      <c r="H175" s="199">
        <v>3679.2</v>
      </c>
      <c r="I175" s="199">
        <v>1752.29</v>
      </c>
      <c r="J175" s="199">
        <v>513.13</v>
      </c>
      <c r="K175" s="199">
        <v>361.48</v>
      </c>
      <c r="L175" s="199">
        <v>0</v>
      </c>
      <c r="M175" s="199">
        <v>86976.219999999987</v>
      </c>
    </row>
    <row r="176" spans="1:13">
      <c r="A176" t="s">
        <v>494</v>
      </c>
      <c r="B176" t="s">
        <v>1888</v>
      </c>
      <c r="C176" s="199">
        <v>32127.39</v>
      </c>
      <c r="D176" s="199">
        <v>1212.8800000000001</v>
      </c>
      <c r="E176" s="199">
        <v>518.25</v>
      </c>
      <c r="F176" s="199">
        <v>0</v>
      </c>
      <c r="G176" s="199">
        <v>0</v>
      </c>
      <c r="H176" s="199">
        <v>1630.58</v>
      </c>
      <c r="I176" s="199">
        <v>1407.81</v>
      </c>
      <c r="J176" s="199">
        <v>244.43</v>
      </c>
      <c r="K176" s="199">
        <v>140.78</v>
      </c>
      <c r="L176" s="199">
        <v>0</v>
      </c>
      <c r="M176" s="199">
        <v>37282.119999999995</v>
      </c>
    </row>
    <row r="177" spans="1:13">
      <c r="A177" t="s">
        <v>472</v>
      </c>
      <c r="B177" t="s">
        <v>2455</v>
      </c>
      <c r="C177" s="199">
        <v>22828.81</v>
      </c>
      <c r="D177" s="199">
        <v>217.5</v>
      </c>
      <c r="E177" s="199">
        <v>822.53</v>
      </c>
      <c r="F177" s="199">
        <v>0</v>
      </c>
      <c r="G177" s="199">
        <v>3476.75</v>
      </c>
      <c r="H177" s="199">
        <v>1229.98</v>
      </c>
      <c r="I177" s="199">
        <v>563.66999999999996</v>
      </c>
      <c r="J177" s="199">
        <v>0</v>
      </c>
      <c r="K177" s="199">
        <v>0</v>
      </c>
      <c r="L177" s="199">
        <v>637.20000000000005</v>
      </c>
      <c r="M177" s="199">
        <v>29776.44</v>
      </c>
    </row>
    <row r="178" spans="1:13">
      <c r="A178" t="s">
        <v>499</v>
      </c>
      <c r="B178" t="s">
        <v>1891</v>
      </c>
      <c r="C178" s="199">
        <v>72684.86</v>
      </c>
      <c r="D178" s="199">
        <v>8056.86</v>
      </c>
      <c r="E178" s="199">
        <v>2512.02</v>
      </c>
      <c r="F178" s="199">
        <v>0</v>
      </c>
      <c r="G178" s="199">
        <v>19475.54</v>
      </c>
      <c r="H178" s="199">
        <v>6996.91</v>
      </c>
      <c r="I178" s="199">
        <v>4918.3599999999997</v>
      </c>
      <c r="J178" s="199">
        <v>0</v>
      </c>
      <c r="K178" s="199">
        <v>513.13</v>
      </c>
      <c r="L178" s="199">
        <v>0</v>
      </c>
      <c r="M178" s="199">
        <v>115157.68000000001</v>
      </c>
    </row>
    <row r="179" spans="1:13">
      <c r="A179" t="s">
        <v>598</v>
      </c>
      <c r="B179" t="s">
        <v>1940</v>
      </c>
      <c r="C179" s="199">
        <v>103490.33</v>
      </c>
      <c r="D179" s="199">
        <v>8713.67</v>
      </c>
      <c r="E179" s="199">
        <v>460.37</v>
      </c>
      <c r="F179" s="199">
        <v>0</v>
      </c>
      <c r="G179" s="199">
        <v>19788.36</v>
      </c>
      <c r="H179" s="199">
        <v>4713.67</v>
      </c>
      <c r="I179" s="199">
        <v>0</v>
      </c>
      <c r="J179" s="199">
        <v>329.74</v>
      </c>
      <c r="K179" s="199">
        <v>626.04999999999995</v>
      </c>
      <c r="L179" s="199">
        <v>5369.97</v>
      </c>
      <c r="M179" s="199">
        <v>143492.15999999997</v>
      </c>
    </row>
    <row r="180" spans="1:13">
      <c r="A180" t="s">
        <v>681</v>
      </c>
      <c r="B180" t="s">
        <v>1985</v>
      </c>
      <c r="C180" s="199">
        <v>165333.9</v>
      </c>
      <c r="D180" s="199">
        <v>11808.64</v>
      </c>
      <c r="E180" s="199">
        <v>1305.4000000000001</v>
      </c>
      <c r="F180" s="199">
        <v>0</v>
      </c>
      <c r="G180" s="199">
        <v>36614.76</v>
      </c>
      <c r="H180" s="199">
        <v>10129.81</v>
      </c>
      <c r="I180" s="199">
        <v>9179.99</v>
      </c>
      <c r="J180" s="199">
        <v>7908.68</v>
      </c>
      <c r="K180" s="199">
        <v>902.74</v>
      </c>
      <c r="L180" s="199">
        <v>7278.72</v>
      </c>
      <c r="M180" s="199">
        <v>250462.63999999996</v>
      </c>
    </row>
    <row r="181" spans="1:13">
      <c r="A181" t="s">
        <v>301</v>
      </c>
      <c r="B181" t="s">
        <v>1789</v>
      </c>
      <c r="C181" s="199">
        <v>51314.27</v>
      </c>
      <c r="D181" s="199">
        <v>2078.5500000000002</v>
      </c>
      <c r="E181" s="199">
        <v>822.53</v>
      </c>
      <c r="F181" s="199">
        <v>0</v>
      </c>
      <c r="G181" s="199">
        <v>9973.94</v>
      </c>
      <c r="H181" s="199">
        <v>4638.0600000000004</v>
      </c>
      <c r="I181" s="199">
        <v>2911.8</v>
      </c>
      <c r="J181" s="199">
        <v>205.25</v>
      </c>
      <c r="K181" s="199">
        <v>266.52</v>
      </c>
      <c r="L181" s="199">
        <v>2147.4699999999998</v>
      </c>
      <c r="M181" s="199">
        <v>74358.390000000014</v>
      </c>
    </row>
    <row r="182" spans="1:13">
      <c r="A182" t="s">
        <v>269</v>
      </c>
      <c r="B182" t="s">
        <v>1773</v>
      </c>
      <c r="C182" s="199">
        <v>157148.68</v>
      </c>
      <c r="D182" s="199">
        <v>10602.59</v>
      </c>
      <c r="E182" s="199">
        <v>1882.49</v>
      </c>
      <c r="F182" s="199">
        <v>0</v>
      </c>
      <c r="G182" s="199">
        <v>30619.91</v>
      </c>
      <c r="H182" s="199">
        <v>14790.33</v>
      </c>
      <c r="I182" s="199">
        <v>8744.61</v>
      </c>
      <c r="J182" s="199">
        <v>18002.34</v>
      </c>
      <c r="K182" s="199">
        <v>888.4</v>
      </c>
      <c r="L182" s="199">
        <v>1637.41</v>
      </c>
      <c r="M182" s="199">
        <v>244316.75999999998</v>
      </c>
    </row>
    <row r="183" spans="1:13">
      <c r="A183" t="s">
        <v>378</v>
      </c>
      <c r="B183" t="s">
        <v>1830</v>
      </c>
      <c r="C183" s="199">
        <v>494630.57</v>
      </c>
      <c r="D183" s="199">
        <v>32549.06</v>
      </c>
      <c r="E183" s="199">
        <v>8713.75</v>
      </c>
      <c r="F183" s="199">
        <v>0</v>
      </c>
      <c r="G183" s="199">
        <v>93463.28</v>
      </c>
      <c r="H183" s="199">
        <v>22798.17</v>
      </c>
      <c r="I183" s="199">
        <v>1758.44</v>
      </c>
      <c r="J183" s="199">
        <v>8547.44</v>
      </c>
      <c r="K183" s="199">
        <v>2804.92</v>
      </c>
      <c r="L183" s="199">
        <v>0</v>
      </c>
      <c r="M183" s="199">
        <v>665265.63</v>
      </c>
    </row>
    <row r="184" spans="1:13">
      <c r="A184" t="s">
        <v>468</v>
      </c>
      <c r="B184" t="s">
        <v>1876</v>
      </c>
      <c r="C184" s="199">
        <v>180237.01</v>
      </c>
      <c r="D184" s="199">
        <v>20577.79</v>
      </c>
      <c r="E184" s="199">
        <v>6467.55</v>
      </c>
      <c r="F184" s="199">
        <v>0</v>
      </c>
      <c r="G184" s="199">
        <v>38118.400000000001</v>
      </c>
      <c r="H184" s="199">
        <v>14348.69</v>
      </c>
      <c r="I184" s="199">
        <v>7550.05</v>
      </c>
      <c r="J184" s="199">
        <v>10557.37</v>
      </c>
      <c r="K184" s="199">
        <v>1123.68</v>
      </c>
      <c r="L184" s="199">
        <v>4312.84</v>
      </c>
      <c r="M184" s="199">
        <v>283293.38</v>
      </c>
    </row>
    <row r="185" spans="1:13">
      <c r="A185" t="s">
        <v>497</v>
      </c>
      <c r="B185" t="s">
        <v>1890</v>
      </c>
      <c r="C185" s="199">
        <v>19311.97</v>
      </c>
      <c r="D185" s="199">
        <v>0</v>
      </c>
      <c r="E185" s="199">
        <v>0</v>
      </c>
      <c r="F185" s="199">
        <v>0</v>
      </c>
      <c r="G185" s="199">
        <v>435.59</v>
      </c>
      <c r="H185" s="199">
        <v>428.89</v>
      </c>
      <c r="I185" s="199">
        <v>260.39</v>
      </c>
      <c r="J185" s="199">
        <v>0</v>
      </c>
      <c r="K185" s="199">
        <v>0</v>
      </c>
      <c r="L185" s="199">
        <v>215.97</v>
      </c>
      <c r="M185" s="199">
        <v>20652.810000000001</v>
      </c>
    </row>
    <row r="186" spans="1:13">
      <c r="A186" t="s">
        <v>642</v>
      </c>
      <c r="B186" t="s">
        <v>1964</v>
      </c>
      <c r="C186" s="199">
        <v>1139393.8</v>
      </c>
      <c r="D186" s="199">
        <v>70727.320000000007</v>
      </c>
      <c r="E186" s="199">
        <v>17383.52</v>
      </c>
      <c r="F186" s="199">
        <v>0</v>
      </c>
      <c r="G186" s="199">
        <v>267706.31</v>
      </c>
      <c r="H186" s="199">
        <v>65161.03</v>
      </c>
      <c r="I186" s="199">
        <v>17714.37</v>
      </c>
      <c r="J186" s="199">
        <v>26532.51</v>
      </c>
      <c r="K186" s="199">
        <v>6511.36</v>
      </c>
      <c r="L186" s="199">
        <v>12466.69</v>
      </c>
      <c r="M186" s="199">
        <v>1623596.9100000004</v>
      </c>
    </row>
    <row r="187" spans="1:13">
      <c r="A187" t="s">
        <v>636</v>
      </c>
      <c r="B187" t="s">
        <v>1961</v>
      </c>
      <c r="C187" s="199">
        <v>22453.53</v>
      </c>
      <c r="D187" s="199">
        <v>609.63</v>
      </c>
      <c r="E187" s="199">
        <v>0</v>
      </c>
      <c r="F187" s="199">
        <v>0</v>
      </c>
      <c r="G187" s="199">
        <v>4140.7</v>
      </c>
      <c r="H187" s="199">
        <v>1638.95</v>
      </c>
      <c r="I187" s="199">
        <v>712.25</v>
      </c>
      <c r="J187" s="199">
        <v>0</v>
      </c>
      <c r="K187" s="199">
        <v>117.94</v>
      </c>
      <c r="L187" s="199">
        <v>0</v>
      </c>
      <c r="M187" s="199">
        <v>29673</v>
      </c>
    </row>
    <row r="188" spans="1:13">
      <c r="A188" t="s">
        <v>372</v>
      </c>
      <c r="B188" t="s">
        <v>1826</v>
      </c>
      <c r="C188" s="199">
        <v>2070044.49</v>
      </c>
      <c r="D188" s="199">
        <v>106521.09</v>
      </c>
      <c r="E188" s="199">
        <v>19464.25</v>
      </c>
      <c r="F188" s="199">
        <v>0</v>
      </c>
      <c r="G188" s="199">
        <v>359368.59</v>
      </c>
      <c r="H188" s="199">
        <v>43354.9</v>
      </c>
      <c r="I188" s="199">
        <v>0</v>
      </c>
      <c r="J188" s="199">
        <v>74809.67</v>
      </c>
      <c r="K188" s="199">
        <v>11518.78</v>
      </c>
      <c r="L188" s="199">
        <v>0</v>
      </c>
      <c r="M188" s="199">
        <v>2685081.7699999996</v>
      </c>
    </row>
    <row r="189" spans="1:13">
      <c r="A189" t="s">
        <v>322</v>
      </c>
      <c r="B189" t="s">
        <v>1800</v>
      </c>
      <c r="C189" s="199">
        <v>452284.06</v>
      </c>
      <c r="D189" s="199">
        <v>39071.19</v>
      </c>
      <c r="E189" s="199">
        <v>4067.53</v>
      </c>
      <c r="F189" s="199">
        <v>0</v>
      </c>
      <c r="G189" s="199">
        <v>110349.05</v>
      </c>
      <c r="H189" s="199">
        <v>25511.64</v>
      </c>
      <c r="I189" s="199">
        <v>4408.92</v>
      </c>
      <c r="J189" s="199">
        <v>6918.73</v>
      </c>
      <c r="K189" s="199">
        <v>2676.23</v>
      </c>
      <c r="L189" s="199">
        <v>6434.95</v>
      </c>
      <c r="M189" s="199">
        <v>651722.30000000005</v>
      </c>
    </row>
    <row r="190" spans="1:13">
      <c r="A190" t="s">
        <v>709</v>
      </c>
      <c r="B190" t="s">
        <v>2000</v>
      </c>
      <c r="C190" s="199">
        <v>21014.99</v>
      </c>
      <c r="D190" s="199">
        <v>1180.3900000000001</v>
      </c>
      <c r="E190" s="199">
        <v>346.54</v>
      </c>
      <c r="F190" s="199">
        <v>0</v>
      </c>
      <c r="G190" s="199">
        <v>2416.75</v>
      </c>
      <c r="H190" s="199">
        <v>518.25</v>
      </c>
      <c r="I190" s="199">
        <v>0</v>
      </c>
      <c r="J190" s="199">
        <v>0</v>
      </c>
      <c r="K190" s="199">
        <v>61.88</v>
      </c>
      <c r="L190" s="199">
        <v>850.87</v>
      </c>
      <c r="M190" s="199">
        <v>26389.670000000002</v>
      </c>
    </row>
    <row r="191" spans="1:13">
      <c r="A191" t="s">
        <v>320</v>
      </c>
      <c r="B191" t="s">
        <v>1799</v>
      </c>
      <c r="C191" s="199">
        <v>30397.05</v>
      </c>
      <c r="D191" s="199">
        <v>1464.33</v>
      </c>
      <c r="E191" s="199">
        <v>119.47</v>
      </c>
      <c r="F191" s="199">
        <v>0</v>
      </c>
      <c r="G191" s="199">
        <v>6171.45</v>
      </c>
      <c r="H191" s="199">
        <v>2351.1999999999998</v>
      </c>
      <c r="I191" s="199">
        <v>1347.92</v>
      </c>
      <c r="J191" s="199">
        <v>0</v>
      </c>
      <c r="K191" s="199">
        <v>0</v>
      </c>
      <c r="L191" s="199">
        <v>2201.09</v>
      </c>
      <c r="M191" s="199">
        <v>44052.509999999995</v>
      </c>
    </row>
    <row r="192" spans="1:13">
      <c r="A192" t="s">
        <v>488</v>
      </c>
      <c r="B192" t="s">
        <v>1885</v>
      </c>
      <c r="C192" s="199">
        <v>66896.479999999996</v>
      </c>
      <c r="D192" s="199">
        <v>9009.6</v>
      </c>
      <c r="E192" s="199">
        <v>0</v>
      </c>
      <c r="F192" s="199">
        <v>0</v>
      </c>
      <c r="G192" s="199">
        <v>0</v>
      </c>
      <c r="H192" s="199">
        <v>6531.26</v>
      </c>
      <c r="I192" s="199">
        <v>4458.8500000000004</v>
      </c>
      <c r="J192" s="199">
        <v>1439.81</v>
      </c>
      <c r="K192" s="199">
        <v>405.9</v>
      </c>
      <c r="L192" s="199">
        <v>1940.69</v>
      </c>
      <c r="M192" s="199">
        <v>90682.59</v>
      </c>
    </row>
    <row r="193" spans="1:13">
      <c r="A193" t="s">
        <v>318</v>
      </c>
      <c r="B193" t="s">
        <v>1798</v>
      </c>
      <c r="C193" s="199">
        <v>49157.59</v>
      </c>
      <c r="D193" s="199">
        <v>2680.52</v>
      </c>
      <c r="E193" s="199">
        <v>912.91</v>
      </c>
      <c r="F193" s="199">
        <v>0</v>
      </c>
      <c r="G193" s="199">
        <v>5962.95</v>
      </c>
      <c r="H193" s="199">
        <v>4045.28</v>
      </c>
      <c r="I193" s="199">
        <v>2625.37</v>
      </c>
      <c r="J193" s="199">
        <v>1825.81</v>
      </c>
      <c r="K193" s="199">
        <v>0</v>
      </c>
      <c r="L193" s="199">
        <v>0</v>
      </c>
      <c r="M193" s="199">
        <v>67210.429999999993</v>
      </c>
    </row>
    <row r="194" spans="1:13">
      <c r="A194" t="s">
        <v>450</v>
      </c>
      <c r="B194" t="s">
        <v>1867</v>
      </c>
      <c r="C194" s="199">
        <v>26980.51</v>
      </c>
      <c r="D194" s="199">
        <v>1035.44</v>
      </c>
      <c r="E194" s="199">
        <v>81.25</v>
      </c>
      <c r="F194" s="199">
        <v>0</v>
      </c>
      <c r="G194" s="199">
        <v>3521.87</v>
      </c>
      <c r="H194" s="199">
        <v>1169.26</v>
      </c>
      <c r="I194" s="199">
        <v>990.84</v>
      </c>
      <c r="J194" s="199">
        <v>0</v>
      </c>
      <c r="K194" s="199">
        <v>93.98</v>
      </c>
      <c r="L194" s="199">
        <v>1153.33</v>
      </c>
      <c r="M194" s="199">
        <v>35026.479999999996</v>
      </c>
    </row>
    <row r="195" spans="1:13">
      <c r="A195" t="s">
        <v>476</v>
      </c>
      <c r="B195" t="s">
        <v>1879</v>
      </c>
      <c r="C195" s="199">
        <v>74165.119999999995</v>
      </c>
      <c r="D195" s="199">
        <v>6921.46</v>
      </c>
      <c r="E195" s="199">
        <v>1751.25</v>
      </c>
      <c r="F195" s="199">
        <v>0</v>
      </c>
      <c r="G195" s="199">
        <v>16060.98</v>
      </c>
      <c r="H195" s="199">
        <v>6864.22</v>
      </c>
      <c r="I195" s="199">
        <v>4781.8999999999996</v>
      </c>
      <c r="J195" s="199">
        <v>2213.8200000000002</v>
      </c>
      <c r="K195" s="199">
        <v>468.76</v>
      </c>
      <c r="L195" s="199">
        <v>1820.86</v>
      </c>
      <c r="M195" s="199">
        <v>115048.37</v>
      </c>
    </row>
    <row r="196" spans="1:13">
      <c r="A196" t="s">
        <v>646</v>
      </c>
      <c r="B196" t="s">
        <v>1966</v>
      </c>
      <c r="C196" s="199">
        <v>705079.06</v>
      </c>
      <c r="D196" s="199">
        <v>51319.839999999997</v>
      </c>
      <c r="E196" s="199">
        <v>11964.96</v>
      </c>
      <c r="F196" s="199">
        <v>0</v>
      </c>
      <c r="G196" s="199">
        <v>164779.45000000001</v>
      </c>
      <c r="H196" s="199">
        <v>29940.29</v>
      </c>
      <c r="I196" s="199">
        <v>2853.05</v>
      </c>
      <c r="J196" s="199">
        <v>10582.25</v>
      </c>
      <c r="K196" s="199">
        <v>4356.84</v>
      </c>
      <c r="L196" s="199">
        <v>3866.2</v>
      </c>
      <c r="M196" s="199">
        <v>984741.94000000006</v>
      </c>
    </row>
    <row r="197" spans="1:13">
      <c r="A197" t="s">
        <v>474</v>
      </c>
      <c r="B197" t="s">
        <v>1878</v>
      </c>
      <c r="C197" s="199">
        <v>106928.07</v>
      </c>
      <c r="D197" s="199">
        <v>10674.58</v>
      </c>
      <c r="E197" s="199">
        <v>2942.44</v>
      </c>
      <c r="F197" s="199">
        <v>0</v>
      </c>
      <c r="G197" s="199">
        <v>87426.97</v>
      </c>
      <c r="H197" s="199">
        <v>32997.910000000003</v>
      </c>
      <c r="I197" s="199">
        <v>26166.43</v>
      </c>
      <c r="J197" s="199">
        <v>8611.34</v>
      </c>
      <c r="K197" s="199">
        <v>2634.56</v>
      </c>
      <c r="L197" s="199">
        <v>0</v>
      </c>
      <c r="M197" s="199">
        <v>278382.30000000005</v>
      </c>
    </row>
    <row r="198" spans="1:13">
      <c r="A198" t="s">
        <v>432</v>
      </c>
      <c r="B198" t="s">
        <v>1858</v>
      </c>
      <c r="C198" s="199">
        <v>62331.95</v>
      </c>
      <c r="D198" s="199">
        <v>7776.55</v>
      </c>
      <c r="E198" s="199">
        <v>1424.5</v>
      </c>
      <c r="F198" s="199">
        <v>0</v>
      </c>
      <c r="G198" s="199">
        <v>14301.07</v>
      </c>
      <c r="H198" s="199">
        <v>4665.63</v>
      </c>
      <c r="I198" s="199">
        <v>3810.93</v>
      </c>
      <c r="J198" s="199">
        <v>706.13</v>
      </c>
      <c r="K198" s="199">
        <v>376.81</v>
      </c>
      <c r="L198" s="199">
        <v>1962.13</v>
      </c>
      <c r="M198" s="199">
        <v>97355.700000000012</v>
      </c>
    </row>
    <row r="199" spans="1:13">
      <c r="A199" t="s">
        <v>618</v>
      </c>
      <c r="B199" t="s">
        <v>1951</v>
      </c>
      <c r="C199" s="199">
        <v>5693.11</v>
      </c>
      <c r="D199" s="199">
        <v>0</v>
      </c>
      <c r="E199" s="199">
        <v>0</v>
      </c>
      <c r="F199" s="199">
        <v>0</v>
      </c>
      <c r="G199" s="199">
        <v>619.58000000000004</v>
      </c>
      <c r="H199" s="199">
        <v>290.85000000000002</v>
      </c>
      <c r="I199" s="199">
        <v>179.46</v>
      </c>
      <c r="J199" s="199">
        <v>0</v>
      </c>
      <c r="K199" s="199">
        <v>0</v>
      </c>
      <c r="L199" s="199">
        <v>0</v>
      </c>
      <c r="M199" s="199">
        <v>6783</v>
      </c>
    </row>
    <row r="200" spans="1:13">
      <c r="A200" t="s">
        <v>537</v>
      </c>
      <c r="B200" t="s">
        <v>1910</v>
      </c>
      <c r="C200" s="199">
        <v>45001.78</v>
      </c>
      <c r="D200" s="199">
        <v>1224.8900000000001</v>
      </c>
      <c r="E200" s="199">
        <v>0</v>
      </c>
      <c r="F200" s="199">
        <v>0</v>
      </c>
      <c r="G200" s="199">
        <v>13851.99</v>
      </c>
      <c r="H200" s="199">
        <v>2178.7199999999998</v>
      </c>
      <c r="I200" s="199">
        <v>0</v>
      </c>
      <c r="J200" s="199">
        <v>1573.14</v>
      </c>
      <c r="K200" s="199">
        <v>384.28</v>
      </c>
      <c r="L200" s="199">
        <v>0</v>
      </c>
      <c r="M200" s="199">
        <v>64214.799999999996</v>
      </c>
    </row>
    <row r="201" spans="1:13">
      <c r="A201" t="s">
        <v>594</v>
      </c>
      <c r="B201" t="s">
        <v>1938</v>
      </c>
      <c r="C201" s="199">
        <v>9179.6200000000008</v>
      </c>
      <c r="D201" s="199">
        <v>0</v>
      </c>
      <c r="E201" s="199">
        <v>0</v>
      </c>
      <c r="F201" s="199">
        <v>0</v>
      </c>
      <c r="G201" s="199">
        <v>777.74</v>
      </c>
      <c r="H201" s="199">
        <v>29.11</v>
      </c>
      <c r="I201" s="199">
        <v>0</v>
      </c>
      <c r="J201" s="199">
        <v>0</v>
      </c>
      <c r="K201" s="199">
        <v>0</v>
      </c>
      <c r="L201" s="199">
        <v>0</v>
      </c>
      <c r="M201" s="199">
        <v>9986.4700000000012</v>
      </c>
    </row>
    <row r="202" spans="1:13">
      <c r="A202" t="s">
        <v>261</v>
      </c>
      <c r="B202" t="s">
        <v>1769</v>
      </c>
      <c r="C202" s="199">
        <v>5693.11</v>
      </c>
      <c r="D202" s="199">
        <v>0</v>
      </c>
      <c r="E202" s="199">
        <v>0</v>
      </c>
      <c r="F202" s="199">
        <v>0</v>
      </c>
      <c r="G202" s="199">
        <v>722.12</v>
      </c>
      <c r="H202" s="199">
        <v>242.88</v>
      </c>
      <c r="I202" s="199">
        <v>154.69999999999999</v>
      </c>
      <c r="J202" s="199">
        <v>0</v>
      </c>
      <c r="K202" s="199">
        <v>18.57</v>
      </c>
      <c r="L202" s="199">
        <v>0</v>
      </c>
      <c r="M202" s="199">
        <v>6831.3799999999992</v>
      </c>
    </row>
    <row r="203" spans="1:13">
      <c r="A203" t="s">
        <v>245</v>
      </c>
      <c r="B203" t="s">
        <v>1761</v>
      </c>
      <c r="C203" s="199">
        <v>10870.64</v>
      </c>
      <c r="D203" s="199">
        <v>0</v>
      </c>
      <c r="E203" s="199">
        <v>260.39</v>
      </c>
      <c r="F203" s="199">
        <v>0</v>
      </c>
      <c r="G203" s="199">
        <v>0</v>
      </c>
      <c r="H203" s="199">
        <v>954.26</v>
      </c>
      <c r="I203" s="199">
        <v>490.15</v>
      </c>
      <c r="J203" s="199">
        <v>1311.15</v>
      </c>
      <c r="K203" s="199">
        <v>47.49</v>
      </c>
      <c r="L203" s="199">
        <v>0</v>
      </c>
      <c r="M203" s="199">
        <v>13934.079999999998</v>
      </c>
    </row>
    <row r="204" spans="1:13">
      <c r="A204" t="s">
        <v>486</v>
      </c>
      <c r="B204" t="s">
        <v>1884</v>
      </c>
      <c r="C204" s="199">
        <v>45290</v>
      </c>
      <c r="D204" s="199">
        <v>2626.9</v>
      </c>
      <c r="E204" s="199">
        <v>487.09</v>
      </c>
      <c r="F204" s="199">
        <v>0</v>
      </c>
      <c r="G204" s="199">
        <v>8005.62</v>
      </c>
      <c r="H204" s="199">
        <v>3418.8</v>
      </c>
      <c r="I204" s="199">
        <v>2145.94</v>
      </c>
      <c r="J204" s="199">
        <v>1473.52</v>
      </c>
      <c r="K204" s="199">
        <v>0</v>
      </c>
      <c r="L204" s="199">
        <v>0</v>
      </c>
      <c r="M204" s="199">
        <v>63447.87</v>
      </c>
    </row>
    <row r="205" spans="1:13">
      <c r="A205" t="s">
        <v>519</v>
      </c>
      <c r="B205" t="s">
        <v>1900</v>
      </c>
      <c r="C205" s="199">
        <v>222807.04000000001</v>
      </c>
      <c r="D205" s="199">
        <v>25585.11</v>
      </c>
      <c r="E205" s="199">
        <v>8405.51</v>
      </c>
      <c r="F205" s="199">
        <v>0</v>
      </c>
      <c r="G205" s="199">
        <v>50999.26</v>
      </c>
      <c r="H205" s="199">
        <v>9017.6200000000008</v>
      </c>
      <c r="I205" s="199">
        <v>0</v>
      </c>
      <c r="J205" s="199">
        <v>5169.63</v>
      </c>
      <c r="K205" s="199">
        <v>1303.77</v>
      </c>
      <c r="L205" s="199">
        <v>0</v>
      </c>
      <c r="M205" s="199">
        <v>323287.94000000006</v>
      </c>
    </row>
    <row r="206" spans="1:13">
      <c r="A206" t="s">
        <v>167</v>
      </c>
      <c r="B206" t="s">
        <v>1720</v>
      </c>
      <c r="C206" s="199">
        <v>354808.38</v>
      </c>
      <c r="D206" s="199">
        <v>23547.18</v>
      </c>
      <c r="E206" s="199">
        <v>2461.48</v>
      </c>
      <c r="F206" s="199">
        <v>0</v>
      </c>
      <c r="G206" s="199">
        <v>52278.45</v>
      </c>
      <c r="H206" s="199">
        <v>35387.410000000003</v>
      </c>
      <c r="I206" s="199">
        <v>20260.099999999999</v>
      </c>
      <c r="J206" s="199">
        <v>47152.57</v>
      </c>
      <c r="K206" s="199">
        <v>1968.27</v>
      </c>
      <c r="L206" s="199">
        <v>8269.7800000000007</v>
      </c>
      <c r="M206" s="199">
        <v>546133.62</v>
      </c>
    </row>
    <row r="207" spans="1:13">
      <c r="A207" t="s">
        <v>249</v>
      </c>
      <c r="B207" t="s">
        <v>1763</v>
      </c>
      <c r="C207" s="199">
        <v>4229.09</v>
      </c>
      <c r="D207" s="199">
        <v>0</v>
      </c>
      <c r="E207" s="199">
        <v>0</v>
      </c>
      <c r="F207" s="199">
        <v>0</v>
      </c>
      <c r="G207" s="199">
        <v>0</v>
      </c>
      <c r="H207" s="199">
        <v>238.94</v>
      </c>
      <c r="I207" s="199">
        <v>119.47</v>
      </c>
      <c r="J207" s="199">
        <v>196.07</v>
      </c>
      <c r="K207" s="199">
        <v>13.78</v>
      </c>
      <c r="L207" s="199">
        <v>113.35</v>
      </c>
      <c r="M207" s="199">
        <v>4910.7</v>
      </c>
    </row>
    <row r="208" spans="1:13">
      <c r="A208" t="s">
        <v>695</v>
      </c>
      <c r="B208" t="s">
        <v>1993</v>
      </c>
      <c r="C208" s="199">
        <v>23522.67</v>
      </c>
      <c r="D208" s="199">
        <v>951.2</v>
      </c>
      <c r="E208" s="199">
        <v>0</v>
      </c>
      <c r="F208" s="199">
        <v>0</v>
      </c>
      <c r="G208" s="199">
        <v>2333.31</v>
      </c>
      <c r="H208" s="199">
        <v>663.24</v>
      </c>
      <c r="I208" s="199">
        <v>0</v>
      </c>
      <c r="J208" s="199">
        <v>0</v>
      </c>
      <c r="K208" s="199">
        <v>0</v>
      </c>
      <c r="L208" s="199">
        <v>994.09</v>
      </c>
      <c r="M208" s="199">
        <v>28464.510000000002</v>
      </c>
    </row>
    <row r="209" spans="1:13">
      <c r="A209" t="s">
        <v>2366</v>
      </c>
      <c r="B209" t="s">
        <v>2456</v>
      </c>
      <c r="C209" s="199">
        <v>27125.29</v>
      </c>
      <c r="D209" s="199">
        <v>0</v>
      </c>
      <c r="E209" s="199">
        <v>0</v>
      </c>
      <c r="F209" s="199">
        <v>0</v>
      </c>
      <c r="G209" s="199">
        <v>2849.65</v>
      </c>
      <c r="H209" s="199">
        <v>1664.99</v>
      </c>
      <c r="I209" s="199">
        <v>764.33</v>
      </c>
      <c r="J209" s="199">
        <v>0</v>
      </c>
      <c r="K209" s="199">
        <v>0</v>
      </c>
      <c r="L209" s="199">
        <v>0</v>
      </c>
      <c r="M209" s="199">
        <v>32404.260000000006</v>
      </c>
    </row>
    <row r="210" spans="1:13">
      <c r="A210" t="s">
        <v>267</v>
      </c>
      <c r="B210" t="s">
        <v>1772</v>
      </c>
      <c r="C210" s="199">
        <v>1416205.29</v>
      </c>
      <c r="D210" s="199">
        <v>101825.91</v>
      </c>
      <c r="E210" s="199">
        <v>19494.240000000002</v>
      </c>
      <c r="F210" s="199">
        <v>0</v>
      </c>
      <c r="G210" s="199">
        <v>260429.53</v>
      </c>
      <c r="H210" s="199">
        <v>131674.57999999999</v>
      </c>
      <c r="I210" s="199">
        <v>79193.16</v>
      </c>
      <c r="J210" s="199">
        <v>167218.23000000001</v>
      </c>
      <c r="K210" s="199">
        <v>8023.17</v>
      </c>
      <c r="L210" s="199">
        <v>9531.92</v>
      </c>
      <c r="M210" s="199">
        <v>2193596.0299999998</v>
      </c>
    </row>
    <row r="211" spans="1:13">
      <c r="A211" t="s">
        <v>480</v>
      </c>
      <c r="B211" t="s">
        <v>1881</v>
      </c>
      <c r="C211" s="199">
        <v>26652.41</v>
      </c>
      <c r="D211" s="199">
        <v>1684.73</v>
      </c>
      <c r="E211" s="199">
        <v>389.85</v>
      </c>
      <c r="F211" s="199">
        <v>0</v>
      </c>
      <c r="G211" s="199">
        <v>3819.89</v>
      </c>
      <c r="H211" s="199">
        <v>1675.45</v>
      </c>
      <c r="I211" s="199">
        <v>1058.18</v>
      </c>
      <c r="J211" s="199">
        <v>1021.04</v>
      </c>
      <c r="K211" s="199">
        <v>100.55</v>
      </c>
      <c r="L211" s="199">
        <v>462.57</v>
      </c>
      <c r="M211" s="199">
        <v>36864.67</v>
      </c>
    </row>
    <row r="212" spans="1:13">
      <c r="A212" t="s">
        <v>179</v>
      </c>
      <c r="B212" t="s">
        <v>1726</v>
      </c>
      <c r="C212" s="199">
        <v>12186.39</v>
      </c>
      <c r="D212" s="199">
        <v>0</v>
      </c>
      <c r="E212" s="199">
        <v>1115.0999999999999</v>
      </c>
      <c r="F212" s="199">
        <v>0</v>
      </c>
      <c r="G212" s="199">
        <v>2241.06</v>
      </c>
      <c r="H212" s="199">
        <v>1378.56</v>
      </c>
      <c r="I212" s="199">
        <v>632.6</v>
      </c>
      <c r="J212" s="199">
        <v>529.98</v>
      </c>
      <c r="K212" s="199">
        <v>59.74</v>
      </c>
      <c r="L212" s="199">
        <v>0</v>
      </c>
      <c r="M212" s="199">
        <v>18143.43</v>
      </c>
    </row>
    <row r="213" spans="1:13">
      <c r="A213" t="s">
        <v>434</v>
      </c>
      <c r="B213" t="s">
        <v>1859</v>
      </c>
      <c r="C213" s="199">
        <v>31343.71</v>
      </c>
      <c r="D213" s="199">
        <v>1113.5</v>
      </c>
      <c r="E213" s="199">
        <v>0</v>
      </c>
      <c r="F213" s="199">
        <v>0</v>
      </c>
      <c r="G213" s="199">
        <v>4829.82</v>
      </c>
      <c r="H213" s="199">
        <v>1631.23</v>
      </c>
      <c r="I213" s="199">
        <v>1266.43</v>
      </c>
      <c r="J213" s="199">
        <v>0</v>
      </c>
      <c r="K213" s="199">
        <v>0</v>
      </c>
      <c r="L213" s="199">
        <v>2209.48</v>
      </c>
      <c r="M213" s="199">
        <v>42394.170000000006</v>
      </c>
    </row>
    <row r="214" spans="1:13">
      <c r="A214" t="s">
        <v>523</v>
      </c>
      <c r="B214" t="s">
        <v>1902</v>
      </c>
      <c r="C214" s="199">
        <v>773391.03</v>
      </c>
      <c r="D214" s="199">
        <v>45574.94</v>
      </c>
      <c r="E214" s="199">
        <v>10459.51</v>
      </c>
      <c r="F214" s="199">
        <v>0</v>
      </c>
      <c r="G214" s="199">
        <v>144109.70000000001</v>
      </c>
      <c r="H214" s="199">
        <v>21658.09</v>
      </c>
      <c r="I214" s="199">
        <v>3011.68</v>
      </c>
      <c r="J214" s="199">
        <v>8469.0400000000009</v>
      </c>
      <c r="K214" s="199">
        <v>4309.8100000000004</v>
      </c>
      <c r="L214" s="199">
        <v>12339.21</v>
      </c>
      <c r="M214" s="199">
        <v>1023323.01</v>
      </c>
    </row>
    <row r="215" spans="1:13">
      <c r="A215" t="s">
        <v>1709</v>
      </c>
      <c r="B215" t="s">
        <v>2017</v>
      </c>
      <c r="C215" s="199">
        <v>25902.98</v>
      </c>
      <c r="D215" s="199">
        <v>0</v>
      </c>
      <c r="E215" s="199">
        <v>0</v>
      </c>
      <c r="F215" s="199">
        <v>0</v>
      </c>
      <c r="G215" s="199">
        <v>3029.09</v>
      </c>
      <c r="H215" s="199">
        <v>1162.57</v>
      </c>
      <c r="I215" s="199">
        <v>0</v>
      </c>
      <c r="J215" s="199">
        <v>847.05</v>
      </c>
      <c r="K215" s="199">
        <v>98.03</v>
      </c>
      <c r="L215" s="199">
        <v>0</v>
      </c>
      <c r="M215" s="199">
        <v>31039.719999999998</v>
      </c>
    </row>
    <row r="216" spans="1:13">
      <c r="A216" t="s">
        <v>466</v>
      </c>
      <c r="B216" t="s">
        <v>1875</v>
      </c>
      <c r="C216" s="199">
        <v>70541.710000000006</v>
      </c>
      <c r="D216" s="199">
        <v>0</v>
      </c>
      <c r="E216" s="199">
        <v>0</v>
      </c>
      <c r="F216" s="199">
        <v>0</v>
      </c>
      <c r="G216" s="199">
        <v>14198.21</v>
      </c>
      <c r="H216" s="199">
        <v>4419.5200000000004</v>
      </c>
      <c r="I216" s="199">
        <v>3508.66</v>
      </c>
      <c r="J216" s="199">
        <v>1484</v>
      </c>
      <c r="K216" s="199">
        <v>336.09</v>
      </c>
      <c r="L216" s="199">
        <v>0</v>
      </c>
      <c r="M216" s="199">
        <v>94488.190000000017</v>
      </c>
    </row>
    <row r="217" spans="1:13">
      <c r="A217" t="s">
        <v>275</v>
      </c>
      <c r="B217" t="s">
        <v>1776</v>
      </c>
      <c r="C217" s="199">
        <v>32749.3</v>
      </c>
      <c r="D217" s="199">
        <v>2728.98</v>
      </c>
      <c r="E217" s="199">
        <v>1185.03</v>
      </c>
      <c r="F217" s="199">
        <v>0</v>
      </c>
      <c r="G217" s="199">
        <v>5452.78</v>
      </c>
      <c r="H217" s="199">
        <v>1703.3</v>
      </c>
      <c r="I217" s="199">
        <v>606.45000000000005</v>
      </c>
      <c r="J217" s="199">
        <v>0</v>
      </c>
      <c r="K217" s="199">
        <v>142.33000000000001</v>
      </c>
      <c r="L217" s="199">
        <v>2263.3200000000002</v>
      </c>
      <c r="M217" s="199">
        <v>46831.49</v>
      </c>
    </row>
    <row r="218" spans="1:13">
      <c r="A218" t="s">
        <v>203</v>
      </c>
      <c r="B218" t="s">
        <v>1738</v>
      </c>
      <c r="C218" s="199">
        <v>245558.16</v>
      </c>
      <c r="D218" s="199">
        <v>20700.939999999999</v>
      </c>
      <c r="E218" s="199">
        <v>6399.05</v>
      </c>
      <c r="F218" s="199">
        <v>0</v>
      </c>
      <c r="G218" s="199">
        <v>58868.09</v>
      </c>
      <c r="H218" s="199">
        <v>20527.29</v>
      </c>
      <c r="I218" s="199">
        <v>16221.44</v>
      </c>
      <c r="J218" s="199">
        <v>1032.25</v>
      </c>
      <c r="K218" s="199">
        <v>1553.16</v>
      </c>
      <c r="L218" s="199">
        <v>3452.01</v>
      </c>
      <c r="M218" s="199">
        <v>374312.38999999996</v>
      </c>
    </row>
    <row r="219" spans="1:13">
      <c r="A219" t="s">
        <v>336</v>
      </c>
      <c r="B219" t="s">
        <v>1807</v>
      </c>
      <c r="C219" s="199">
        <v>95997.63</v>
      </c>
      <c r="D219" s="199">
        <v>5676.68</v>
      </c>
      <c r="E219" s="199">
        <v>770.28</v>
      </c>
      <c r="F219" s="199">
        <v>0</v>
      </c>
      <c r="G219" s="199">
        <v>19670.14</v>
      </c>
      <c r="H219" s="199">
        <v>6716.3</v>
      </c>
      <c r="I219" s="199">
        <v>3063.93</v>
      </c>
      <c r="J219" s="199">
        <v>1151.1199999999999</v>
      </c>
      <c r="K219" s="199">
        <v>600.44000000000005</v>
      </c>
      <c r="L219" s="199">
        <v>4259.67</v>
      </c>
      <c r="M219" s="199">
        <v>137906.19</v>
      </c>
    </row>
    <row r="220" spans="1:13">
      <c r="A220" t="s">
        <v>669</v>
      </c>
      <c r="B220" t="s">
        <v>1979</v>
      </c>
      <c r="C220" s="199">
        <v>29134.91</v>
      </c>
      <c r="D220" s="199">
        <v>1470.45</v>
      </c>
      <c r="E220" s="199">
        <v>0</v>
      </c>
      <c r="F220" s="199">
        <v>0</v>
      </c>
      <c r="G220" s="199">
        <v>4114.67</v>
      </c>
      <c r="H220" s="199">
        <v>2164.3200000000002</v>
      </c>
      <c r="I220" s="199">
        <v>1193.21</v>
      </c>
      <c r="J220" s="199">
        <v>2466.08</v>
      </c>
      <c r="K220" s="199">
        <v>0</v>
      </c>
      <c r="L220" s="199">
        <v>1884.01</v>
      </c>
      <c r="M220" s="199">
        <v>42427.65</v>
      </c>
    </row>
    <row r="221" spans="1:13">
      <c r="A221" t="s">
        <v>1398</v>
      </c>
      <c r="B221" t="s">
        <v>2458</v>
      </c>
      <c r="C221" s="199">
        <v>17420.29</v>
      </c>
      <c r="D221" s="199">
        <v>1496.49</v>
      </c>
      <c r="E221" s="199">
        <v>0</v>
      </c>
      <c r="F221" s="199">
        <v>0</v>
      </c>
      <c r="G221" s="199">
        <v>3239.56</v>
      </c>
      <c r="H221" s="199">
        <v>2319.02</v>
      </c>
      <c r="I221" s="199">
        <v>1919.24</v>
      </c>
      <c r="J221" s="199">
        <v>0</v>
      </c>
      <c r="K221" s="199">
        <v>0</v>
      </c>
      <c r="L221" s="199">
        <v>0</v>
      </c>
      <c r="M221" s="199">
        <v>26394.600000000006</v>
      </c>
    </row>
    <row r="222" spans="1:13">
      <c r="A222" t="s">
        <v>185</v>
      </c>
      <c r="B222" t="s">
        <v>1729</v>
      </c>
      <c r="C222" s="199">
        <v>177514.47</v>
      </c>
      <c r="D222" s="199">
        <v>17910.439999999999</v>
      </c>
      <c r="E222" s="199">
        <v>1709.41</v>
      </c>
      <c r="F222" s="199">
        <v>0</v>
      </c>
      <c r="G222" s="199">
        <v>34598.99</v>
      </c>
      <c r="H222" s="199">
        <v>18270.400000000001</v>
      </c>
      <c r="I222" s="199">
        <v>10945.69</v>
      </c>
      <c r="J222" s="199">
        <v>17110.88</v>
      </c>
      <c r="K222" s="199">
        <v>1064.55</v>
      </c>
      <c r="L222" s="199">
        <v>5782.26</v>
      </c>
      <c r="M222" s="199">
        <v>284907.08999999997</v>
      </c>
    </row>
    <row r="223" spans="1:13">
      <c r="A223" t="s">
        <v>691</v>
      </c>
      <c r="B223" t="s">
        <v>1991</v>
      </c>
      <c r="C223" s="199">
        <v>216483.04</v>
      </c>
      <c r="D223" s="199">
        <v>11250.51</v>
      </c>
      <c r="E223" s="199">
        <v>3398.89</v>
      </c>
      <c r="F223" s="199">
        <v>0</v>
      </c>
      <c r="G223" s="199">
        <v>40966.239999999998</v>
      </c>
      <c r="H223" s="199">
        <v>9220.9699999999993</v>
      </c>
      <c r="I223" s="199">
        <v>1399.99</v>
      </c>
      <c r="J223" s="199">
        <v>4086.63</v>
      </c>
      <c r="K223" s="199">
        <v>1167.17</v>
      </c>
      <c r="L223" s="199">
        <v>0</v>
      </c>
      <c r="M223" s="199">
        <v>287973.44</v>
      </c>
    </row>
    <row r="224" spans="1:13">
      <c r="A224" t="s">
        <v>507</v>
      </c>
      <c r="B224" t="s">
        <v>1895</v>
      </c>
      <c r="C224" s="199">
        <v>1952806.74</v>
      </c>
      <c r="D224" s="199">
        <v>124712.18</v>
      </c>
      <c r="E224" s="199">
        <v>40932.550000000003</v>
      </c>
      <c r="F224" s="199">
        <v>0</v>
      </c>
      <c r="G224" s="199">
        <v>348708.92</v>
      </c>
      <c r="H224" s="199">
        <v>106232.48</v>
      </c>
      <c r="I224" s="199">
        <v>18177.75</v>
      </c>
      <c r="J224" s="199">
        <v>61067.73</v>
      </c>
      <c r="K224" s="199">
        <v>11305.34</v>
      </c>
      <c r="L224" s="199">
        <v>25250.89</v>
      </c>
      <c r="M224" s="199">
        <v>2689194.5799999996</v>
      </c>
    </row>
    <row r="225" spans="1:13">
      <c r="A225" t="s">
        <v>328</v>
      </c>
      <c r="B225" t="s">
        <v>1803</v>
      </c>
      <c r="C225" s="199">
        <v>5674.24</v>
      </c>
      <c r="D225" s="199">
        <v>0</v>
      </c>
      <c r="E225" s="199">
        <v>0</v>
      </c>
      <c r="F225" s="199">
        <v>0</v>
      </c>
      <c r="G225" s="199">
        <v>542.20000000000005</v>
      </c>
      <c r="H225" s="199">
        <v>293.11</v>
      </c>
      <c r="I225" s="199">
        <v>194.35</v>
      </c>
      <c r="J225" s="199">
        <v>0</v>
      </c>
      <c r="K225" s="199">
        <v>0</v>
      </c>
      <c r="L225" s="199">
        <v>0</v>
      </c>
      <c r="M225" s="199">
        <v>6703.9</v>
      </c>
    </row>
    <row r="226" spans="1:13">
      <c r="A226" t="s">
        <v>332</v>
      </c>
      <c r="B226" t="s">
        <v>1805</v>
      </c>
      <c r="C226" s="199">
        <v>24188.79</v>
      </c>
      <c r="D226" s="199">
        <v>944.94</v>
      </c>
      <c r="E226" s="199">
        <v>933.58</v>
      </c>
      <c r="F226" s="199">
        <v>0</v>
      </c>
      <c r="G226" s="199">
        <v>7937.88</v>
      </c>
      <c r="H226" s="199">
        <v>3101.12</v>
      </c>
      <c r="I226" s="199">
        <v>875.13</v>
      </c>
      <c r="J226" s="199">
        <v>0</v>
      </c>
      <c r="K226" s="199">
        <v>310.11</v>
      </c>
      <c r="L226" s="199">
        <v>0</v>
      </c>
      <c r="M226" s="199">
        <v>38291.550000000003</v>
      </c>
    </row>
    <row r="227" spans="1:13">
      <c r="A227" t="s">
        <v>1520</v>
      </c>
      <c r="B227" t="s">
        <v>1743</v>
      </c>
      <c r="C227" s="199">
        <v>20839.09</v>
      </c>
      <c r="D227" s="199">
        <v>12.26</v>
      </c>
      <c r="E227" s="199">
        <v>47.49</v>
      </c>
      <c r="F227" s="199">
        <v>0</v>
      </c>
      <c r="G227" s="199">
        <v>1717.88</v>
      </c>
      <c r="H227" s="199">
        <v>1147.26</v>
      </c>
      <c r="I227" s="199">
        <v>560.6</v>
      </c>
      <c r="J227" s="199">
        <v>0</v>
      </c>
      <c r="K227" s="199">
        <v>0</v>
      </c>
      <c r="L227" s="199">
        <v>0</v>
      </c>
      <c r="M227" s="199">
        <v>24324.579999999998</v>
      </c>
    </row>
    <row r="228" spans="1:13">
      <c r="A228" t="s">
        <v>211</v>
      </c>
      <c r="B228" t="s">
        <v>1742</v>
      </c>
      <c r="C228" s="199">
        <v>68259.710000000006</v>
      </c>
      <c r="D228" s="199">
        <v>2247.04</v>
      </c>
      <c r="E228" s="199">
        <v>1024.72</v>
      </c>
      <c r="F228" s="199">
        <v>0</v>
      </c>
      <c r="G228" s="199">
        <v>58306.62</v>
      </c>
      <c r="H228" s="199">
        <v>20764.04</v>
      </c>
      <c r="I228" s="199">
        <v>16196.44</v>
      </c>
      <c r="J228" s="199">
        <v>10365.17</v>
      </c>
      <c r="K228" s="199">
        <v>1755.35</v>
      </c>
      <c r="L228" s="199">
        <v>1807.43</v>
      </c>
      <c r="M228" s="199">
        <v>180726.52000000002</v>
      </c>
    </row>
    <row r="229" spans="1:13">
      <c r="A229" t="s">
        <v>311</v>
      </c>
      <c r="B229" t="s">
        <v>1794</v>
      </c>
      <c r="C229" s="199">
        <v>24420.26</v>
      </c>
      <c r="D229" s="199">
        <v>1033.9100000000001</v>
      </c>
      <c r="E229" s="199">
        <v>0</v>
      </c>
      <c r="F229" s="199">
        <v>0</v>
      </c>
      <c r="G229" s="199">
        <v>0</v>
      </c>
      <c r="H229" s="199">
        <v>2008.09</v>
      </c>
      <c r="I229" s="199">
        <v>934.35</v>
      </c>
      <c r="J229" s="199">
        <v>1041.57</v>
      </c>
      <c r="K229" s="199">
        <v>0</v>
      </c>
      <c r="L229" s="199">
        <v>0</v>
      </c>
      <c r="M229" s="199">
        <v>29438.179999999997</v>
      </c>
    </row>
    <row r="230" spans="1:13">
      <c r="A230" t="s">
        <v>279</v>
      </c>
      <c r="B230" t="s">
        <v>1778</v>
      </c>
      <c r="C230" s="199">
        <v>236453.66</v>
      </c>
      <c r="D230" s="199">
        <v>23121.360000000001</v>
      </c>
      <c r="E230" s="199">
        <v>4101.96</v>
      </c>
      <c r="F230" s="199">
        <v>0</v>
      </c>
      <c r="G230" s="199">
        <v>42150.239999999998</v>
      </c>
      <c r="H230" s="199">
        <v>25469.49</v>
      </c>
      <c r="I230" s="199">
        <v>14444.15</v>
      </c>
      <c r="J230" s="199">
        <v>32230.53</v>
      </c>
      <c r="K230" s="199">
        <v>1406.12</v>
      </c>
      <c r="L230" s="199">
        <v>4922.96</v>
      </c>
      <c r="M230" s="199">
        <v>384300.47000000003</v>
      </c>
    </row>
    <row r="231" spans="1:13">
      <c r="A231" t="s">
        <v>648</v>
      </c>
      <c r="B231" t="s">
        <v>1967</v>
      </c>
      <c r="C231" s="199">
        <v>76304.33</v>
      </c>
      <c r="D231" s="199">
        <v>6840.68</v>
      </c>
      <c r="E231" s="199">
        <v>1156.45</v>
      </c>
      <c r="F231" s="199">
        <v>0</v>
      </c>
      <c r="G231" s="199">
        <v>15956.61</v>
      </c>
      <c r="H231" s="199">
        <v>4019.24</v>
      </c>
      <c r="I231" s="199">
        <v>0</v>
      </c>
      <c r="J231" s="199">
        <v>0</v>
      </c>
      <c r="K231" s="199">
        <v>424.28</v>
      </c>
      <c r="L231" s="199">
        <v>0</v>
      </c>
      <c r="M231" s="199">
        <v>104701.59000000001</v>
      </c>
    </row>
    <row r="232" spans="1:13">
      <c r="A232" t="s">
        <v>1410</v>
      </c>
      <c r="B232" t="s">
        <v>2019</v>
      </c>
      <c r="C232" s="199">
        <v>30321.5</v>
      </c>
      <c r="D232" s="199">
        <v>0</v>
      </c>
      <c r="E232" s="199">
        <v>0</v>
      </c>
      <c r="F232" s="199">
        <v>0</v>
      </c>
      <c r="G232" s="199">
        <v>2710.24</v>
      </c>
      <c r="H232" s="199">
        <v>2915.39</v>
      </c>
      <c r="I232" s="199">
        <v>1756.82</v>
      </c>
      <c r="J232" s="199">
        <v>4433.63</v>
      </c>
      <c r="K232" s="199">
        <v>0</v>
      </c>
      <c r="L232" s="199">
        <v>0</v>
      </c>
      <c r="M232" s="199">
        <v>42137.579999999994</v>
      </c>
    </row>
    <row r="233" spans="1:13">
      <c r="A233" t="s">
        <v>1516</v>
      </c>
      <c r="B233" t="s">
        <v>2020</v>
      </c>
      <c r="C233" s="199">
        <v>23661.11</v>
      </c>
      <c r="D233" s="199">
        <v>345.22</v>
      </c>
      <c r="E233" s="199">
        <v>0</v>
      </c>
      <c r="F233" s="199">
        <v>0</v>
      </c>
      <c r="G233" s="199">
        <v>2052.58</v>
      </c>
      <c r="H233" s="199">
        <v>1238.0999999999999</v>
      </c>
      <c r="I233" s="199">
        <v>798.88</v>
      </c>
      <c r="J233" s="199">
        <v>489.82</v>
      </c>
      <c r="K233" s="199">
        <v>0</v>
      </c>
      <c r="L233" s="199">
        <v>0</v>
      </c>
      <c r="M233" s="199">
        <v>28585.710000000003</v>
      </c>
    </row>
    <row r="234" spans="1:13">
      <c r="A234" t="s">
        <v>490</v>
      </c>
      <c r="B234" t="s">
        <v>1886</v>
      </c>
      <c r="C234" s="199">
        <v>40206.199999999997</v>
      </c>
      <c r="D234" s="199">
        <v>2988.4</v>
      </c>
      <c r="E234" s="199">
        <v>0</v>
      </c>
      <c r="F234" s="199">
        <v>0</v>
      </c>
      <c r="G234" s="199">
        <v>6735.41</v>
      </c>
      <c r="H234" s="199">
        <v>3153.82</v>
      </c>
      <c r="I234" s="199">
        <v>2243.9699999999998</v>
      </c>
      <c r="J234" s="199">
        <v>1426.03</v>
      </c>
      <c r="K234" s="199">
        <v>200.66</v>
      </c>
      <c r="L234" s="199">
        <v>2881.17</v>
      </c>
      <c r="M234" s="199">
        <v>59835.659999999996</v>
      </c>
    </row>
    <row r="235" spans="1:13">
      <c r="A235" t="s">
        <v>444</v>
      </c>
      <c r="B235" t="s">
        <v>1864</v>
      </c>
      <c r="C235" s="199">
        <v>52976.18</v>
      </c>
      <c r="D235" s="199">
        <v>2619.25</v>
      </c>
      <c r="E235" s="199">
        <v>1167.17</v>
      </c>
      <c r="F235" s="199">
        <v>0</v>
      </c>
      <c r="G235" s="199">
        <v>7779.65</v>
      </c>
      <c r="H235" s="199">
        <v>3296.27</v>
      </c>
      <c r="I235" s="199">
        <v>0</v>
      </c>
      <c r="J235" s="199">
        <v>131.72999999999999</v>
      </c>
      <c r="K235" s="199">
        <v>306.35000000000002</v>
      </c>
      <c r="L235" s="199">
        <v>1884.01</v>
      </c>
      <c r="M235" s="199">
        <v>70160.61</v>
      </c>
    </row>
    <row r="236" spans="1:13">
      <c r="A236" t="s">
        <v>350</v>
      </c>
      <c r="B236" t="s">
        <v>1814</v>
      </c>
      <c r="C236" s="199">
        <v>1238091.92</v>
      </c>
      <c r="D236" s="199">
        <v>143443.34</v>
      </c>
      <c r="E236" s="199">
        <v>22511.58</v>
      </c>
      <c r="F236" s="199">
        <v>0</v>
      </c>
      <c r="G236" s="199">
        <v>259477.37</v>
      </c>
      <c r="H236" s="199">
        <v>88627.5</v>
      </c>
      <c r="I236" s="199">
        <v>37829.58</v>
      </c>
      <c r="J236" s="199">
        <v>105904.76</v>
      </c>
      <c r="K236" s="199">
        <v>7356.26</v>
      </c>
      <c r="L236" s="199">
        <v>34529.21</v>
      </c>
      <c r="M236" s="199">
        <v>1937771.52</v>
      </c>
    </row>
    <row r="237" spans="1:13">
      <c r="A237" t="s">
        <v>265</v>
      </c>
      <c r="B237" t="s">
        <v>1771</v>
      </c>
      <c r="C237" s="199">
        <v>33488.79</v>
      </c>
      <c r="D237" s="199">
        <v>770.43</v>
      </c>
      <c r="E237" s="199">
        <v>0</v>
      </c>
      <c r="F237" s="199">
        <v>0</v>
      </c>
      <c r="G237" s="199">
        <v>7934.01</v>
      </c>
      <c r="H237" s="199">
        <v>2404.1</v>
      </c>
      <c r="I237" s="199">
        <v>1530.03</v>
      </c>
      <c r="J237" s="199">
        <v>0</v>
      </c>
      <c r="K237" s="199">
        <v>230.51</v>
      </c>
      <c r="L237" s="199">
        <v>0</v>
      </c>
      <c r="M237" s="199">
        <v>46357.87</v>
      </c>
    </row>
    <row r="238" spans="1:13">
      <c r="A238" t="s">
        <v>187</v>
      </c>
      <c r="B238" t="s">
        <v>1730</v>
      </c>
      <c r="C238" s="199">
        <v>972527.86</v>
      </c>
      <c r="D238" s="199">
        <v>72638.91</v>
      </c>
      <c r="E238" s="199">
        <v>12157.29</v>
      </c>
      <c r="F238" s="199">
        <v>0</v>
      </c>
      <c r="G238" s="199">
        <v>220377.51</v>
      </c>
      <c r="H238" s="199">
        <v>49385.82</v>
      </c>
      <c r="I238" s="199">
        <v>19754.63</v>
      </c>
      <c r="J238" s="199">
        <v>22364.69</v>
      </c>
      <c r="K238" s="199">
        <v>6110.05</v>
      </c>
      <c r="L238" s="199">
        <v>0</v>
      </c>
      <c r="M238" s="199">
        <v>1375316.76</v>
      </c>
    </row>
    <row r="239" spans="1:13">
      <c r="A239" t="s">
        <v>227</v>
      </c>
      <c r="B239" t="s">
        <v>1752</v>
      </c>
      <c r="C239" s="199">
        <v>335837.43</v>
      </c>
      <c r="D239" s="199">
        <v>19634.52</v>
      </c>
      <c r="E239" s="199">
        <v>6559.46</v>
      </c>
      <c r="F239" s="199">
        <v>0</v>
      </c>
      <c r="G239" s="199">
        <v>55828.97</v>
      </c>
      <c r="H239" s="199">
        <v>10644.49</v>
      </c>
      <c r="I239" s="199">
        <v>0</v>
      </c>
      <c r="J239" s="199">
        <v>5572.29</v>
      </c>
      <c r="K239" s="199">
        <v>1941.85</v>
      </c>
      <c r="L239" s="199">
        <v>0</v>
      </c>
      <c r="M239" s="199">
        <v>436019.00999999995</v>
      </c>
    </row>
    <row r="240" spans="1:13">
      <c r="A240" t="s">
        <v>171</v>
      </c>
      <c r="B240" t="s">
        <v>1722</v>
      </c>
      <c r="C240" s="199">
        <v>34308.28</v>
      </c>
      <c r="D240" s="199">
        <v>2943.85</v>
      </c>
      <c r="E240" s="199">
        <v>861.81</v>
      </c>
      <c r="F240" s="199">
        <v>0</v>
      </c>
      <c r="G240" s="199">
        <v>5187.84</v>
      </c>
      <c r="H240" s="199">
        <v>1972.12</v>
      </c>
      <c r="I240" s="199">
        <v>794.91</v>
      </c>
      <c r="J240" s="199">
        <v>0</v>
      </c>
      <c r="K240" s="199">
        <v>175.23</v>
      </c>
      <c r="L240" s="199">
        <v>1373.16</v>
      </c>
      <c r="M240" s="199">
        <v>47617.200000000012</v>
      </c>
    </row>
    <row r="241" spans="1:13">
      <c r="A241" t="s">
        <v>616</v>
      </c>
      <c r="B241" t="s">
        <v>1950</v>
      </c>
      <c r="C241" s="199">
        <v>102355.88</v>
      </c>
      <c r="D241" s="199">
        <v>8577.65</v>
      </c>
      <c r="E241" s="199">
        <v>4249</v>
      </c>
      <c r="F241" s="199">
        <v>0</v>
      </c>
      <c r="G241" s="199">
        <v>18509.5</v>
      </c>
      <c r="H241" s="199">
        <v>7641.77</v>
      </c>
      <c r="I241" s="199">
        <v>3723.62</v>
      </c>
      <c r="J241" s="199">
        <v>333.92</v>
      </c>
      <c r="K241" s="199">
        <v>644.86</v>
      </c>
      <c r="L241" s="199">
        <v>0</v>
      </c>
      <c r="M241" s="199">
        <v>146036.19999999998</v>
      </c>
    </row>
    <row r="242" spans="1:13">
      <c r="A242" t="s">
        <v>358</v>
      </c>
      <c r="B242" t="s">
        <v>1818</v>
      </c>
      <c r="C242" s="199">
        <v>263106.28000000003</v>
      </c>
      <c r="D242" s="199">
        <v>15876.49</v>
      </c>
      <c r="E242" s="199">
        <v>2029.75</v>
      </c>
      <c r="F242" s="199">
        <v>0</v>
      </c>
      <c r="G242" s="199">
        <v>41060.39</v>
      </c>
      <c r="H242" s="199">
        <v>6107.31</v>
      </c>
      <c r="I242" s="199">
        <v>0</v>
      </c>
      <c r="J242" s="199">
        <v>6349.51</v>
      </c>
      <c r="K242" s="199">
        <v>1539.93</v>
      </c>
      <c r="L242" s="199">
        <v>0</v>
      </c>
      <c r="M242" s="199">
        <v>336069.66000000003</v>
      </c>
    </row>
    <row r="243" spans="1:13">
      <c r="A243" t="s">
        <v>652</v>
      </c>
      <c r="B243" t="s">
        <v>1969</v>
      </c>
      <c r="C243" s="199">
        <v>161950.64000000001</v>
      </c>
      <c r="D243" s="199">
        <v>11570.63</v>
      </c>
      <c r="E243" s="199">
        <v>0</v>
      </c>
      <c r="F243" s="199">
        <v>0</v>
      </c>
      <c r="G243" s="199">
        <v>34923.040000000001</v>
      </c>
      <c r="H243" s="199">
        <v>13327.53</v>
      </c>
      <c r="I243" s="199">
        <v>6897.36</v>
      </c>
      <c r="J243" s="199">
        <v>5550.96</v>
      </c>
      <c r="K243" s="199">
        <v>911.37</v>
      </c>
      <c r="L243" s="199">
        <v>4057.54</v>
      </c>
      <c r="M243" s="199">
        <v>239189.07</v>
      </c>
    </row>
    <row r="244" spans="1:13">
      <c r="A244" t="s">
        <v>408</v>
      </c>
      <c r="B244" t="s">
        <v>1846</v>
      </c>
      <c r="C244" s="199">
        <v>4203.05</v>
      </c>
      <c r="D244" s="199">
        <v>0</v>
      </c>
      <c r="E244" s="199">
        <v>0</v>
      </c>
      <c r="F244" s="199">
        <v>0</v>
      </c>
      <c r="G244" s="199">
        <v>0</v>
      </c>
      <c r="H244" s="199">
        <v>153.16999999999999</v>
      </c>
      <c r="I244" s="199">
        <v>0</v>
      </c>
      <c r="J244" s="199">
        <v>312.47000000000003</v>
      </c>
      <c r="K244" s="199">
        <v>0</v>
      </c>
      <c r="L244" s="199">
        <v>0</v>
      </c>
      <c r="M244" s="199">
        <v>4668.6900000000005</v>
      </c>
    </row>
    <row r="245" spans="1:13">
      <c r="A245" t="s">
        <v>2368</v>
      </c>
      <c r="B245" t="s">
        <v>2452</v>
      </c>
      <c r="C245" s="199">
        <v>13969.68</v>
      </c>
      <c r="D245" s="199">
        <v>730.63</v>
      </c>
      <c r="E245" s="199">
        <v>0</v>
      </c>
      <c r="F245" s="199">
        <v>0</v>
      </c>
      <c r="G245" s="199">
        <v>790.4</v>
      </c>
      <c r="H245" s="199">
        <v>136.38</v>
      </c>
      <c r="I245" s="199">
        <v>125.02</v>
      </c>
      <c r="J245" s="199">
        <v>74.69</v>
      </c>
      <c r="K245" s="199">
        <v>0</v>
      </c>
      <c r="L245" s="199">
        <v>0</v>
      </c>
      <c r="M245" s="199">
        <v>15826.8</v>
      </c>
    </row>
    <row r="246" spans="1:13">
      <c r="A246" t="s">
        <v>705</v>
      </c>
      <c r="B246" t="s">
        <v>1998</v>
      </c>
      <c r="C246" s="199">
        <v>23033.08</v>
      </c>
      <c r="D246" s="199">
        <v>487.45</v>
      </c>
      <c r="E246" s="199">
        <v>203.9</v>
      </c>
      <c r="F246" s="199">
        <v>0</v>
      </c>
      <c r="G246" s="199">
        <v>2413.09</v>
      </c>
      <c r="H246" s="199">
        <v>955.79</v>
      </c>
      <c r="I246" s="199">
        <v>688.17</v>
      </c>
      <c r="J246" s="199">
        <v>0</v>
      </c>
      <c r="K246" s="199">
        <v>62.13</v>
      </c>
      <c r="L246" s="199">
        <v>1148.54</v>
      </c>
      <c r="M246" s="199">
        <v>28992.150000000005</v>
      </c>
    </row>
    <row r="247" spans="1:13">
      <c r="A247" t="s">
        <v>287</v>
      </c>
      <c r="B247" t="s">
        <v>1782</v>
      </c>
      <c r="C247" s="199">
        <v>131673.06</v>
      </c>
      <c r="D247" s="199">
        <v>10470.86</v>
      </c>
      <c r="E247" s="199">
        <v>1536.31</v>
      </c>
      <c r="F247" s="199">
        <v>0</v>
      </c>
      <c r="G247" s="199">
        <v>20730.84</v>
      </c>
      <c r="H247" s="199">
        <v>12806.73</v>
      </c>
      <c r="I247" s="199">
        <v>7693.85</v>
      </c>
      <c r="J247" s="199">
        <v>18682.43</v>
      </c>
      <c r="K247" s="199">
        <v>742.89</v>
      </c>
      <c r="L247" s="199">
        <v>4694.74</v>
      </c>
      <c r="M247" s="199">
        <v>209031.71</v>
      </c>
    </row>
    <row r="248" spans="1:13">
      <c r="A248" t="s">
        <v>541</v>
      </c>
      <c r="B248" t="s">
        <v>1911</v>
      </c>
      <c r="C248" s="199">
        <v>71371.199999999997</v>
      </c>
      <c r="D248" s="199">
        <v>2446.35</v>
      </c>
      <c r="E248" s="199">
        <v>0</v>
      </c>
      <c r="F248" s="199">
        <v>0</v>
      </c>
      <c r="G248" s="199">
        <v>14274.39</v>
      </c>
      <c r="H248" s="199">
        <v>3408.75</v>
      </c>
      <c r="I248" s="199">
        <v>0</v>
      </c>
      <c r="J248" s="199">
        <v>2113.5300000000002</v>
      </c>
      <c r="K248" s="199">
        <v>386</v>
      </c>
      <c r="L248" s="199">
        <v>2161.5700000000002</v>
      </c>
      <c r="M248" s="199">
        <v>96161.790000000008</v>
      </c>
    </row>
    <row r="249" spans="1:13">
      <c r="A249" t="s">
        <v>314</v>
      </c>
      <c r="B249" t="s">
        <v>1796</v>
      </c>
      <c r="C249" s="199">
        <v>6819.23</v>
      </c>
      <c r="D249" s="199">
        <v>0</v>
      </c>
      <c r="E249" s="199">
        <v>0</v>
      </c>
      <c r="F249" s="199">
        <v>0</v>
      </c>
      <c r="G249" s="199">
        <v>1638.01</v>
      </c>
      <c r="H249" s="199">
        <v>358.43</v>
      </c>
      <c r="I249" s="199">
        <v>260.39</v>
      </c>
      <c r="J249" s="199">
        <v>0</v>
      </c>
      <c r="K249" s="199">
        <v>0</v>
      </c>
      <c r="L249" s="199">
        <v>0</v>
      </c>
      <c r="M249" s="199">
        <v>9076.06</v>
      </c>
    </row>
    <row r="250" spans="1:13">
      <c r="A250" t="s">
        <v>338</v>
      </c>
      <c r="B250" t="s">
        <v>1808</v>
      </c>
      <c r="C250" s="199">
        <v>4780014.42</v>
      </c>
      <c r="D250" s="199">
        <v>194311.75</v>
      </c>
      <c r="E250" s="199">
        <v>40670.870000000003</v>
      </c>
      <c r="F250" s="199">
        <v>21020.45</v>
      </c>
      <c r="G250" s="199">
        <v>1003192.17</v>
      </c>
      <c r="H250" s="199">
        <v>232732.36</v>
      </c>
      <c r="I250" s="199">
        <v>74068.62</v>
      </c>
      <c r="J250" s="199">
        <v>214256.78</v>
      </c>
      <c r="K250" s="199">
        <v>25938.48</v>
      </c>
      <c r="L250" s="199">
        <v>0</v>
      </c>
      <c r="M250" s="199">
        <v>6586205.9000000013</v>
      </c>
    </row>
    <row r="251" spans="1:13">
      <c r="A251" t="s">
        <v>546</v>
      </c>
      <c r="B251" t="s">
        <v>1914</v>
      </c>
      <c r="C251" s="199">
        <v>376171.13</v>
      </c>
      <c r="D251" s="199">
        <v>35012.26</v>
      </c>
      <c r="E251" s="199">
        <v>3719.27</v>
      </c>
      <c r="F251" s="199">
        <v>0</v>
      </c>
      <c r="G251" s="199">
        <v>86797.37</v>
      </c>
      <c r="H251" s="199">
        <v>24058.6</v>
      </c>
      <c r="I251" s="199">
        <v>11293.33</v>
      </c>
      <c r="J251" s="199">
        <v>11434.01</v>
      </c>
      <c r="K251" s="199">
        <v>2132.41</v>
      </c>
      <c r="L251" s="199">
        <v>13410.3</v>
      </c>
      <c r="M251" s="199">
        <v>564028.68000000005</v>
      </c>
    </row>
    <row r="252" spans="1:13">
      <c r="A252" t="s">
        <v>718</v>
      </c>
      <c r="B252" t="s">
        <v>2005</v>
      </c>
      <c r="C252" s="199">
        <v>254361.03</v>
      </c>
      <c r="D252" s="199">
        <v>37798.339999999997</v>
      </c>
      <c r="E252" s="199">
        <v>16322.04</v>
      </c>
      <c r="F252" s="199">
        <v>0</v>
      </c>
      <c r="G252" s="199">
        <v>48361.01</v>
      </c>
      <c r="H252" s="199">
        <v>22283.52</v>
      </c>
      <c r="I252" s="199">
        <v>16418.54</v>
      </c>
      <c r="J252" s="199">
        <v>10368.24</v>
      </c>
      <c r="K252" s="199">
        <v>1597.58</v>
      </c>
      <c r="L252" s="199">
        <v>2057.11</v>
      </c>
      <c r="M252" s="199">
        <v>409567.41</v>
      </c>
    </row>
    <row r="253" spans="1:13">
      <c r="A253" t="s">
        <v>503</v>
      </c>
      <c r="B253" t="s">
        <v>1893</v>
      </c>
      <c r="C253" s="199">
        <v>27898.81</v>
      </c>
      <c r="D253" s="199">
        <v>1596.06</v>
      </c>
      <c r="E253" s="199">
        <v>439.6</v>
      </c>
      <c r="F253" s="199">
        <v>0</v>
      </c>
      <c r="G253" s="199">
        <v>4108.22</v>
      </c>
      <c r="H253" s="199">
        <v>1637.41</v>
      </c>
      <c r="I253" s="199">
        <v>1148.79</v>
      </c>
      <c r="J253" s="199">
        <v>0</v>
      </c>
      <c r="K253" s="199">
        <v>0</v>
      </c>
      <c r="L253" s="199">
        <v>1026.25</v>
      </c>
      <c r="M253" s="199">
        <v>37855.140000000007</v>
      </c>
    </row>
    <row r="254" spans="1:13">
      <c r="A254" t="s">
        <v>207</v>
      </c>
      <c r="B254" t="s">
        <v>1740</v>
      </c>
      <c r="C254" s="199">
        <v>184158.23</v>
      </c>
      <c r="D254" s="199">
        <v>21920.59</v>
      </c>
      <c r="E254" s="199">
        <v>6348.38</v>
      </c>
      <c r="F254" s="199">
        <v>0</v>
      </c>
      <c r="G254" s="199">
        <v>45114.31</v>
      </c>
      <c r="H254" s="199">
        <v>13368.94</v>
      </c>
      <c r="I254" s="199">
        <v>3146.59</v>
      </c>
      <c r="J254" s="199">
        <v>1201.48</v>
      </c>
      <c r="K254" s="199">
        <v>1199.8599999999999</v>
      </c>
      <c r="L254" s="199">
        <v>0</v>
      </c>
      <c r="M254" s="199">
        <v>276458.38</v>
      </c>
    </row>
    <row r="255" spans="1:13">
      <c r="A255" t="s">
        <v>535</v>
      </c>
      <c r="B255" t="s">
        <v>1909</v>
      </c>
      <c r="C255" s="199">
        <v>3114.2</v>
      </c>
      <c r="D255" s="199">
        <v>0</v>
      </c>
      <c r="E255" s="199">
        <v>0</v>
      </c>
      <c r="F255" s="199">
        <v>0</v>
      </c>
      <c r="G255" s="199">
        <v>66.150000000000006</v>
      </c>
      <c r="H255" s="199">
        <v>0</v>
      </c>
      <c r="I255" s="199">
        <v>0</v>
      </c>
      <c r="J255" s="199">
        <v>0</v>
      </c>
      <c r="K255" s="199">
        <v>1.81</v>
      </c>
      <c r="L255" s="199">
        <v>280.16000000000003</v>
      </c>
      <c r="M255" s="199">
        <v>3462.3199999999997</v>
      </c>
    </row>
    <row r="256" spans="1:13">
      <c r="A256" t="s">
        <v>462</v>
      </c>
      <c r="B256" t="s">
        <v>1873</v>
      </c>
      <c r="C256" s="199">
        <v>285298.78000000003</v>
      </c>
      <c r="D256" s="199">
        <v>57309.43</v>
      </c>
      <c r="E256" s="199">
        <v>11388.36</v>
      </c>
      <c r="F256" s="199">
        <v>0</v>
      </c>
      <c r="G256" s="199">
        <v>73985.009999999995</v>
      </c>
      <c r="H256" s="199">
        <v>28948.04</v>
      </c>
      <c r="I256" s="199">
        <v>19379.36</v>
      </c>
      <c r="J256" s="199">
        <v>26391.59</v>
      </c>
      <c r="K256" s="199">
        <v>1914.65</v>
      </c>
      <c r="L256" s="199">
        <v>0</v>
      </c>
      <c r="M256" s="199">
        <v>504615.22000000003</v>
      </c>
    </row>
    <row r="257" spans="1:13">
      <c r="A257" t="s">
        <v>366</v>
      </c>
      <c r="B257" t="s">
        <v>1823</v>
      </c>
      <c r="C257" s="199">
        <v>873492.83</v>
      </c>
      <c r="D257" s="199">
        <v>46387.78</v>
      </c>
      <c r="E257" s="199">
        <v>2926.23</v>
      </c>
      <c r="F257" s="199">
        <v>0</v>
      </c>
      <c r="G257" s="199">
        <v>154066.95000000001</v>
      </c>
      <c r="H257" s="199">
        <v>31136.66</v>
      </c>
      <c r="I257" s="199">
        <v>0</v>
      </c>
      <c r="J257" s="199">
        <v>32165.08</v>
      </c>
      <c r="K257" s="199">
        <v>4807.7700000000004</v>
      </c>
      <c r="L257" s="199">
        <v>0</v>
      </c>
      <c r="M257" s="199">
        <v>1144983.3</v>
      </c>
    </row>
    <row r="258" spans="1:13">
      <c r="A258" t="s">
        <v>556</v>
      </c>
      <c r="B258" t="s">
        <v>1919</v>
      </c>
      <c r="C258" s="199">
        <v>11058.53</v>
      </c>
      <c r="D258" s="199">
        <v>0</v>
      </c>
      <c r="E258" s="199">
        <v>0</v>
      </c>
      <c r="F258" s="199">
        <v>0</v>
      </c>
      <c r="G258" s="199">
        <v>0</v>
      </c>
      <c r="H258" s="199">
        <v>565.02</v>
      </c>
      <c r="I258" s="199">
        <v>391.3</v>
      </c>
      <c r="J258" s="199">
        <v>0</v>
      </c>
      <c r="K258" s="199">
        <v>0</v>
      </c>
      <c r="L258" s="199">
        <v>957.94</v>
      </c>
      <c r="M258" s="199">
        <v>12972.79</v>
      </c>
    </row>
    <row r="259" spans="1:13">
      <c r="A259" t="s">
        <v>352</v>
      </c>
      <c r="B259" t="s">
        <v>1815</v>
      </c>
      <c r="C259" s="199">
        <v>22779.08</v>
      </c>
      <c r="D259" s="199">
        <v>157.25</v>
      </c>
      <c r="E259" s="199">
        <v>0</v>
      </c>
      <c r="F259" s="199">
        <v>0</v>
      </c>
      <c r="G259" s="199">
        <v>853.71</v>
      </c>
      <c r="H259" s="199">
        <v>390.4</v>
      </c>
      <c r="I259" s="199">
        <v>227.73</v>
      </c>
      <c r="J259" s="199">
        <v>0</v>
      </c>
      <c r="K259" s="199">
        <v>0</v>
      </c>
      <c r="L259" s="199">
        <v>0</v>
      </c>
      <c r="M259" s="199">
        <v>24408.170000000002</v>
      </c>
    </row>
    <row r="260" spans="1:13">
      <c r="A260" t="s">
        <v>580</v>
      </c>
      <c r="B260" t="s">
        <v>1931</v>
      </c>
      <c r="C260" s="199">
        <v>913122.74</v>
      </c>
      <c r="D260" s="199">
        <v>45899.07</v>
      </c>
      <c r="E260" s="199">
        <v>12466.12</v>
      </c>
      <c r="F260" s="199">
        <v>0</v>
      </c>
      <c r="G260" s="199">
        <v>168683.64</v>
      </c>
      <c r="H260" s="199">
        <v>24298.74</v>
      </c>
      <c r="I260" s="199">
        <v>175.65</v>
      </c>
      <c r="J260" s="199">
        <v>18759.91</v>
      </c>
      <c r="K260" s="199">
        <v>5112.7700000000004</v>
      </c>
      <c r="L260" s="199">
        <v>8332.5400000000009</v>
      </c>
      <c r="M260" s="199">
        <v>1196851.1799999997</v>
      </c>
    </row>
    <row r="261" spans="1:13">
      <c r="A261" t="s">
        <v>363</v>
      </c>
      <c r="B261" t="s">
        <v>1821</v>
      </c>
      <c r="C261" s="199">
        <v>640979.16</v>
      </c>
      <c r="D261" s="199">
        <v>44972.56</v>
      </c>
      <c r="E261" s="199">
        <v>4773.43</v>
      </c>
      <c r="F261" s="199">
        <v>0</v>
      </c>
      <c r="G261" s="199">
        <v>100163.73</v>
      </c>
      <c r="H261" s="199">
        <v>9895.69</v>
      </c>
      <c r="I261" s="199">
        <v>0</v>
      </c>
      <c r="J261" s="199">
        <v>8948.6</v>
      </c>
      <c r="K261" s="199">
        <v>3656.44</v>
      </c>
      <c r="L261" s="199">
        <v>1874.31</v>
      </c>
      <c r="M261" s="199">
        <v>815263.91999999993</v>
      </c>
    </row>
    <row r="262" spans="1:13">
      <c r="A262" t="s">
        <v>285</v>
      </c>
      <c r="B262" t="s">
        <v>1781</v>
      </c>
      <c r="C262" s="199">
        <v>44994.37</v>
      </c>
      <c r="D262" s="199">
        <v>2780.08</v>
      </c>
      <c r="E262" s="199">
        <v>206.78</v>
      </c>
      <c r="F262" s="199">
        <v>0</v>
      </c>
      <c r="G262" s="199">
        <v>8877.2900000000009</v>
      </c>
      <c r="H262" s="199">
        <v>3950.31</v>
      </c>
      <c r="I262" s="199">
        <v>2407.87</v>
      </c>
      <c r="J262" s="199">
        <v>3596.49</v>
      </c>
      <c r="K262" s="199">
        <v>226.7</v>
      </c>
      <c r="L262" s="199">
        <v>3882.92</v>
      </c>
      <c r="M262" s="199">
        <v>70922.81</v>
      </c>
    </row>
    <row r="263" spans="1:13">
      <c r="A263" t="s">
        <v>492</v>
      </c>
      <c r="B263" t="s">
        <v>1887</v>
      </c>
      <c r="C263" s="199">
        <v>41194.160000000003</v>
      </c>
      <c r="D263" s="199">
        <v>3227.34</v>
      </c>
      <c r="E263" s="199">
        <v>595.85</v>
      </c>
      <c r="F263" s="199">
        <v>0</v>
      </c>
      <c r="G263" s="199">
        <v>16120.82</v>
      </c>
      <c r="H263" s="199">
        <v>3703.7</v>
      </c>
      <c r="I263" s="199">
        <v>2391.02</v>
      </c>
      <c r="J263" s="199">
        <v>3235</v>
      </c>
      <c r="K263" s="199">
        <v>0</v>
      </c>
      <c r="L263" s="199">
        <v>992.56</v>
      </c>
      <c r="M263" s="199">
        <v>71460.45</v>
      </c>
    </row>
    <row r="264" spans="1:13">
      <c r="A264" t="s">
        <v>382</v>
      </c>
      <c r="B264" t="s">
        <v>1832</v>
      </c>
      <c r="C264" s="199">
        <v>789474.28</v>
      </c>
      <c r="D264" s="199">
        <v>68163.740000000005</v>
      </c>
      <c r="E264" s="199">
        <v>33721.279999999999</v>
      </c>
      <c r="F264" s="199">
        <v>0</v>
      </c>
      <c r="G264" s="199">
        <v>182689.13</v>
      </c>
      <c r="H264" s="199">
        <v>46644.43</v>
      </c>
      <c r="I264" s="199">
        <v>6873.67</v>
      </c>
      <c r="J264" s="199">
        <v>7325.53</v>
      </c>
      <c r="K264" s="199">
        <v>4768.0200000000004</v>
      </c>
      <c r="L264" s="199">
        <v>0</v>
      </c>
      <c r="M264" s="199">
        <v>1139660.08</v>
      </c>
    </row>
    <row r="265" spans="1:13">
      <c r="A265" t="s">
        <v>326</v>
      </c>
      <c r="B265" t="s">
        <v>1802</v>
      </c>
      <c r="C265" s="199">
        <v>103539.53</v>
      </c>
      <c r="D265" s="199">
        <v>6430.66</v>
      </c>
      <c r="E265" s="199">
        <v>0</v>
      </c>
      <c r="F265" s="199">
        <v>0</v>
      </c>
      <c r="G265" s="199">
        <v>21565.17</v>
      </c>
      <c r="H265" s="199">
        <v>4194.16</v>
      </c>
      <c r="I265" s="199">
        <v>131.24</v>
      </c>
      <c r="J265" s="199">
        <v>333.56</v>
      </c>
      <c r="K265" s="199">
        <v>614.27</v>
      </c>
      <c r="L265" s="199">
        <v>2077.94</v>
      </c>
      <c r="M265" s="199">
        <v>138886.52999999997</v>
      </c>
    </row>
    <row r="266" spans="1:13">
      <c r="A266" t="s">
        <v>458</v>
      </c>
      <c r="B266" t="s">
        <v>1871</v>
      </c>
      <c r="C266" s="199">
        <v>19647.41</v>
      </c>
      <c r="D266" s="199">
        <v>0</v>
      </c>
      <c r="E266" s="199">
        <v>0</v>
      </c>
      <c r="F266" s="199">
        <v>0</v>
      </c>
      <c r="G266" s="199">
        <v>4469.1000000000004</v>
      </c>
      <c r="H266" s="199">
        <v>1029.32</v>
      </c>
      <c r="I266" s="199">
        <v>0</v>
      </c>
      <c r="J266" s="199">
        <v>419.69</v>
      </c>
      <c r="K266" s="199">
        <v>91.9</v>
      </c>
      <c r="L266" s="199">
        <v>0</v>
      </c>
      <c r="M266" s="199">
        <v>25657.420000000002</v>
      </c>
    </row>
    <row r="267" spans="1:13">
      <c r="A267" t="s">
        <v>592</v>
      </c>
      <c r="B267" t="s">
        <v>1937</v>
      </c>
      <c r="C267" s="199">
        <v>2193032.5299999998</v>
      </c>
      <c r="D267" s="199">
        <v>96553.71</v>
      </c>
      <c r="E267" s="199">
        <v>22055.29</v>
      </c>
      <c r="F267" s="199">
        <v>49422.58</v>
      </c>
      <c r="G267" s="199">
        <v>484798.62</v>
      </c>
      <c r="H267" s="199">
        <v>167896.78</v>
      </c>
      <c r="I267" s="199">
        <v>79943.7</v>
      </c>
      <c r="J267" s="199">
        <v>65502.61</v>
      </c>
      <c r="K267" s="199">
        <v>12645.91</v>
      </c>
      <c r="L267" s="199">
        <v>12347.22</v>
      </c>
      <c r="M267" s="199">
        <v>3184198.95</v>
      </c>
    </row>
    <row r="268" spans="1:13">
      <c r="A268" t="s">
        <v>1446</v>
      </c>
      <c r="B268" t="s">
        <v>2026</v>
      </c>
      <c r="C268" s="199">
        <v>82359.23</v>
      </c>
      <c r="D268" s="199">
        <v>0</v>
      </c>
      <c r="E268" s="199">
        <v>0</v>
      </c>
      <c r="F268" s="199">
        <v>0</v>
      </c>
      <c r="G268" s="199">
        <v>10741.72</v>
      </c>
      <c r="H268" s="199">
        <v>3777.23</v>
      </c>
      <c r="I268" s="199">
        <v>0</v>
      </c>
      <c r="J268" s="199">
        <v>1309.6300000000001</v>
      </c>
      <c r="K268" s="199">
        <v>364.55</v>
      </c>
      <c r="L268" s="199">
        <v>0</v>
      </c>
      <c r="M268" s="199">
        <v>98552.36</v>
      </c>
    </row>
    <row r="269" spans="1:13">
      <c r="A269" t="s">
        <v>442</v>
      </c>
      <c r="B269" t="s">
        <v>1863</v>
      </c>
      <c r="C269" s="199">
        <v>17767.990000000002</v>
      </c>
      <c r="D269" s="199">
        <v>277.24</v>
      </c>
      <c r="E269" s="199">
        <v>0</v>
      </c>
      <c r="F269" s="199">
        <v>0</v>
      </c>
      <c r="G269" s="199">
        <v>896.33</v>
      </c>
      <c r="H269" s="199">
        <v>402.85</v>
      </c>
      <c r="I269" s="199">
        <v>160.84</v>
      </c>
      <c r="J269" s="199">
        <v>0</v>
      </c>
      <c r="K269" s="199">
        <v>21.45</v>
      </c>
      <c r="L269" s="199">
        <v>0</v>
      </c>
      <c r="M269" s="199">
        <v>19526.700000000004</v>
      </c>
    </row>
    <row r="270" spans="1:13">
      <c r="A270" t="s">
        <v>707</v>
      </c>
      <c r="B270" t="s">
        <v>1999</v>
      </c>
      <c r="C270" s="199">
        <v>22974.32</v>
      </c>
      <c r="D270" s="199">
        <v>1010.94</v>
      </c>
      <c r="E270" s="199">
        <v>0</v>
      </c>
      <c r="F270" s="199">
        <v>0</v>
      </c>
      <c r="G270" s="199">
        <v>2407.48</v>
      </c>
      <c r="H270" s="199">
        <v>637.20000000000005</v>
      </c>
      <c r="I270" s="199">
        <v>185.34</v>
      </c>
      <c r="J270" s="199">
        <v>0</v>
      </c>
      <c r="K270" s="199">
        <v>0</v>
      </c>
      <c r="L270" s="199">
        <v>799.56</v>
      </c>
      <c r="M270" s="199">
        <v>28014.84</v>
      </c>
    </row>
    <row r="271" spans="1:13">
      <c r="A271" t="s">
        <v>590</v>
      </c>
      <c r="B271" t="s">
        <v>1936</v>
      </c>
      <c r="C271" s="199">
        <v>410065.66</v>
      </c>
      <c r="D271" s="199">
        <v>37589.96</v>
      </c>
      <c r="E271" s="199">
        <v>8546.41</v>
      </c>
      <c r="F271" s="199">
        <v>0</v>
      </c>
      <c r="G271" s="199">
        <v>92893.38</v>
      </c>
      <c r="H271" s="199">
        <v>16833.39</v>
      </c>
      <c r="I271" s="199">
        <v>0</v>
      </c>
      <c r="J271" s="199">
        <v>4900.41</v>
      </c>
      <c r="K271" s="199">
        <v>2432.4299999999998</v>
      </c>
      <c r="L271" s="199">
        <v>4987.4799999999996</v>
      </c>
      <c r="M271" s="199">
        <v>578249.12</v>
      </c>
    </row>
    <row r="272" spans="1:13">
      <c r="A272" t="s">
        <v>271</v>
      </c>
      <c r="B272" t="s">
        <v>1774</v>
      </c>
      <c r="C272" s="199">
        <v>3205.9</v>
      </c>
      <c r="D272" s="199">
        <v>0</v>
      </c>
      <c r="E272" s="199">
        <v>0</v>
      </c>
      <c r="F272" s="199">
        <v>0</v>
      </c>
      <c r="G272" s="199">
        <v>0</v>
      </c>
      <c r="H272" s="199">
        <v>0</v>
      </c>
      <c r="I272" s="199">
        <v>0</v>
      </c>
      <c r="J272" s="199">
        <v>0</v>
      </c>
      <c r="K272" s="199">
        <v>0</v>
      </c>
      <c r="L272" s="199">
        <v>0</v>
      </c>
      <c r="M272" s="199">
        <v>3205.9</v>
      </c>
    </row>
    <row r="273" spans="1:13">
      <c r="A273" t="s">
        <v>231</v>
      </c>
      <c r="B273" t="s">
        <v>1754</v>
      </c>
      <c r="C273" s="199">
        <v>1433.69</v>
      </c>
      <c r="D273" s="199">
        <v>0</v>
      </c>
      <c r="E273" s="199">
        <v>0</v>
      </c>
      <c r="F273" s="199">
        <v>0</v>
      </c>
      <c r="G273" s="199">
        <v>10729.28</v>
      </c>
      <c r="H273" s="199">
        <v>5825.15</v>
      </c>
      <c r="I273" s="199">
        <v>110.28</v>
      </c>
      <c r="J273" s="199">
        <v>0</v>
      </c>
      <c r="K273" s="199">
        <v>0</v>
      </c>
      <c r="L273" s="199">
        <v>289.5</v>
      </c>
      <c r="M273" s="199">
        <v>18387.900000000001</v>
      </c>
    </row>
    <row r="274" spans="1:13">
      <c r="A274" t="s">
        <v>191</v>
      </c>
      <c r="B274" t="s">
        <v>1732</v>
      </c>
      <c r="C274" s="199">
        <v>3605.68</v>
      </c>
      <c r="D274" s="199">
        <v>0</v>
      </c>
      <c r="E274" s="199">
        <v>0</v>
      </c>
      <c r="F274" s="199">
        <v>0</v>
      </c>
      <c r="G274" s="199">
        <v>0</v>
      </c>
      <c r="H274" s="199">
        <v>0</v>
      </c>
      <c r="I274" s="199">
        <v>0</v>
      </c>
      <c r="J274" s="199">
        <v>0</v>
      </c>
      <c r="K274" s="199">
        <v>0</v>
      </c>
      <c r="L274" s="199">
        <v>0</v>
      </c>
      <c r="M274" s="199">
        <v>3605.68</v>
      </c>
    </row>
    <row r="275" spans="1:13">
      <c r="A275" t="s">
        <v>505</v>
      </c>
      <c r="B275" t="s">
        <v>1894</v>
      </c>
      <c r="C275" s="199">
        <v>238247.73</v>
      </c>
      <c r="D275" s="199">
        <v>20965.89</v>
      </c>
      <c r="E275" s="199">
        <v>1519.71</v>
      </c>
      <c r="F275" s="199">
        <v>0</v>
      </c>
      <c r="G275" s="199">
        <v>48197.14</v>
      </c>
      <c r="H275" s="199">
        <v>8783.83</v>
      </c>
      <c r="I275" s="199">
        <v>81.180000000000007</v>
      </c>
      <c r="J275" s="199">
        <v>3159.57</v>
      </c>
      <c r="K275" s="199">
        <v>1388.2</v>
      </c>
      <c r="L275" s="199">
        <v>3828.51</v>
      </c>
      <c r="M275" s="199">
        <v>326171.76</v>
      </c>
    </row>
    <row r="276" spans="1:13">
      <c r="A276" t="s">
        <v>699</v>
      </c>
      <c r="B276" t="s">
        <v>1995</v>
      </c>
      <c r="C276" s="199">
        <v>5841.5</v>
      </c>
      <c r="D276" s="199">
        <v>0</v>
      </c>
      <c r="E276" s="199">
        <v>0</v>
      </c>
      <c r="F276" s="199">
        <v>0</v>
      </c>
      <c r="G276" s="199">
        <v>584.64</v>
      </c>
      <c r="H276" s="199">
        <v>0</v>
      </c>
      <c r="I276" s="199">
        <v>0</v>
      </c>
      <c r="J276" s="199">
        <v>0</v>
      </c>
      <c r="K276" s="199">
        <v>0</v>
      </c>
      <c r="L276" s="199">
        <v>748.7</v>
      </c>
      <c r="M276" s="199">
        <v>7174.84</v>
      </c>
    </row>
    <row r="277" spans="1:13">
      <c r="A277" t="s">
        <v>562</v>
      </c>
      <c r="B277" t="s">
        <v>1922</v>
      </c>
      <c r="C277" s="199">
        <v>55820.59</v>
      </c>
      <c r="D277" s="199">
        <v>2501.31</v>
      </c>
      <c r="E277" s="199">
        <v>1317.29</v>
      </c>
      <c r="F277" s="199">
        <v>0</v>
      </c>
      <c r="G277" s="199">
        <v>0</v>
      </c>
      <c r="H277" s="199">
        <v>4115.74</v>
      </c>
      <c r="I277" s="199">
        <v>3532.15</v>
      </c>
      <c r="J277" s="199">
        <v>407.44</v>
      </c>
      <c r="K277" s="199">
        <v>310.94</v>
      </c>
      <c r="L277" s="199">
        <v>3231.94</v>
      </c>
      <c r="M277" s="199">
        <v>71237.399999999994</v>
      </c>
    </row>
    <row r="278" spans="1:13">
      <c r="A278" t="s">
        <v>584</v>
      </c>
      <c r="B278" t="s">
        <v>1933</v>
      </c>
      <c r="C278" s="199">
        <v>190792.68</v>
      </c>
      <c r="D278" s="199">
        <v>16299.44</v>
      </c>
      <c r="E278" s="199">
        <v>2440.04</v>
      </c>
      <c r="F278" s="199">
        <v>0</v>
      </c>
      <c r="G278" s="199">
        <v>44073.06</v>
      </c>
      <c r="H278" s="199">
        <v>13197.88</v>
      </c>
      <c r="I278" s="199">
        <v>10430.69</v>
      </c>
      <c r="J278" s="199">
        <v>8702.7900000000009</v>
      </c>
      <c r="K278" s="199">
        <v>1093.5</v>
      </c>
      <c r="L278" s="199">
        <v>7293</v>
      </c>
      <c r="M278" s="199">
        <v>294323.07999999996</v>
      </c>
    </row>
    <row r="279" spans="1:13">
      <c r="A279" t="s">
        <v>630</v>
      </c>
      <c r="B279" t="s">
        <v>1957</v>
      </c>
      <c r="C279" s="199">
        <v>9787.7099999999991</v>
      </c>
      <c r="D279" s="199">
        <v>0</v>
      </c>
      <c r="E279" s="199">
        <v>0</v>
      </c>
      <c r="F279" s="199">
        <v>0</v>
      </c>
      <c r="G279" s="199">
        <v>1618.36</v>
      </c>
      <c r="H279" s="199">
        <v>701.53</v>
      </c>
      <c r="I279" s="199">
        <v>369.15</v>
      </c>
      <c r="J279" s="199">
        <v>0</v>
      </c>
      <c r="K279" s="199">
        <v>42.89</v>
      </c>
      <c r="L279" s="199">
        <v>0</v>
      </c>
      <c r="M279" s="199">
        <v>12519.64</v>
      </c>
    </row>
    <row r="280" spans="1:13">
      <c r="A280" t="s">
        <v>1515</v>
      </c>
      <c r="B280" t="s">
        <v>1571</v>
      </c>
      <c r="C280" s="199">
        <v>47851.8</v>
      </c>
      <c r="D280" s="199">
        <v>0</v>
      </c>
      <c r="E280" s="199">
        <v>0</v>
      </c>
      <c r="F280" s="199">
        <v>0</v>
      </c>
      <c r="G280" s="199">
        <v>9172.65</v>
      </c>
      <c r="H280" s="199">
        <v>2485.2199999999998</v>
      </c>
      <c r="I280" s="199">
        <v>0</v>
      </c>
      <c r="J280" s="199">
        <v>3132.29</v>
      </c>
      <c r="K280" s="199">
        <v>294.61</v>
      </c>
      <c r="L280" s="199">
        <v>0</v>
      </c>
      <c r="M280" s="199">
        <v>62936.570000000007</v>
      </c>
    </row>
    <row r="281" spans="1:13">
      <c r="A281" t="s">
        <v>1458</v>
      </c>
      <c r="B281" t="s">
        <v>2025</v>
      </c>
      <c r="C281" s="199">
        <v>16901.400000000001</v>
      </c>
      <c r="D281" s="199">
        <v>0</v>
      </c>
      <c r="E281" s="199">
        <v>0</v>
      </c>
      <c r="F281" s="199">
        <v>0</v>
      </c>
      <c r="G281" s="199">
        <v>1589.79</v>
      </c>
      <c r="H281" s="199">
        <v>993.29</v>
      </c>
      <c r="I281" s="199">
        <v>770.28</v>
      </c>
      <c r="J281" s="199">
        <v>293.35000000000002</v>
      </c>
      <c r="K281" s="199">
        <v>49.75</v>
      </c>
      <c r="L281" s="199">
        <v>0</v>
      </c>
      <c r="M281" s="199">
        <v>20597.86</v>
      </c>
    </row>
    <row r="282" spans="1:13">
      <c r="A282" t="s">
        <v>1460</v>
      </c>
      <c r="B282" t="s">
        <v>2018</v>
      </c>
      <c r="C282" s="199">
        <v>21231.919999999998</v>
      </c>
      <c r="D282" s="199">
        <v>0</v>
      </c>
      <c r="E282" s="199">
        <v>0</v>
      </c>
      <c r="F282" s="199">
        <v>0</v>
      </c>
      <c r="G282" s="199">
        <v>3488.89</v>
      </c>
      <c r="H282" s="199">
        <v>981.43</v>
      </c>
      <c r="I282" s="199">
        <v>0</v>
      </c>
      <c r="J282" s="199">
        <v>874.8</v>
      </c>
      <c r="K282" s="199">
        <v>110.25</v>
      </c>
      <c r="L282" s="199">
        <v>0</v>
      </c>
      <c r="M282" s="199">
        <v>26687.289999999997</v>
      </c>
    </row>
    <row r="283" spans="1:13">
      <c r="A283" t="s">
        <v>515</v>
      </c>
      <c r="B283" t="s">
        <v>2457</v>
      </c>
      <c r="C283" s="199">
        <v>911529.74</v>
      </c>
      <c r="D283" s="199">
        <v>59221.81</v>
      </c>
      <c r="E283" s="199">
        <v>11833.73</v>
      </c>
      <c r="F283" s="199">
        <v>0</v>
      </c>
      <c r="G283" s="199">
        <v>163877.29999999999</v>
      </c>
      <c r="H283" s="199">
        <v>36135.919999999998</v>
      </c>
      <c r="I283" s="199">
        <v>4384.8999999999996</v>
      </c>
      <c r="J283" s="199">
        <v>18812.5</v>
      </c>
      <c r="K283" s="199">
        <v>5180.8999999999996</v>
      </c>
      <c r="L283" s="199">
        <v>0</v>
      </c>
      <c r="M283" s="199">
        <v>1210976.7999999998</v>
      </c>
    </row>
    <row r="284" spans="1:13">
      <c r="A284" t="s">
        <v>724</v>
      </c>
      <c r="B284" t="s">
        <v>2008</v>
      </c>
      <c r="C284" s="199">
        <v>465466.19</v>
      </c>
      <c r="D284" s="199">
        <v>28529.88</v>
      </c>
      <c r="E284" s="199">
        <v>3777.23</v>
      </c>
      <c r="F284" s="199">
        <v>0</v>
      </c>
      <c r="G284" s="199">
        <v>83028.25</v>
      </c>
      <c r="H284" s="199">
        <v>56323</v>
      </c>
      <c r="I284" s="199">
        <v>27511.279999999999</v>
      </c>
      <c r="J284" s="199">
        <v>48292.17</v>
      </c>
      <c r="K284" s="199">
        <v>2625.37</v>
      </c>
      <c r="L284" s="199">
        <v>3317.71</v>
      </c>
      <c r="M284" s="199">
        <v>718871.08000000007</v>
      </c>
    </row>
    <row r="285" spans="1:13">
      <c r="A285" t="s">
        <v>1178</v>
      </c>
      <c r="B285" t="s">
        <v>1833</v>
      </c>
      <c r="C285" s="199">
        <v>22518.82</v>
      </c>
      <c r="D285" s="199">
        <v>674.18</v>
      </c>
      <c r="E285" s="199">
        <v>48.8</v>
      </c>
      <c r="F285" s="199">
        <v>0</v>
      </c>
      <c r="G285" s="199">
        <v>1241.0999999999999</v>
      </c>
      <c r="H285" s="199">
        <v>527.77</v>
      </c>
      <c r="I285" s="199">
        <v>395.83</v>
      </c>
      <c r="J285" s="199">
        <v>0</v>
      </c>
      <c r="K285" s="199">
        <v>0</v>
      </c>
      <c r="L285" s="199">
        <v>0</v>
      </c>
      <c r="M285" s="199">
        <v>25406.5</v>
      </c>
    </row>
    <row r="286" spans="1:13">
      <c r="A286" t="s">
        <v>509</v>
      </c>
      <c r="B286" t="s">
        <v>1896</v>
      </c>
      <c r="C286" s="199">
        <v>2351598.85</v>
      </c>
      <c r="D286" s="199">
        <v>145650.21</v>
      </c>
      <c r="E286" s="199">
        <v>28254.77</v>
      </c>
      <c r="F286" s="199">
        <v>3300.68</v>
      </c>
      <c r="G286" s="199">
        <v>507094.54</v>
      </c>
      <c r="H286" s="199">
        <v>170844.49</v>
      </c>
      <c r="I286" s="199">
        <v>85704.45</v>
      </c>
      <c r="J286" s="199">
        <v>104082.92</v>
      </c>
      <c r="K286" s="199">
        <v>13398.29</v>
      </c>
      <c r="L286" s="199">
        <v>82927.009999999995</v>
      </c>
      <c r="M286" s="199">
        <v>3492856.21</v>
      </c>
    </row>
    <row r="287" spans="1:13">
      <c r="A287" t="s">
        <v>309</v>
      </c>
      <c r="B287" t="s">
        <v>1793</v>
      </c>
      <c r="C287" s="199">
        <v>24965.55</v>
      </c>
      <c r="D287" s="199">
        <v>364.55</v>
      </c>
      <c r="E287" s="199">
        <v>13.78</v>
      </c>
      <c r="F287" s="199">
        <v>0</v>
      </c>
      <c r="G287" s="199">
        <v>3030.46</v>
      </c>
      <c r="H287" s="199">
        <v>1396.94</v>
      </c>
      <c r="I287" s="199">
        <v>828.66</v>
      </c>
      <c r="J287" s="199">
        <v>0</v>
      </c>
      <c r="K287" s="199">
        <v>0</v>
      </c>
      <c r="L287" s="199">
        <v>0</v>
      </c>
      <c r="M287" s="199">
        <v>30599.939999999995</v>
      </c>
    </row>
    <row r="288" spans="1:13">
      <c r="A288" t="s">
        <v>361</v>
      </c>
      <c r="B288" t="s">
        <v>1820</v>
      </c>
      <c r="C288" s="199">
        <v>851014.54</v>
      </c>
      <c r="D288" s="199">
        <v>53499.08</v>
      </c>
      <c r="E288" s="199">
        <v>3965.39</v>
      </c>
      <c r="F288" s="199">
        <v>0</v>
      </c>
      <c r="G288" s="199">
        <v>140991.09</v>
      </c>
      <c r="H288" s="199">
        <v>18765.509999999998</v>
      </c>
      <c r="I288" s="199">
        <v>0</v>
      </c>
      <c r="J288" s="199">
        <v>17055.650000000001</v>
      </c>
      <c r="K288" s="199">
        <v>4843.68</v>
      </c>
      <c r="L288" s="199">
        <v>1960.27</v>
      </c>
      <c r="M288" s="199">
        <v>1092095.21</v>
      </c>
    </row>
    <row r="289" spans="1:13">
      <c r="A289" t="s">
        <v>689</v>
      </c>
      <c r="B289" t="s">
        <v>1990</v>
      </c>
      <c r="C289" s="199">
        <v>22333.08</v>
      </c>
      <c r="D289" s="199">
        <v>1845.62</v>
      </c>
      <c r="E289" s="199">
        <v>569.30999999999995</v>
      </c>
      <c r="F289" s="199">
        <v>0</v>
      </c>
      <c r="G289" s="199">
        <v>3133</v>
      </c>
      <c r="H289" s="199">
        <v>1277.8499999999999</v>
      </c>
      <c r="I289" s="199">
        <v>894.19</v>
      </c>
      <c r="J289" s="199">
        <v>58.79</v>
      </c>
      <c r="K289" s="199">
        <v>80.45</v>
      </c>
      <c r="L289" s="199">
        <v>1582.62</v>
      </c>
      <c r="M289" s="199">
        <v>31774.91</v>
      </c>
    </row>
    <row r="290" spans="1:13">
      <c r="A290" t="s">
        <v>654</v>
      </c>
      <c r="B290" t="s">
        <v>1970</v>
      </c>
      <c r="C290" s="199">
        <v>97256.76</v>
      </c>
      <c r="D290" s="199">
        <v>7549.86</v>
      </c>
      <c r="E290" s="199">
        <v>2392.5500000000002</v>
      </c>
      <c r="F290" s="199">
        <v>0</v>
      </c>
      <c r="G290" s="199">
        <v>18833.45</v>
      </c>
      <c r="H290" s="199">
        <v>6097.79</v>
      </c>
      <c r="I290" s="199">
        <v>3933.47</v>
      </c>
      <c r="J290" s="199">
        <v>543.77</v>
      </c>
      <c r="K290" s="199">
        <v>549.89</v>
      </c>
      <c r="L290" s="199">
        <v>1736.97</v>
      </c>
      <c r="M290" s="199">
        <v>138894.51</v>
      </c>
    </row>
    <row r="291" spans="1:13">
      <c r="A291" t="s">
        <v>388</v>
      </c>
      <c r="B291" t="s">
        <v>1836</v>
      </c>
      <c r="C291" s="199">
        <v>28533.61</v>
      </c>
      <c r="D291" s="199">
        <v>1620.38</v>
      </c>
      <c r="E291" s="199">
        <v>870.27</v>
      </c>
      <c r="F291" s="199">
        <v>0</v>
      </c>
      <c r="G291" s="199">
        <v>3755.89</v>
      </c>
      <c r="H291" s="199">
        <v>1282.67</v>
      </c>
      <c r="I291" s="199">
        <v>0</v>
      </c>
      <c r="J291" s="199">
        <v>128.26</v>
      </c>
      <c r="K291" s="199">
        <v>0</v>
      </c>
      <c r="L291" s="199">
        <v>1565.17</v>
      </c>
      <c r="M291" s="199">
        <v>37756.25</v>
      </c>
    </row>
    <row r="292" spans="1:13">
      <c r="A292" t="s">
        <v>430</v>
      </c>
      <c r="B292" t="s">
        <v>1857</v>
      </c>
      <c r="C292" s="199">
        <v>67553.070000000007</v>
      </c>
      <c r="D292" s="199">
        <v>5716.31</v>
      </c>
      <c r="E292" s="199">
        <v>2523.2199999999998</v>
      </c>
      <c r="F292" s="199">
        <v>0</v>
      </c>
      <c r="G292" s="199">
        <v>14807.49</v>
      </c>
      <c r="H292" s="199">
        <v>4432.2700000000004</v>
      </c>
      <c r="I292" s="199">
        <v>2801.69</v>
      </c>
      <c r="J292" s="199">
        <v>238.24</v>
      </c>
      <c r="K292" s="199">
        <v>403.78</v>
      </c>
      <c r="L292" s="199">
        <v>0</v>
      </c>
      <c r="M292" s="199">
        <v>98476.070000000022</v>
      </c>
    </row>
    <row r="293" spans="1:13">
      <c r="A293" t="s">
        <v>484</v>
      </c>
      <c r="B293" t="s">
        <v>1883</v>
      </c>
      <c r="C293" s="199">
        <v>76745.460000000006</v>
      </c>
      <c r="D293" s="199">
        <v>3852.28</v>
      </c>
      <c r="E293" s="199">
        <v>689.28</v>
      </c>
      <c r="F293" s="199">
        <v>0</v>
      </c>
      <c r="G293" s="199">
        <v>13574.35</v>
      </c>
      <c r="H293" s="199">
        <v>7787.28</v>
      </c>
      <c r="I293" s="199">
        <v>4926.0200000000004</v>
      </c>
      <c r="J293" s="199">
        <v>3126.25</v>
      </c>
      <c r="K293" s="199">
        <v>465.65</v>
      </c>
      <c r="L293" s="199">
        <v>0</v>
      </c>
      <c r="M293" s="199">
        <v>111166.57</v>
      </c>
    </row>
    <row r="294" spans="1:13">
      <c r="A294" t="s">
        <v>726</v>
      </c>
      <c r="B294" t="s">
        <v>2009</v>
      </c>
      <c r="C294" s="199">
        <v>226708.82</v>
      </c>
      <c r="D294" s="199">
        <v>45437.04</v>
      </c>
      <c r="E294" s="199">
        <v>13428.62</v>
      </c>
      <c r="F294" s="199">
        <v>0</v>
      </c>
      <c r="G294" s="199">
        <v>51957.95</v>
      </c>
      <c r="H294" s="199">
        <v>36157.86</v>
      </c>
      <c r="I294" s="199">
        <v>15399.94</v>
      </c>
      <c r="J294" s="199">
        <v>28669.27</v>
      </c>
      <c r="K294" s="199">
        <v>1704.81</v>
      </c>
      <c r="L294" s="199">
        <v>0</v>
      </c>
      <c r="M294" s="199">
        <v>419464.31</v>
      </c>
    </row>
    <row r="295" spans="1:13">
      <c r="A295" t="s">
        <v>664</v>
      </c>
      <c r="B295" t="s">
        <v>1976</v>
      </c>
      <c r="C295" s="199">
        <v>23092.25</v>
      </c>
      <c r="D295" s="199">
        <v>1231.5</v>
      </c>
      <c r="E295" s="199">
        <v>182.27</v>
      </c>
      <c r="F295" s="199">
        <v>0</v>
      </c>
      <c r="G295" s="199">
        <v>1002.18</v>
      </c>
      <c r="H295" s="199">
        <v>1278.99</v>
      </c>
      <c r="I295" s="199">
        <v>1059.95</v>
      </c>
      <c r="J295" s="199">
        <v>796.49</v>
      </c>
      <c r="K295" s="199">
        <v>102.62</v>
      </c>
      <c r="L295" s="199">
        <v>1764.54</v>
      </c>
      <c r="M295" s="199">
        <v>30510.790000000005</v>
      </c>
    </row>
    <row r="296" spans="1:13">
      <c r="A296" t="s">
        <v>235</v>
      </c>
      <c r="B296" t="s">
        <v>1756</v>
      </c>
      <c r="C296" s="199">
        <v>56544.33</v>
      </c>
      <c r="D296" s="199">
        <v>2521.67</v>
      </c>
      <c r="E296" s="199">
        <v>1095.3</v>
      </c>
      <c r="F296" s="199">
        <v>0</v>
      </c>
      <c r="G296" s="199">
        <v>0</v>
      </c>
      <c r="H296" s="199">
        <v>2985.79</v>
      </c>
      <c r="I296" s="199">
        <v>0</v>
      </c>
      <c r="J296" s="199">
        <v>0</v>
      </c>
      <c r="K296" s="199">
        <v>295.48</v>
      </c>
      <c r="L296" s="199">
        <v>0</v>
      </c>
      <c r="M296" s="199">
        <v>63442.570000000007</v>
      </c>
    </row>
    <row r="297" spans="1:13">
      <c r="A297" t="s">
        <v>402</v>
      </c>
      <c r="B297" t="s">
        <v>1843</v>
      </c>
      <c r="C297" s="199">
        <v>27410.18</v>
      </c>
      <c r="D297" s="199">
        <v>56.68</v>
      </c>
      <c r="E297" s="199">
        <v>0</v>
      </c>
      <c r="F297" s="199">
        <v>0</v>
      </c>
      <c r="G297" s="199">
        <v>0</v>
      </c>
      <c r="H297" s="199">
        <v>556.01</v>
      </c>
      <c r="I297" s="199">
        <v>0</v>
      </c>
      <c r="J297" s="199">
        <v>292.56</v>
      </c>
      <c r="K297" s="199">
        <v>93.43</v>
      </c>
      <c r="L297" s="199">
        <v>0</v>
      </c>
      <c r="M297" s="199">
        <v>28408.86</v>
      </c>
    </row>
    <row r="298" spans="1:13">
      <c r="A298" t="s">
        <v>356</v>
      </c>
      <c r="B298" t="s">
        <v>1817</v>
      </c>
      <c r="C298" s="199">
        <v>257284.54</v>
      </c>
      <c r="D298" s="199">
        <v>16501.87</v>
      </c>
      <c r="E298" s="199">
        <v>1306.77</v>
      </c>
      <c r="F298" s="199">
        <v>0</v>
      </c>
      <c r="G298" s="199">
        <v>46708.7</v>
      </c>
      <c r="H298" s="199">
        <v>23789.439999999999</v>
      </c>
      <c r="I298" s="199">
        <v>14573.33</v>
      </c>
      <c r="J298" s="199">
        <v>38867.040000000001</v>
      </c>
      <c r="K298" s="199">
        <v>1440.52</v>
      </c>
      <c r="L298" s="199">
        <v>0</v>
      </c>
      <c r="M298" s="199">
        <v>400472.21000000008</v>
      </c>
    </row>
    <row r="299" spans="1:13">
      <c r="A299" t="s">
        <v>644</v>
      </c>
      <c r="B299" t="s">
        <v>1965</v>
      </c>
      <c r="C299" s="199">
        <v>461733.38</v>
      </c>
      <c r="D299" s="199">
        <v>34711.910000000003</v>
      </c>
      <c r="E299" s="199">
        <v>10758.83</v>
      </c>
      <c r="F299" s="199">
        <v>59850.559999999998</v>
      </c>
      <c r="G299" s="199">
        <v>92566.91</v>
      </c>
      <c r="H299" s="199">
        <v>20764.04</v>
      </c>
      <c r="I299" s="199">
        <v>0</v>
      </c>
      <c r="J299" s="199">
        <v>4536.97</v>
      </c>
      <c r="K299" s="199">
        <v>2943.97</v>
      </c>
      <c r="L299" s="199">
        <v>1974.39</v>
      </c>
      <c r="M299" s="199">
        <v>689840.96000000008</v>
      </c>
    </row>
    <row r="300" spans="1:13">
      <c r="A300" t="s">
        <v>711</v>
      </c>
      <c r="B300" t="s">
        <v>2001</v>
      </c>
      <c r="C300" s="199">
        <v>46519.96</v>
      </c>
      <c r="D300" s="199">
        <v>0</v>
      </c>
      <c r="E300" s="199">
        <v>0</v>
      </c>
      <c r="F300" s="199">
        <v>0</v>
      </c>
      <c r="G300" s="199">
        <v>8382.4</v>
      </c>
      <c r="H300" s="199">
        <v>4846.37</v>
      </c>
      <c r="I300" s="199">
        <v>2518.16</v>
      </c>
      <c r="J300" s="199">
        <v>2896.49</v>
      </c>
      <c r="K300" s="199">
        <v>0</v>
      </c>
      <c r="L300" s="199">
        <v>1856.45</v>
      </c>
      <c r="M300" s="199">
        <v>67019.83</v>
      </c>
    </row>
    <row r="301" spans="1:13">
      <c r="A301" t="s">
        <v>513</v>
      </c>
      <c r="B301" t="s">
        <v>1898</v>
      </c>
      <c r="C301" s="199">
        <v>483927.28</v>
      </c>
      <c r="D301" s="199">
        <v>26311.34</v>
      </c>
      <c r="E301" s="199">
        <v>0</v>
      </c>
      <c r="F301" s="199">
        <v>0</v>
      </c>
      <c r="G301" s="199">
        <v>59895.76</v>
      </c>
      <c r="H301" s="199">
        <v>22602.87</v>
      </c>
      <c r="I301" s="199">
        <v>0</v>
      </c>
      <c r="J301" s="199">
        <v>10835.56</v>
      </c>
      <c r="K301" s="199">
        <v>2699.2</v>
      </c>
      <c r="L301" s="199">
        <v>4126.3</v>
      </c>
      <c r="M301" s="199">
        <v>610398.31000000006</v>
      </c>
    </row>
    <row r="302" spans="1:13">
      <c r="A302" t="s">
        <v>624</v>
      </c>
      <c r="B302" t="s">
        <v>1954</v>
      </c>
      <c r="C302" s="199">
        <v>29177.79</v>
      </c>
      <c r="D302" s="199">
        <v>0</v>
      </c>
      <c r="E302" s="199">
        <v>0</v>
      </c>
      <c r="F302" s="199">
        <v>0</v>
      </c>
      <c r="G302" s="199">
        <v>10308.02</v>
      </c>
      <c r="H302" s="199">
        <v>2780.08</v>
      </c>
      <c r="I302" s="199">
        <v>899.12</v>
      </c>
      <c r="J302" s="199">
        <v>1170.24</v>
      </c>
      <c r="K302" s="199">
        <v>441.13</v>
      </c>
      <c r="L302" s="199">
        <v>1599.12</v>
      </c>
      <c r="M302" s="199">
        <v>46375.5</v>
      </c>
    </row>
    <row r="303" spans="1:13">
      <c r="A303" t="s">
        <v>213</v>
      </c>
      <c r="B303" t="s">
        <v>1744</v>
      </c>
      <c r="C303" s="199">
        <v>1660437.52</v>
      </c>
      <c r="D303" s="199">
        <v>156775.76999999999</v>
      </c>
      <c r="E303" s="199">
        <v>29626.32</v>
      </c>
      <c r="F303" s="199">
        <v>0</v>
      </c>
      <c r="G303" s="199">
        <v>377548.27</v>
      </c>
      <c r="H303" s="199">
        <v>107799.07</v>
      </c>
      <c r="I303" s="199">
        <v>57877.42</v>
      </c>
      <c r="J303" s="199">
        <v>97945.279999999999</v>
      </c>
      <c r="K303" s="199">
        <v>9809.9599999999991</v>
      </c>
      <c r="L303" s="199">
        <v>28351.77</v>
      </c>
      <c r="M303" s="199">
        <v>2526171.3799999994</v>
      </c>
    </row>
    <row r="304" spans="1:13">
      <c r="A304" t="s">
        <v>348</v>
      </c>
      <c r="B304" t="s">
        <v>1813</v>
      </c>
      <c r="C304" s="199">
        <v>114315.69</v>
      </c>
      <c r="D304" s="199">
        <v>8144.84</v>
      </c>
      <c r="E304" s="199">
        <v>4376.26</v>
      </c>
      <c r="F304" s="199">
        <v>0</v>
      </c>
      <c r="G304" s="199">
        <v>21168.71</v>
      </c>
      <c r="H304" s="199">
        <v>4429.5600000000004</v>
      </c>
      <c r="I304" s="199">
        <v>261.19</v>
      </c>
      <c r="J304" s="199">
        <v>2752.26</v>
      </c>
      <c r="K304" s="199">
        <v>726.71</v>
      </c>
      <c r="L304" s="199">
        <v>0</v>
      </c>
      <c r="M304" s="199">
        <v>156175.22</v>
      </c>
    </row>
    <row r="305" spans="1:13">
      <c r="A305" t="s">
        <v>1547</v>
      </c>
      <c r="B305" t="s">
        <v>1971</v>
      </c>
      <c r="C305" s="199">
        <v>13627.74</v>
      </c>
      <c r="D305" s="199">
        <v>0</v>
      </c>
      <c r="E305" s="199">
        <v>0</v>
      </c>
      <c r="F305" s="199">
        <v>0</v>
      </c>
      <c r="G305" s="199">
        <v>2235.65</v>
      </c>
      <c r="H305" s="199">
        <v>1275.92</v>
      </c>
      <c r="I305" s="199">
        <v>589.71</v>
      </c>
      <c r="J305" s="199">
        <v>0</v>
      </c>
      <c r="K305" s="199">
        <v>0</v>
      </c>
      <c r="L305" s="199">
        <v>0</v>
      </c>
      <c r="M305" s="199">
        <v>17729.019999999997</v>
      </c>
    </row>
    <row r="306" spans="1:13">
      <c r="A306" t="s">
        <v>656</v>
      </c>
      <c r="B306" t="s">
        <v>1972</v>
      </c>
      <c r="C306" s="199">
        <v>38671.480000000003</v>
      </c>
      <c r="D306" s="199">
        <v>2145.7600000000002</v>
      </c>
      <c r="E306" s="199">
        <v>266.02999999999997</v>
      </c>
      <c r="F306" s="199">
        <v>0</v>
      </c>
      <c r="G306" s="199">
        <v>0</v>
      </c>
      <c r="H306" s="199">
        <v>2413.39</v>
      </c>
      <c r="I306" s="199">
        <v>1916.36</v>
      </c>
      <c r="J306" s="199">
        <v>0</v>
      </c>
      <c r="K306" s="199">
        <v>183.2</v>
      </c>
      <c r="L306" s="199">
        <v>0</v>
      </c>
      <c r="M306" s="199">
        <v>45596.22</v>
      </c>
    </row>
    <row r="307" spans="1:13">
      <c r="A307" t="s">
        <v>277</v>
      </c>
      <c r="B307" t="s">
        <v>1777</v>
      </c>
      <c r="C307" s="199">
        <v>172340.31</v>
      </c>
      <c r="D307" s="199">
        <v>16205.63</v>
      </c>
      <c r="E307" s="199">
        <v>5734.77</v>
      </c>
      <c r="F307" s="199">
        <v>0</v>
      </c>
      <c r="G307" s="199">
        <v>29957.74</v>
      </c>
      <c r="H307" s="199">
        <v>21585.05</v>
      </c>
      <c r="I307" s="199">
        <v>10547.45</v>
      </c>
      <c r="J307" s="199">
        <v>32359.19</v>
      </c>
      <c r="K307" s="199">
        <v>1003.28</v>
      </c>
      <c r="L307" s="199">
        <v>4227.55</v>
      </c>
      <c r="M307" s="199">
        <v>293960.96999999997</v>
      </c>
    </row>
    <row r="308" spans="1:13">
      <c r="A308" t="s">
        <v>667</v>
      </c>
      <c r="B308" t="s">
        <v>1978</v>
      </c>
      <c r="C308" s="199">
        <v>29634.25</v>
      </c>
      <c r="D308" s="199">
        <v>1210.06</v>
      </c>
      <c r="E308" s="199">
        <v>268.05</v>
      </c>
      <c r="F308" s="199">
        <v>0</v>
      </c>
      <c r="G308" s="199">
        <v>0</v>
      </c>
      <c r="H308" s="199">
        <v>1574.61</v>
      </c>
      <c r="I308" s="199">
        <v>848.57</v>
      </c>
      <c r="J308" s="199">
        <v>0</v>
      </c>
      <c r="K308" s="199">
        <v>0</v>
      </c>
      <c r="L308" s="199">
        <v>0</v>
      </c>
      <c r="M308" s="199">
        <v>33535.54</v>
      </c>
    </row>
    <row r="309" spans="1:13">
      <c r="A309" t="s">
        <v>660</v>
      </c>
      <c r="B309" t="s">
        <v>1974</v>
      </c>
      <c r="C309" s="199">
        <v>374717.96</v>
      </c>
      <c r="D309" s="199">
        <v>22588.34</v>
      </c>
      <c r="E309" s="199">
        <v>4879.37</v>
      </c>
      <c r="F309" s="199">
        <v>12388.7</v>
      </c>
      <c r="G309" s="199">
        <v>87682.16</v>
      </c>
      <c r="H309" s="199">
        <v>36613.81</v>
      </c>
      <c r="I309" s="199">
        <v>21615.25</v>
      </c>
      <c r="J309" s="199">
        <v>20301.810000000001</v>
      </c>
      <c r="K309" s="199">
        <v>2334.4899999999998</v>
      </c>
      <c r="L309" s="199">
        <v>10078.969999999999</v>
      </c>
      <c r="M309" s="199">
        <v>593200.8600000001</v>
      </c>
    </row>
    <row r="310" spans="1:13">
      <c r="A310" t="s">
        <v>734</v>
      </c>
      <c r="B310" t="s">
        <v>2013</v>
      </c>
      <c r="C310" s="199">
        <v>233953.88</v>
      </c>
      <c r="D310" s="199">
        <v>20894.240000000002</v>
      </c>
      <c r="E310" s="199">
        <v>4956.6499999999996</v>
      </c>
      <c r="F310" s="199">
        <v>0</v>
      </c>
      <c r="G310" s="199">
        <v>41319.61</v>
      </c>
      <c r="H310" s="199">
        <v>26439.08</v>
      </c>
      <c r="I310" s="199">
        <v>13995.36</v>
      </c>
      <c r="J310" s="199">
        <v>27984.58</v>
      </c>
      <c r="K310" s="199">
        <v>1334.13</v>
      </c>
      <c r="L310" s="199">
        <v>10230.39</v>
      </c>
      <c r="M310" s="199">
        <v>381107.92000000004</v>
      </c>
    </row>
    <row r="311" spans="1:13">
      <c r="A311" t="s">
        <v>281</v>
      </c>
      <c r="B311" t="s">
        <v>1779</v>
      </c>
      <c r="C311" s="199">
        <v>71251.17</v>
      </c>
      <c r="D311" s="199">
        <v>4397.58</v>
      </c>
      <c r="E311" s="199">
        <v>837.86</v>
      </c>
      <c r="F311" s="199">
        <v>0</v>
      </c>
      <c r="G311" s="199">
        <v>13694.74</v>
      </c>
      <c r="H311" s="199">
        <v>7369.12</v>
      </c>
      <c r="I311" s="199">
        <v>4105.0200000000004</v>
      </c>
      <c r="J311" s="199">
        <v>6851.4</v>
      </c>
      <c r="K311" s="199">
        <v>399.78</v>
      </c>
      <c r="L311" s="199">
        <v>0</v>
      </c>
      <c r="M311" s="199">
        <v>108906.67</v>
      </c>
    </row>
    <row r="312" spans="1:13">
      <c r="A312" t="s">
        <v>220</v>
      </c>
      <c r="B312" t="s">
        <v>1748</v>
      </c>
      <c r="C312" s="199">
        <v>208738.31</v>
      </c>
      <c r="D312" s="199">
        <v>17372.810000000001</v>
      </c>
      <c r="E312" s="199">
        <v>3305.71</v>
      </c>
      <c r="F312" s="199">
        <v>0</v>
      </c>
      <c r="G312" s="199">
        <v>48785.8</v>
      </c>
      <c r="H312" s="199">
        <v>10693.21</v>
      </c>
      <c r="I312" s="199">
        <v>1362.22</v>
      </c>
      <c r="J312" s="199">
        <v>2610.79</v>
      </c>
      <c r="K312" s="199">
        <v>1203.0999999999999</v>
      </c>
      <c r="L312" s="199">
        <v>9535.56</v>
      </c>
      <c r="M312" s="199">
        <v>303607.50999999995</v>
      </c>
    </row>
    <row r="313" spans="1:13">
      <c r="A313" t="s">
        <v>163</v>
      </c>
      <c r="B313" t="s">
        <v>1718</v>
      </c>
      <c r="C313" s="199">
        <v>18965.8</v>
      </c>
      <c r="D313" s="199">
        <v>317.07</v>
      </c>
      <c r="E313" s="199">
        <v>61.27</v>
      </c>
      <c r="F313" s="199">
        <v>0</v>
      </c>
      <c r="G313" s="199">
        <v>1056.27</v>
      </c>
      <c r="H313" s="199">
        <v>477.9</v>
      </c>
      <c r="I313" s="199">
        <v>295.62</v>
      </c>
      <c r="J313" s="199">
        <v>0</v>
      </c>
      <c r="K313" s="199">
        <v>26.04</v>
      </c>
      <c r="L313" s="199">
        <v>0</v>
      </c>
      <c r="M313" s="199">
        <v>21199.97</v>
      </c>
    </row>
    <row r="314" spans="1:13">
      <c r="A314" t="s">
        <v>255</v>
      </c>
      <c r="B314" t="s">
        <v>1766</v>
      </c>
      <c r="C314" s="199">
        <v>27221.79</v>
      </c>
      <c r="D314" s="199">
        <v>1848.78</v>
      </c>
      <c r="E314" s="199">
        <v>1119.69</v>
      </c>
      <c r="F314" s="199">
        <v>0</v>
      </c>
      <c r="G314" s="199">
        <v>0</v>
      </c>
      <c r="H314" s="199">
        <v>1398.46</v>
      </c>
      <c r="I314" s="199">
        <v>1147.26</v>
      </c>
      <c r="J314" s="199">
        <v>594.30999999999995</v>
      </c>
      <c r="K314" s="199">
        <v>105.69</v>
      </c>
      <c r="L314" s="199">
        <v>2113.7800000000002</v>
      </c>
      <c r="M314" s="199">
        <v>35549.759999999995</v>
      </c>
    </row>
    <row r="315" spans="1:13">
      <c r="A315" t="s">
        <v>622</v>
      </c>
      <c r="B315" t="s">
        <v>1953</v>
      </c>
      <c r="C315" s="199">
        <v>33625.919999999998</v>
      </c>
      <c r="D315" s="199">
        <v>1228.44</v>
      </c>
      <c r="E315" s="199">
        <v>0</v>
      </c>
      <c r="F315" s="199">
        <v>0</v>
      </c>
      <c r="G315" s="199">
        <v>6888.3</v>
      </c>
      <c r="H315" s="199">
        <v>3164.54</v>
      </c>
      <c r="I315" s="199">
        <v>1524.07</v>
      </c>
      <c r="J315" s="199">
        <v>0</v>
      </c>
      <c r="K315" s="199">
        <v>183.81</v>
      </c>
      <c r="L315" s="199">
        <v>0</v>
      </c>
      <c r="M315" s="199">
        <v>46615.08</v>
      </c>
    </row>
    <row r="316" spans="1:13">
      <c r="A316" t="s">
        <v>201</v>
      </c>
      <c r="B316" t="s">
        <v>1737</v>
      </c>
      <c r="C316" s="199">
        <v>427946.64</v>
      </c>
      <c r="D316" s="199">
        <v>59433.93</v>
      </c>
      <c r="E316" s="199">
        <v>24780.22</v>
      </c>
      <c r="F316" s="199">
        <v>21336.9</v>
      </c>
      <c r="G316" s="199">
        <v>105077.78</v>
      </c>
      <c r="H316" s="199">
        <v>41422.39</v>
      </c>
      <c r="I316" s="199">
        <v>26825.07</v>
      </c>
      <c r="J316" s="199">
        <v>40457.410000000003</v>
      </c>
      <c r="K316" s="199">
        <v>3052.72</v>
      </c>
      <c r="L316" s="199">
        <v>6134.55</v>
      </c>
      <c r="M316" s="199">
        <v>756467.6100000001</v>
      </c>
    </row>
    <row r="317" spans="1:13">
      <c r="A317" t="s">
        <v>613</v>
      </c>
      <c r="B317" t="s">
        <v>1948</v>
      </c>
      <c r="C317" s="199">
        <v>206454.85</v>
      </c>
      <c r="D317" s="199">
        <v>12638.25</v>
      </c>
      <c r="E317" s="199">
        <v>8510.25</v>
      </c>
      <c r="F317" s="199">
        <v>0</v>
      </c>
      <c r="G317" s="199">
        <v>50213.82</v>
      </c>
      <c r="H317" s="199">
        <v>17254.86</v>
      </c>
      <c r="I317" s="199">
        <v>8251.39</v>
      </c>
      <c r="J317" s="199">
        <v>4029.96</v>
      </c>
      <c r="K317" s="199">
        <v>1498.03</v>
      </c>
      <c r="L317" s="199">
        <v>0</v>
      </c>
      <c r="M317" s="199">
        <v>308851.41000000003</v>
      </c>
    </row>
    <row r="318" spans="1:13">
      <c r="A318" t="s">
        <v>736</v>
      </c>
      <c r="B318" t="s">
        <v>2014</v>
      </c>
      <c r="C318" s="199">
        <v>380599.53</v>
      </c>
      <c r="D318" s="199">
        <v>33187.839999999997</v>
      </c>
      <c r="E318" s="199">
        <v>24818.51</v>
      </c>
      <c r="F318" s="199">
        <v>0</v>
      </c>
      <c r="G318" s="199">
        <v>79976.240000000005</v>
      </c>
      <c r="H318" s="199">
        <v>26457.46</v>
      </c>
      <c r="I318" s="199">
        <v>13278.51</v>
      </c>
      <c r="J318" s="199">
        <v>12861.88</v>
      </c>
      <c r="K318" s="199">
        <v>2342.0100000000002</v>
      </c>
      <c r="L318" s="199">
        <v>3856.88</v>
      </c>
      <c r="M318" s="199">
        <v>577378.86</v>
      </c>
    </row>
    <row r="319" spans="1:13">
      <c r="A319" t="s">
        <v>1692</v>
      </c>
      <c r="B319" t="s">
        <v>2028</v>
      </c>
      <c r="C319" s="199">
        <v>15044.52</v>
      </c>
      <c r="D319" s="199">
        <v>0</v>
      </c>
      <c r="E319" s="199">
        <v>0</v>
      </c>
      <c r="F319" s="199">
        <v>0</v>
      </c>
      <c r="G319" s="199">
        <v>1478.01</v>
      </c>
      <c r="H319" s="199">
        <v>293.88</v>
      </c>
      <c r="I319" s="199">
        <v>0</v>
      </c>
      <c r="J319" s="199">
        <v>0</v>
      </c>
      <c r="K319" s="199">
        <v>0</v>
      </c>
      <c r="L319" s="199">
        <v>0</v>
      </c>
      <c r="M319" s="199">
        <v>16816.41</v>
      </c>
    </row>
    <row r="320" spans="1:13">
      <c r="A320" t="s">
        <v>438</v>
      </c>
      <c r="B320" t="s">
        <v>1861</v>
      </c>
      <c r="C320" s="199">
        <v>35528.33</v>
      </c>
      <c r="D320" s="199">
        <v>1259.07</v>
      </c>
      <c r="E320" s="199">
        <v>533.04</v>
      </c>
      <c r="F320" s="199">
        <v>0</v>
      </c>
      <c r="G320" s="199">
        <v>5717.81</v>
      </c>
      <c r="H320" s="199">
        <v>2288.39</v>
      </c>
      <c r="I320" s="199">
        <v>1507.22</v>
      </c>
      <c r="J320" s="199">
        <v>0</v>
      </c>
      <c r="K320" s="199">
        <v>153.16999999999999</v>
      </c>
      <c r="L320" s="199">
        <v>0</v>
      </c>
      <c r="M320" s="199">
        <v>46987.03</v>
      </c>
    </row>
    <row r="321" spans="1:13">
      <c r="A321" t="s">
        <v>531</v>
      </c>
      <c r="B321" t="s">
        <v>1906</v>
      </c>
      <c r="C321" s="199">
        <v>355887.6</v>
      </c>
      <c r="D321" s="199">
        <v>27648.74</v>
      </c>
      <c r="E321" s="199">
        <v>2560.46</v>
      </c>
      <c r="F321" s="199">
        <v>0</v>
      </c>
      <c r="G321" s="199">
        <v>64411.35</v>
      </c>
      <c r="H321" s="199">
        <v>14125.55</v>
      </c>
      <c r="I321" s="199">
        <v>0</v>
      </c>
      <c r="J321" s="199">
        <v>5929.48</v>
      </c>
      <c r="K321" s="199">
        <v>2013.3</v>
      </c>
      <c r="L321" s="199">
        <v>4723.13</v>
      </c>
      <c r="M321" s="199">
        <v>477299.60999999993</v>
      </c>
    </row>
    <row r="322" spans="1:13">
      <c r="A322" t="s">
        <v>412</v>
      </c>
      <c r="B322" t="s">
        <v>1848</v>
      </c>
      <c r="C322" s="199">
        <v>88498.68</v>
      </c>
      <c r="D322" s="199">
        <v>6054.96</v>
      </c>
      <c r="E322" s="199">
        <v>0</v>
      </c>
      <c r="F322" s="199">
        <v>0</v>
      </c>
      <c r="G322" s="199">
        <v>0</v>
      </c>
      <c r="H322" s="199">
        <v>5105.54</v>
      </c>
      <c r="I322" s="199">
        <v>1694.94</v>
      </c>
      <c r="J322" s="199">
        <v>4396.66</v>
      </c>
      <c r="K322" s="199">
        <v>497.01</v>
      </c>
      <c r="L322" s="199">
        <v>0</v>
      </c>
      <c r="M322" s="199">
        <v>106247.79</v>
      </c>
    </row>
    <row r="323" spans="1:13">
      <c r="A323" t="s">
        <v>1696</v>
      </c>
      <c r="B323" t="s">
        <v>2453</v>
      </c>
      <c r="C323" s="199">
        <v>18551.490000000002</v>
      </c>
      <c r="D323" s="199">
        <v>0</v>
      </c>
      <c r="E323" s="199">
        <v>0</v>
      </c>
      <c r="F323" s="199">
        <v>0</v>
      </c>
      <c r="G323" s="199">
        <v>1948.71</v>
      </c>
      <c r="H323" s="199">
        <v>1299.54</v>
      </c>
      <c r="I323" s="199">
        <v>869.37</v>
      </c>
      <c r="J323" s="199">
        <v>301.83999999999997</v>
      </c>
      <c r="K323" s="199">
        <v>0</v>
      </c>
      <c r="L323" s="199">
        <v>0</v>
      </c>
      <c r="M323" s="199">
        <v>22970.95</v>
      </c>
    </row>
    <row r="324" spans="1:13">
      <c r="A324" t="s">
        <v>452</v>
      </c>
      <c r="B324" t="s">
        <v>1868</v>
      </c>
      <c r="C324" s="199">
        <v>25927.48</v>
      </c>
      <c r="D324" s="199">
        <v>1346.38</v>
      </c>
      <c r="E324" s="199">
        <v>211.38</v>
      </c>
      <c r="F324" s="199">
        <v>0</v>
      </c>
      <c r="G324" s="199">
        <v>3586.57</v>
      </c>
      <c r="H324" s="199">
        <v>1104.3699999999999</v>
      </c>
      <c r="I324" s="199">
        <v>0</v>
      </c>
      <c r="J324" s="199">
        <v>0</v>
      </c>
      <c r="K324" s="199">
        <v>93.43</v>
      </c>
      <c r="L324" s="199">
        <v>1703.27</v>
      </c>
      <c r="M324" s="199">
        <v>33972.879999999997</v>
      </c>
    </row>
    <row r="325" spans="1:13">
      <c r="A325" t="s">
        <v>495</v>
      </c>
      <c r="B325" t="s">
        <v>1889</v>
      </c>
      <c r="C325" s="199">
        <v>33111.26</v>
      </c>
      <c r="D325" s="199">
        <v>2250.1</v>
      </c>
      <c r="E325" s="199">
        <v>678.55</v>
      </c>
      <c r="F325" s="199">
        <v>0</v>
      </c>
      <c r="G325" s="199">
        <v>5806.63</v>
      </c>
      <c r="H325" s="199">
        <v>1378.56</v>
      </c>
      <c r="I325" s="199">
        <v>0</v>
      </c>
      <c r="J325" s="199">
        <v>137.85</v>
      </c>
      <c r="K325" s="199">
        <v>154.69999999999999</v>
      </c>
      <c r="L325" s="199">
        <v>0</v>
      </c>
      <c r="M325" s="199">
        <v>43517.649999999994</v>
      </c>
    </row>
    <row r="326" spans="1:13">
      <c r="A326" t="s">
        <v>293</v>
      </c>
      <c r="B326" t="s">
        <v>1785</v>
      </c>
      <c r="C326" s="199">
        <v>20645.25</v>
      </c>
      <c r="D326" s="199">
        <v>609.54</v>
      </c>
      <c r="E326" s="199">
        <v>411.51</v>
      </c>
      <c r="F326" s="199">
        <v>0</v>
      </c>
      <c r="G326" s="199">
        <v>1972.41</v>
      </c>
      <c r="H326" s="199">
        <v>775.07</v>
      </c>
      <c r="I326" s="199">
        <v>530.64</v>
      </c>
      <c r="J326" s="199">
        <v>0</v>
      </c>
      <c r="K326" s="199">
        <v>0</v>
      </c>
      <c r="L326" s="199">
        <v>0</v>
      </c>
      <c r="M326" s="199">
        <v>24944.42</v>
      </c>
    </row>
    <row r="327" spans="1:13">
      <c r="A327" t="s">
        <v>426</v>
      </c>
      <c r="B327" t="s">
        <v>1855</v>
      </c>
      <c r="C327" s="199">
        <v>59907.6</v>
      </c>
      <c r="D327" s="199">
        <v>4780.3500000000004</v>
      </c>
      <c r="E327" s="199">
        <v>686.88</v>
      </c>
      <c r="F327" s="199">
        <v>0</v>
      </c>
      <c r="G327" s="199">
        <v>12813.84</v>
      </c>
      <c r="H327" s="199">
        <v>5897.32</v>
      </c>
      <c r="I327" s="199">
        <v>3643.28</v>
      </c>
      <c r="J327" s="199">
        <v>1013.31</v>
      </c>
      <c r="K327" s="199">
        <v>324.88</v>
      </c>
      <c r="L327" s="199">
        <v>4073.35</v>
      </c>
      <c r="M327" s="199">
        <v>93140.81</v>
      </c>
    </row>
    <row r="328" spans="1:13">
      <c r="A328" t="s">
        <v>316</v>
      </c>
      <c r="B328" t="s">
        <v>1797</v>
      </c>
      <c r="C328" s="199">
        <v>23482.85</v>
      </c>
      <c r="D328" s="199">
        <v>1046.17</v>
      </c>
      <c r="E328" s="199">
        <v>346.17</v>
      </c>
      <c r="F328" s="199">
        <v>0</v>
      </c>
      <c r="G328" s="199">
        <v>2776.44</v>
      </c>
      <c r="H328" s="199">
        <v>1141.1400000000001</v>
      </c>
      <c r="I328" s="199">
        <v>802.63</v>
      </c>
      <c r="J328" s="199">
        <v>0</v>
      </c>
      <c r="K328" s="199">
        <v>0</v>
      </c>
      <c r="L328" s="199">
        <v>994.09</v>
      </c>
      <c r="M328" s="199">
        <v>30589.489999999994</v>
      </c>
    </row>
    <row r="329" spans="1:13">
      <c r="A329" t="s">
        <v>396</v>
      </c>
      <c r="B329" t="s">
        <v>1840</v>
      </c>
      <c r="C329" s="199">
        <v>19785.259999999998</v>
      </c>
      <c r="D329" s="199">
        <v>644.86</v>
      </c>
      <c r="E329" s="199">
        <v>0</v>
      </c>
      <c r="F329" s="199">
        <v>0</v>
      </c>
      <c r="G329" s="199">
        <v>0</v>
      </c>
      <c r="H329" s="199">
        <v>821.01</v>
      </c>
      <c r="I329" s="199">
        <v>451.86</v>
      </c>
      <c r="J329" s="199">
        <v>0</v>
      </c>
      <c r="K329" s="199">
        <v>0</v>
      </c>
      <c r="L329" s="199">
        <v>0</v>
      </c>
      <c r="M329" s="199">
        <v>21702.989999999998</v>
      </c>
    </row>
    <row r="330" spans="1:13">
      <c r="A330" t="s">
        <v>241</v>
      </c>
      <c r="B330" t="s">
        <v>1759</v>
      </c>
      <c r="C330" s="199">
        <v>186698.69</v>
      </c>
      <c r="D330" s="199">
        <v>5979.85</v>
      </c>
      <c r="E330" s="199">
        <v>0</v>
      </c>
      <c r="F330" s="199">
        <v>0</v>
      </c>
      <c r="G330" s="199">
        <v>39535.17</v>
      </c>
      <c r="H330" s="199">
        <v>10878.3</v>
      </c>
      <c r="I330" s="199">
        <v>1406.12</v>
      </c>
      <c r="J330" s="199">
        <v>5048.5600000000004</v>
      </c>
      <c r="K330" s="199">
        <v>1044.6400000000001</v>
      </c>
      <c r="L330" s="199">
        <v>0</v>
      </c>
      <c r="M330" s="199">
        <v>250591.33000000002</v>
      </c>
    </row>
    <row r="331" spans="1:13">
      <c r="A331" t="s">
        <v>1555</v>
      </c>
      <c r="B331" t="s">
        <v>2016</v>
      </c>
      <c r="C331" s="199">
        <v>10204.35</v>
      </c>
      <c r="D331" s="199">
        <v>0</v>
      </c>
      <c r="E331" s="199">
        <v>0</v>
      </c>
      <c r="F331" s="199">
        <v>0</v>
      </c>
      <c r="G331" s="199">
        <v>1882.07</v>
      </c>
      <c r="H331" s="199">
        <v>0</v>
      </c>
      <c r="I331" s="199">
        <v>0</v>
      </c>
      <c r="J331" s="199">
        <v>0</v>
      </c>
      <c r="K331" s="199">
        <v>0</v>
      </c>
      <c r="L331" s="199">
        <v>0</v>
      </c>
      <c r="M331" s="199">
        <v>12086.42</v>
      </c>
    </row>
    <row r="332" spans="1:13">
      <c r="A332" t="s">
        <v>715</v>
      </c>
      <c r="B332" t="s">
        <v>2003</v>
      </c>
      <c r="C332" s="199">
        <v>1098489.1200000001</v>
      </c>
      <c r="D332" s="199">
        <v>85405.82</v>
      </c>
      <c r="E332" s="199">
        <v>43551.49</v>
      </c>
      <c r="F332" s="199">
        <v>50337.02</v>
      </c>
      <c r="G332" s="199">
        <v>224173.26</v>
      </c>
      <c r="H332" s="199">
        <v>128223.62</v>
      </c>
      <c r="I332" s="199">
        <v>66775.48</v>
      </c>
      <c r="J332" s="199">
        <v>122709.42</v>
      </c>
      <c r="K332" s="199">
        <v>6750.3</v>
      </c>
      <c r="L332" s="199">
        <v>0</v>
      </c>
      <c r="M332" s="199">
        <v>1826415.53</v>
      </c>
    </row>
    <row r="333" spans="1:13">
      <c r="A333" t="s">
        <v>640</v>
      </c>
      <c r="B333" t="s">
        <v>1963</v>
      </c>
      <c r="C333" s="199">
        <v>446752.24</v>
      </c>
      <c r="D333" s="199">
        <v>35979.56</v>
      </c>
      <c r="E333" s="199">
        <v>0</v>
      </c>
      <c r="F333" s="199">
        <v>0</v>
      </c>
      <c r="G333" s="199">
        <v>97512.97</v>
      </c>
      <c r="H333" s="199">
        <v>27520.48</v>
      </c>
      <c r="I333" s="199">
        <v>3075.15</v>
      </c>
      <c r="J333" s="199">
        <v>5754.14</v>
      </c>
      <c r="K333" s="199">
        <v>2586.44</v>
      </c>
      <c r="L333" s="199">
        <v>3784.67</v>
      </c>
      <c r="M333" s="199">
        <v>622965.65</v>
      </c>
    </row>
    <row r="334" spans="1:13">
      <c r="A334" t="s">
        <v>732</v>
      </c>
      <c r="B334" t="s">
        <v>2012</v>
      </c>
      <c r="C334" s="199">
        <v>103690</v>
      </c>
      <c r="D334" s="199">
        <v>6451.62</v>
      </c>
      <c r="E334" s="199">
        <v>0</v>
      </c>
      <c r="F334" s="199">
        <v>0</v>
      </c>
      <c r="G334" s="199">
        <v>14239.39</v>
      </c>
      <c r="H334" s="199">
        <v>9069.33</v>
      </c>
      <c r="I334" s="199">
        <v>6004.35</v>
      </c>
      <c r="J334" s="199">
        <v>4077.44</v>
      </c>
      <c r="K334" s="199">
        <v>568.27</v>
      </c>
      <c r="L334" s="199">
        <v>4023.84</v>
      </c>
      <c r="M334" s="199">
        <v>148124.24</v>
      </c>
    </row>
    <row r="335" spans="1:13">
      <c r="C335" s="48"/>
      <c r="D335" s="48"/>
      <c r="E335" s="48"/>
      <c r="F335" s="48"/>
      <c r="G335" s="48"/>
      <c r="H335" s="48"/>
      <c r="I335" s="48"/>
      <c r="J335" s="48"/>
      <c r="K335" s="48"/>
      <c r="L335" s="48"/>
      <c r="M335" s="383"/>
    </row>
  </sheetData>
  <sortState xmlns:xlrd2="http://schemas.microsoft.com/office/spreadsheetml/2017/richdata2" ref="A4:I322">
    <sortCondition ref="A4:A322"/>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F6B08-4BBC-41BA-8C62-9BEAD2EB81DD}">
  <sheetPr>
    <tabColor rgb="FFFFFF00"/>
    <pageSetUpPr fitToPage="1"/>
  </sheetPr>
  <dimension ref="A1:T29"/>
  <sheetViews>
    <sheetView zoomScaleNormal="100" workbookViewId="0">
      <selection activeCell="G1" sqref="G1"/>
    </sheetView>
  </sheetViews>
  <sheetFormatPr defaultRowHeight="14.4"/>
  <cols>
    <col min="1" max="1" width="47.5546875" bestFit="1" customWidth="1"/>
    <col min="2" max="2" width="16.5546875" bestFit="1" customWidth="1"/>
    <col min="3" max="3" width="14" bestFit="1" customWidth="1"/>
    <col min="4" max="4" width="14" customWidth="1"/>
    <col min="5" max="5" width="14" bestFit="1" customWidth="1"/>
    <col min="6" max="6" width="22" customWidth="1"/>
    <col min="7" max="7" width="22.109375" customWidth="1"/>
    <col min="8" max="8" width="2.5546875" customWidth="1"/>
    <col min="10" max="10" width="14.33203125" customWidth="1"/>
    <col min="11" max="11" width="3.33203125" customWidth="1"/>
    <col min="12" max="12" width="5.6640625" customWidth="1"/>
    <col min="13" max="13" width="44.33203125" bestFit="1" customWidth="1"/>
    <col min="14" max="14" width="17.88671875" bestFit="1" customWidth="1"/>
    <col min="15" max="15" width="12" bestFit="1" customWidth="1"/>
    <col min="16" max="16" width="12.88671875" bestFit="1" customWidth="1"/>
    <col min="17" max="17" width="11.44140625" bestFit="1" customWidth="1"/>
    <col min="18" max="18" width="8.33203125" customWidth="1"/>
    <col min="19" max="19" width="2.6640625" customWidth="1"/>
    <col min="20" max="20" width="12.33203125" customWidth="1"/>
  </cols>
  <sheetData>
    <row r="1" spans="1:20" ht="15.6">
      <c r="A1" s="703" t="s">
        <v>2052</v>
      </c>
      <c r="B1" s="703"/>
      <c r="C1" s="703"/>
      <c r="D1" s="703"/>
      <c r="E1" s="703"/>
      <c r="F1" s="703"/>
      <c r="I1" s="34" t="str">
        <f>'Fund Balance Summary'!$B$1</f>
        <v>14005</v>
      </c>
      <c r="M1" s="361" t="s">
        <v>2427</v>
      </c>
    </row>
    <row r="2" spans="1:20" ht="16.2" thickBot="1">
      <c r="A2" s="703" t="s">
        <v>51</v>
      </c>
      <c r="B2" s="703"/>
      <c r="C2" s="703"/>
      <c r="D2" s="703"/>
      <c r="E2" s="703"/>
      <c r="F2" s="703"/>
    </row>
    <row r="3" spans="1:20" ht="15" customHeight="1">
      <c r="A3" s="6" t="s">
        <v>39</v>
      </c>
      <c r="B3" s="256"/>
      <c r="C3" s="256"/>
      <c r="D3" s="256"/>
      <c r="F3" s="2"/>
      <c r="G3" s="334"/>
      <c r="H3" s="207"/>
      <c r="I3" s="702" t="s">
        <v>2622</v>
      </c>
      <c r="J3" s="702"/>
      <c r="L3" s="337"/>
      <c r="M3" s="338"/>
      <c r="N3" s="338"/>
      <c r="O3" s="338"/>
      <c r="P3" s="338"/>
      <c r="Q3" s="338"/>
      <c r="R3" s="338"/>
      <c r="S3" s="339"/>
    </row>
    <row r="4" spans="1:20" ht="30.75" customHeight="1" thickBot="1">
      <c r="G4" s="334"/>
      <c r="H4" s="207"/>
      <c r="I4" s="702"/>
      <c r="J4" s="702"/>
      <c r="L4" s="325"/>
      <c r="M4" s="701" t="s">
        <v>2396</v>
      </c>
      <c r="N4" s="701"/>
      <c r="O4" s="701"/>
      <c r="P4" s="701"/>
      <c r="Q4" s="701"/>
      <c r="R4" s="701"/>
      <c r="S4" s="340"/>
    </row>
    <row r="5" spans="1:20" ht="35.25" customHeight="1">
      <c r="A5" s="333" t="s">
        <v>2362</v>
      </c>
      <c r="B5" s="359" t="s">
        <v>2432</v>
      </c>
      <c r="C5" s="359" t="s">
        <v>2433</v>
      </c>
      <c r="D5" s="359" t="s">
        <v>2434</v>
      </c>
      <c r="E5" s="360" t="s">
        <v>2435</v>
      </c>
      <c r="F5" s="262" t="s">
        <v>2439</v>
      </c>
      <c r="G5" s="334"/>
      <c r="I5" s="702"/>
      <c r="J5" s="702"/>
      <c r="L5" s="325"/>
      <c r="M5" s="405" t="s">
        <v>2426</v>
      </c>
      <c r="N5" s="359" t="s">
        <v>2432</v>
      </c>
      <c r="O5" s="359" t="s">
        <v>2433</v>
      </c>
      <c r="P5" s="359" t="s">
        <v>2434</v>
      </c>
      <c r="Q5" s="360" t="s">
        <v>2435</v>
      </c>
      <c r="R5" s="406" t="s">
        <v>2397</v>
      </c>
      <c r="S5" s="340"/>
    </row>
    <row r="6" spans="1:20" ht="15.6">
      <c r="A6" s="260" t="s">
        <v>2358</v>
      </c>
      <c r="B6" s="327">
        <v>0</v>
      </c>
      <c r="C6" s="327">
        <v>0</v>
      </c>
      <c r="D6" s="327">
        <v>0</v>
      </c>
      <c r="E6" s="328">
        <v>0</v>
      </c>
      <c r="F6" s="272">
        <f>SUM(B6:E6)</f>
        <v>0</v>
      </c>
      <c r="G6" s="334"/>
      <c r="I6" s="702"/>
      <c r="J6" s="702"/>
      <c r="L6" s="341" t="s">
        <v>2398</v>
      </c>
      <c r="M6" s="336" t="s">
        <v>2399</v>
      </c>
      <c r="N6" s="407"/>
      <c r="O6" s="407"/>
      <c r="P6" s="407"/>
      <c r="Q6" s="407"/>
      <c r="R6" s="408" t="s">
        <v>2400</v>
      </c>
      <c r="S6" s="340"/>
    </row>
    <row r="7" spans="1:20" ht="15.6">
      <c r="A7" s="257"/>
      <c r="B7" s="257"/>
      <c r="C7" s="257"/>
      <c r="D7" s="257"/>
      <c r="E7" s="258"/>
      <c r="F7" s="263"/>
      <c r="I7" s="702"/>
      <c r="J7" s="702"/>
      <c r="L7" s="341"/>
      <c r="M7" s="336"/>
      <c r="N7" s="409"/>
      <c r="O7" s="409"/>
      <c r="P7" s="409"/>
      <c r="Q7" s="409"/>
      <c r="R7" s="406"/>
      <c r="S7" s="340"/>
    </row>
    <row r="8" spans="1:20" ht="17.399999999999999">
      <c r="A8" s="80" t="s">
        <v>2436</v>
      </c>
      <c r="C8" s="329">
        <v>0</v>
      </c>
      <c r="D8" s="329">
        <v>0</v>
      </c>
      <c r="E8" s="330">
        <v>0</v>
      </c>
      <c r="F8" s="264"/>
      <c r="I8" s="702"/>
      <c r="J8" s="702"/>
      <c r="L8" s="341" t="s">
        <v>2401</v>
      </c>
      <c r="M8" t="s">
        <v>2436</v>
      </c>
      <c r="N8" s="409"/>
      <c r="O8" s="410" t="s">
        <v>2403</v>
      </c>
      <c r="P8" s="410" t="s">
        <v>2403</v>
      </c>
      <c r="Q8" s="410" t="s">
        <v>2429</v>
      </c>
      <c r="R8" s="411"/>
      <c r="S8" s="340"/>
    </row>
    <row r="9" spans="1:20" ht="18">
      <c r="A9" s="80" t="s">
        <v>2356</v>
      </c>
      <c r="B9" s="80"/>
      <c r="C9" s="331">
        <v>0</v>
      </c>
      <c r="D9" s="331">
        <v>0</v>
      </c>
      <c r="E9" s="332">
        <v>0</v>
      </c>
      <c r="F9" s="265"/>
      <c r="G9" s="229"/>
      <c r="I9" s="702"/>
      <c r="J9" s="702"/>
      <c r="L9" s="341" t="s">
        <v>2404</v>
      </c>
      <c r="M9" t="s">
        <v>2356</v>
      </c>
      <c r="N9" s="409"/>
      <c r="O9" s="410" t="s">
        <v>2402</v>
      </c>
      <c r="P9" s="410" t="s">
        <v>2402</v>
      </c>
      <c r="Q9" s="410" t="s">
        <v>2402</v>
      </c>
      <c r="R9" s="411"/>
      <c r="S9" s="340"/>
    </row>
    <row r="10" spans="1:20" ht="18">
      <c r="A10" s="269" t="s">
        <v>2441</v>
      </c>
      <c r="B10" s="80"/>
      <c r="C10" s="270">
        <f>+C9*C8</f>
        <v>0</v>
      </c>
      <c r="D10" s="270">
        <f t="shared" ref="D10:E10" si="0">+D9*D8</f>
        <v>0</v>
      </c>
      <c r="E10" s="323">
        <f t="shared" si="0"/>
        <v>0</v>
      </c>
      <c r="F10" s="324">
        <f>SUM(C10:E10)</f>
        <v>0</v>
      </c>
      <c r="G10" s="229"/>
      <c r="I10" s="702"/>
      <c r="J10" s="702"/>
      <c r="L10" s="341" t="s">
        <v>2405</v>
      </c>
      <c r="M10" s="412" t="s">
        <v>2441</v>
      </c>
      <c r="N10" s="409"/>
      <c r="O10" s="413" t="s">
        <v>2406</v>
      </c>
      <c r="P10" s="413" t="s">
        <v>2406</v>
      </c>
      <c r="Q10" s="413" t="s">
        <v>2406</v>
      </c>
      <c r="R10" s="406" t="s">
        <v>2407</v>
      </c>
      <c r="S10" s="340"/>
    </row>
    <row r="11" spans="1:20" ht="18">
      <c r="A11" s="80" t="s">
        <v>2359</v>
      </c>
      <c r="B11" s="327">
        <v>0</v>
      </c>
      <c r="C11" s="261"/>
      <c r="D11" s="261"/>
      <c r="E11" s="261"/>
      <c r="F11" s="263">
        <f>+B11</f>
        <v>0</v>
      </c>
      <c r="G11" s="229"/>
      <c r="I11" s="702"/>
      <c r="J11" s="702"/>
      <c r="L11" s="341" t="s">
        <v>2408</v>
      </c>
      <c r="M11" t="s">
        <v>2359</v>
      </c>
      <c r="N11" s="410">
        <v>1197</v>
      </c>
      <c r="O11" s="409"/>
      <c r="P11" s="409"/>
      <c r="Q11" s="409"/>
      <c r="R11" s="406" t="s">
        <v>2409</v>
      </c>
      <c r="S11" s="340"/>
    </row>
    <row r="12" spans="1:20" ht="18">
      <c r="A12" s="608" t="s">
        <v>2360</v>
      </c>
      <c r="B12" s="609">
        <v>0</v>
      </c>
      <c r="F12" s="263">
        <f>+B12</f>
        <v>0</v>
      </c>
      <c r="G12" s="229"/>
      <c r="J12" s="322"/>
      <c r="L12" s="341" t="s">
        <v>2410</v>
      </c>
      <c r="M12" s="607" t="s">
        <v>2360</v>
      </c>
      <c r="N12" s="410">
        <v>1197</v>
      </c>
      <c r="O12" s="409"/>
      <c r="P12" s="409"/>
      <c r="Q12" s="409"/>
      <c r="R12" s="406" t="s">
        <v>2411</v>
      </c>
      <c r="S12" s="340"/>
    </row>
    <row r="13" spans="1:20" ht="18">
      <c r="A13" s="259"/>
      <c r="B13" s="267"/>
      <c r="C13" s="97"/>
      <c r="D13" s="97"/>
      <c r="E13" s="97"/>
      <c r="F13" s="263"/>
      <c r="G13" s="229"/>
      <c r="J13" s="224"/>
      <c r="L13" s="342"/>
      <c r="M13" s="10"/>
      <c r="N13" s="73"/>
      <c r="O13" s="73"/>
      <c r="P13" s="73"/>
      <c r="Q13" s="73"/>
      <c r="R13" s="73"/>
      <c r="S13" s="340"/>
    </row>
    <row r="14" spans="1:20" ht="17.399999999999999">
      <c r="A14" s="336" t="s">
        <v>2437</v>
      </c>
      <c r="B14" s="101">
        <f>+B6+B11+B12</f>
        <v>0</v>
      </c>
      <c r="C14" s="101">
        <f>+C10+C6</f>
        <v>0</v>
      </c>
      <c r="D14" s="101">
        <f>+D10+D6</f>
        <v>0</v>
      </c>
      <c r="E14" s="101">
        <f>+E10+E6</f>
        <v>0</v>
      </c>
      <c r="F14" s="266">
        <f>SUM(B14:E14)</f>
        <v>0</v>
      </c>
      <c r="H14" s="5"/>
      <c r="I14" s="5"/>
      <c r="J14" s="224"/>
      <c r="L14" s="341" t="s">
        <v>2412</v>
      </c>
      <c r="M14" s="336" t="s">
        <v>2437</v>
      </c>
      <c r="N14" s="413" t="s">
        <v>2413</v>
      </c>
      <c r="O14" s="413" t="s">
        <v>2414</v>
      </c>
      <c r="P14" s="413" t="s">
        <v>2414</v>
      </c>
      <c r="Q14" s="413" t="s">
        <v>2414</v>
      </c>
      <c r="R14" s="406" t="s">
        <v>2415</v>
      </c>
      <c r="S14" s="340"/>
    </row>
    <row r="15" spans="1:20" ht="17.399999999999999">
      <c r="A15" s="80"/>
      <c r="B15" s="80"/>
      <c r="C15" s="80"/>
      <c r="D15" s="80"/>
      <c r="E15" s="89"/>
      <c r="F15" s="264"/>
      <c r="J15" s="322"/>
      <c r="L15" s="342"/>
      <c r="N15" s="73"/>
      <c r="O15" s="73"/>
      <c r="P15" s="73"/>
      <c r="Q15" s="73"/>
      <c r="R15" s="73"/>
      <c r="S15" s="340"/>
    </row>
    <row r="16" spans="1:20" ht="18" thickBot="1">
      <c r="A16" s="336" t="s">
        <v>2430</v>
      </c>
      <c r="B16" s="327">
        <v>0</v>
      </c>
      <c r="F16" s="264"/>
      <c r="G16" t="s">
        <v>2440</v>
      </c>
      <c r="J16" s="224"/>
      <c r="L16" s="341" t="s">
        <v>2416</v>
      </c>
      <c r="M16" s="336" t="s">
        <v>2430</v>
      </c>
      <c r="N16" s="414" t="s">
        <v>2431</v>
      </c>
      <c r="O16" s="409"/>
      <c r="P16" s="409"/>
      <c r="Q16" s="409"/>
      <c r="R16" s="346"/>
      <c r="S16" s="340"/>
      <c r="T16" t="s">
        <v>2440</v>
      </c>
    </row>
    <row r="17" spans="1:20" ht="18.75" customHeight="1" thickBot="1">
      <c r="A17" s="80" t="s">
        <v>2438</v>
      </c>
      <c r="B17" s="80"/>
      <c r="C17" s="327">
        <v>0</v>
      </c>
      <c r="D17" s="327">
        <v>0</v>
      </c>
      <c r="E17" s="328">
        <v>0</v>
      </c>
      <c r="F17" s="268"/>
      <c r="G17" s="404">
        <f>+B16+C17+D17+E17</f>
        <v>0</v>
      </c>
      <c r="J17" s="224"/>
      <c r="L17" s="341" t="s">
        <v>2417</v>
      </c>
      <c r="M17" t="s">
        <v>2438</v>
      </c>
      <c r="N17" s="409"/>
      <c r="O17" s="410"/>
      <c r="P17" s="410"/>
      <c r="Q17" s="410"/>
      <c r="R17" s="346"/>
      <c r="S17" s="340"/>
      <c r="T17" s="346" t="s">
        <v>2428</v>
      </c>
    </row>
    <row r="18" spans="1:20" ht="17.399999999999999">
      <c r="A18" s="80"/>
      <c r="B18" s="80"/>
      <c r="C18" s="80"/>
      <c r="D18" s="80"/>
      <c r="E18" s="89"/>
      <c r="F18" s="264"/>
      <c r="J18" s="224"/>
      <c r="L18" s="342"/>
      <c r="M18" s="73"/>
      <c r="N18" s="73"/>
      <c r="O18" s="73"/>
      <c r="P18" s="73"/>
      <c r="Q18" s="73"/>
      <c r="R18" s="73"/>
      <c r="S18" s="340"/>
      <c r="T18" s="346"/>
    </row>
    <row r="19" spans="1:20" ht="18" thickBot="1">
      <c r="A19" s="80" t="s">
        <v>2361</v>
      </c>
      <c r="B19" s="271">
        <f>+B14-B16</f>
        <v>0</v>
      </c>
      <c r="C19" s="401">
        <f t="shared" ref="C19:E19" si="1">+C14-C17</f>
        <v>0</v>
      </c>
      <c r="D19" s="401">
        <f t="shared" si="1"/>
        <v>0</v>
      </c>
      <c r="E19" s="402">
        <f t="shared" si="1"/>
        <v>0</v>
      </c>
      <c r="F19" s="264"/>
      <c r="J19" s="224"/>
      <c r="L19" s="341" t="s">
        <v>2418</v>
      </c>
      <c r="M19" s="336" t="s">
        <v>2419</v>
      </c>
      <c r="N19" s="413" t="s">
        <v>2420</v>
      </c>
      <c r="O19" s="413" t="s">
        <v>2421</v>
      </c>
      <c r="P19" s="413" t="s">
        <v>2421</v>
      </c>
      <c r="Q19" s="413" t="s">
        <v>2421</v>
      </c>
      <c r="R19" s="409"/>
      <c r="S19" s="340"/>
    </row>
    <row r="20" spans="1:20" ht="58.2" customHeight="1">
      <c r="A20" s="335" t="s">
        <v>2357</v>
      </c>
      <c r="B20" s="80"/>
      <c r="C20" s="704" t="s">
        <v>2477</v>
      </c>
      <c r="D20" s="705"/>
      <c r="E20" s="705"/>
      <c r="F20" s="268"/>
      <c r="L20" s="326"/>
      <c r="M20" s="415" t="s">
        <v>2422</v>
      </c>
      <c r="N20" s="409"/>
      <c r="O20" s="409"/>
      <c r="P20" s="409"/>
      <c r="Q20" s="409"/>
      <c r="R20" s="409"/>
      <c r="S20" s="340"/>
    </row>
    <row r="21" spans="1:20" ht="18" thickBot="1">
      <c r="A21" s="273" t="s">
        <v>2475</v>
      </c>
      <c r="B21" s="419">
        <f>IF(+B14-B16&lt;0,0,+B19)</f>
        <v>0</v>
      </c>
      <c r="C21" s="420">
        <f t="shared" ref="C21:E21" si="2">IF(+C14-C17&lt;0,0,+C19)</f>
        <v>0</v>
      </c>
      <c r="D21" s="421">
        <f t="shared" si="2"/>
        <v>0</v>
      </c>
      <c r="E21" s="422">
        <f t="shared" si="2"/>
        <v>0</v>
      </c>
      <c r="F21" s="423">
        <f>SUM(B21:E21)</f>
        <v>0</v>
      </c>
      <c r="L21" s="341" t="s">
        <v>2423</v>
      </c>
      <c r="M21" s="336" t="s">
        <v>2478</v>
      </c>
      <c r="N21" s="416" t="s">
        <v>2424</v>
      </c>
      <c r="O21" s="416" t="s">
        <v>2424</v>
      </c>
      <c r="P21" s="416" t="s">
        <v>2424</v>
      </c>
      <c r="Q21" s="416" t="s">
        <v>2424</v>
      </c>
      <c r="R21" s="408" t="s">
        <v>2425</v>
      </c>
      <c r="S21" s="340"/>
    </row>
    <row r="22" spans="1:20" ht="15" thickBot="1">
      <c r="L22" s="417"/>
      <c r="S22" s="418"/>
    </row>
    <row r="23" spans="1:20" ht="16.2" thickBot="1">
      <c r="A23" s="425" t="s">
        <v>2479</v>
      </c>
      <c r="B23" s="79"/>
      <c r="C23" s="79"/>
      <c r="D23" s="79"/>
      <c r="E23" s="79"/>
      <c r="F23" s="424">
        <f>+B21</f>
        <v>0</v>
      </c>
      <c r="L23" s="343"/>
      <c r="M23" s="344"/>
      <c r="N23" s="344"/>
      <c r="O23" s="344"/>
      <c r="P23" s="344"/>
      <c r="Q23" s="344"/>
      <c r="R23" s="344"/>
      <c r="S23" s="345"/>
    </row>
    <row r="24" spans="1:20" ht="29.4" thickBot="1">
      <c r="F24" s="403" t="s">
        <v>2476</v>
      </c>
    </row>
    <row r="25" spans="1:20">
      <c r="A25" s="361" t="s">
        <v>2442</v>
      </c>
      <c r="B25" s="362"/>
      <c r="C25" s="362"/>
      <c r="D25" s="362"/>
      <c r="E25" s="362"/>
      <c r="M25" s="361" t="s">
        <v>2442</v>
      </c>
      <c r="N25" s="362"/>
      <c r="O25" s="362"/>
      <c r="P25" s="362"/>
      <c r="Q25" s="362"/>
      <c r="R25" s="362"/>
    </row>
    <row r="26" spans="1:20" ht="15" customHeight="1">
      <c r="G26" s="334"/>
    </row>
    <row r="27" spans="1:20">
      <c r="G27" s="334"/>
    </row>
    <row r="28" spans="1:20">
      <c r="G28" s="334"/>
    </row>
    <row r="29" spans="1:20">
      <c r="G29" s="334"/>
    </row>
  </sheetData>
  <mergeCells count="5">
    <mergeCell ref="M4:R4"/>
    <mergeCell ref="I3:J11"/>
    <mergeCell ref="A1:F1"/>
    <mergeCell ref="A2:F2"/>
    <mergeCell ref="C20:E20"/>
  </mergeCells>
  <hyperlinks>
    <hyperlink ref="A3" location="'Fund Balance Summary'!A1" display="(Return to summary sheet)" xr:uid="{97CF06A2-A34A-48AC-A10E-FF41DBC22EFC}"/>
  </hyperlinks>
  <pageMargins left="0.2" right="0.2" top="0.75" bottom="0.75" header="0.3" footer="0.3"/>
  <pageSetup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V51"/>
  <sheetViews>
    <sheetView workbookViewId="0">
      <selection activeCell="B3" sqref="B3"/>
    </sheetView>
  </sheetViews>
  <sheetFormatPr defaultRowHeight="14.4"/>
  <cols>
    <col min="1" max="1" width="70.88671875" bestFit="1" customWidth="1"/>
    <col min="2" max="5" width="15.6640625" style="2" customWidth="1"/>
    <col min="6" max="7" width="3.88671875" customWidth="1"/>
    <col min="10" max="10" width="27.77734375" customWidth="1"/>
    <col min="14" max="14" width="12.5546875" bestFit="1" customWidth="1"/>
    <col min="15" max="15" width="15.88671875" customWidth="1"/>
  </cols>
  <sheetData>
    <row r="1" spans="1:22">
      <c r="A1" s="679" t="s">
        <v>1094</v>
      </c>
      <c r="B1" s="679"/>
      <c r="C1" s="679"/>
      <c r="D1" s="679"/>
      <c r="E1" s="679"/>
      <c r="V1" t="s">
        <v>2672</v>
      </c>
    </row>
    <row r="2" spans="1:22" ht="15" thickBot="1">
      <c r="A2" s="679" t="s">
        <v>1098</v>
      </c>
      <c r="B2" s="679"/>
      <c r="C2" s="679"/>
      <c r="D2" s="679"/>
      <c r="E2" s="679"/>
    </row>
    <row r="3" spans="1:22">
      <c r="A3" s="108" t="s">
        <v>150</v>
      </c>
      <c r="J3" s="629" t="s">
        <v>2652</v>
      </c>
      <c r="K3" s="630"/>
      <c r="L3" s="630"/>
      <c r="M3" s="630"/>
      <c r="N3" s="630"/>
      <c r="O3" s="631"/>
    </row>
    <row r="4" spans="1:22">
      <c r="J4" s="632"/>
      <c r="K4" s="633"/>
      <c r="L4" s="633"/>
      <c r="M4" s="633"/>
      <c r="N4" s="633"/>
      <c r="O4" s="634"/>
    </row>
    <row r="5" spans="1:22">
      <c r="A5" s="7" t="s">
        <v>2641</v>
      </c>
      <c r="B5" s="624" t="s">
        <v>2638</v>
      </c>
      <c r="C5" s="624" t="s">
        <v>2639</v>
      </c>
      <c r="D5" s="624" t="s">
        <v>2640</v>
      </c>
      <c r="J5" s="635" t="s">
        <v>2654</v>
      </c>
      <c r="K5" s="633"/>
      <c r="L5" s="633"/>
      <c r="M5" s="633"/>
      <c r="N5" s="633"/>
      <c r="O5" s="634"/>
    </row>
    <row r="6" spans="1:22" ht="16.2">
      <c r="A6" t="s">
        <v>2649</v>
      </c>
      <c r="B6" s="1">
        <v>0</v>
      </c>
      <c r="C6" s="1">
        <v>0</v>
      </c>
      <c r="D6" s="1">
        <v>0</v>
      </c>
      <c r="E6" s="60">
        <f>SUM(B6:D6)</f>
        <v>0</v>
      </c>
      <c r="J6" s="632"/>
      <c r="K6" s="633"/>
      <c r="L6" s="633"/>
      <c r="M6" s="633"/>
      <c r="N6" s="633"/>
      <c r="O6" s="634"/>
    </row>
    <row r="7" spans="1:22">
      <c r="B7" s="624"/>
      <c r="C7" s="624"/>
      <c r="D7" s="624"/>
      <c r="E7" s="62"/>
      <c r="J7" s="632" t="s">
        <v>2653</v>
      </c>
      <c r="K7" s="633"/>
      <c r="L7" s="633"/>
      <c r="M7" s="633"/>
      <c r="N7" s="633"/>
      <c r="O7" s="634"/>
    </row>
    <row r="8" spans="1:22">
      <c r="A8" t="s">
        <v>1081</v>
      </c>
      <c r="B8" s="624" t="s">
        <v>2638</v>
      </c>
      <c r="C8" s="624" t="s">
        <v>2639</v>
      </c>
      <c r="D8" s="624" t="s">
        <v>2640</v>
      </c>
      <c r="J8" s="636" t="s">
        <v>2655</v>
      </c>
      <c r="K8" s="633"/>
      <c r="L8" s="633"/>
      <c r="M8" s="633"/>
      <c r="N8" s="633"/>
      <c r="O8" s="634"/>
    </row>
    <row r="9" spans="1:22">
      <c r="A9" s="4" t="s">
        <v>1100</v>
      </c>
      <c r="B9" s="1">
        <v>0</v>
      </c>
      <c r="C9" s="625"/>
      <c r="D9" s="625"/>
      <c r="J9" s="637" t="s">
        <v>2656</v>
      </c>
      <c r="K9" s="633"/>
      <c r="L9" s="633"/>
      <c r="M9" s="633"/>
      <c r="N9" s="633"/>
      <c r="O9" s="634"/>
    </row>
    <row r="10" spans="1:22">
      <c r="A10" s="4" t="s">
        <v>1101</v>
      </c>
      <c r="B10" s="1">
        <v>0</v>
      </c>
      <c r="C10" s="1">
        <v>0</v>
      </c>
      <c r="D10" s="1">
        <v>0</v>
      </c>
      <c r="J10" s="638"/>
      <c r="K10" s="633"/>
      <c r="L10" s="633"/>
      <c r="M10" s="633"/>
      <c r="N10" s="633"/>
      <c r="O10" s="634"/>
    </row>
    <row r="11" spans="1:22">
      <c r="A11" s="4" t="s">
        <v>1102</v>
      </c>
      <c r="B11" s="1">
        <v>0</v>
      </c>
      <c r="C11" s="1">
        <v>0</v>
      </c>
      <c r="D11" s="1">
        <v>0</v>
      </c>
      <c r="J11" s="639" t="s">
        <v>2657</v>
      </c>
      <c r="K11" s="633"/>
      <c r="L11" s="633"/>
      <c r="M11" s="633"/>
      <c r="N11" s="633"/>
      <c r="O11" s="634"/>
    </row>
    <row r="12" spans="1:22">
      <c r="A12" s="4" t="s">
        <v>1099</v>
      </c>
      <c r="B12" s="1">
        <v>0</v>
      </c>
      <c r="C12" s="1">
        <v>0</v>
      </c>
      <c r="D12" s="1">
        <v>0</v>
      </c>
      <c r="J12" s="640" t="s">
        <v>2658</v>
      </c>
      <c r="K12" s="633"/>
      <c r="L12" s="633"/>
      <c r="M12" s="633"/>
      <c r="N12" s="633"/>
      <c r="O12" s="634"/>
    </row>
    <row r="13" spans="1:22">
      <c r="A13" s="4" t="s">
        <v>1123</v>
      </c>
      <c r="B13" s="1">
        <v>0</v>
      </c>
      <c r="C13" s="1">
        <v>0</v>
      </c>
      <c r="D13" s="1">
        <v>0</v>
      </c>
      <c r="J13" s="636" t="s">
        <v>2659</v>
      </c>
      <c r="K13" s="633"/>
      <c r="L13" s="633"/>
      <c r="M13" s="633"/>
      <c r="N13" s="633"/>
      <c r="O13" s="634"/>
    </row>
    <row r="14" spans="1:22">
      <c r="A14" s="4" t="s">
        <v>1124</v>
      </c>
      <c r="B14" s="1">
        <v>0</v>
      </c>
      <c r="C14" s="1">
        <v>0</v>
      </c>
      <c r="D14" s="1">
        <v>0</v>
      </c>
      <c r="J14" s="632"/>
      <c r="K14" s="633"/>
      <c r="L14" s="633"/>
      <c r="M14" s="633"/>
      <c r="N14" s="633"/>
      <c r="O14" s="634"/>
    </row>
    <row r="15" spans="1:22">
      <c r="A15" s="4" t="s">
        <v>1125</v>
      </c>
      <c r="B15" s="1">
        <v>0</v>
      </c>
      <c r="C15" s="1">
        <v>0</v>
      </c>
      <c r="D15" s="1">
        <v>0</v>
      </c>
      <c r="J15" s="639" t="s">
        <v>2660</v>
      </c>
      <c r="K15" s="633"/>
      <c r="L15" s="633"/>
      <c r="M15" s="633"/>
      <c r="N15" s="633"/>
      <c r="O15" s="634"/>
    </row>
    <row r="16" spans="1:22" ht="16.2">
      <c r="A16" s="4" t="s">
        <v>1103</v>
      </c>
      <c r="B16" s="59">
        <v>0</v>
      </c>
      <c r="C16" s="59">
        <v>0</v>
      </c>
      <c r="D16" s="59">
        <v>0</v>
      </c>
      <c r="J16" s="640" t="s">
        <v>2661</v>
      </c>
      <c r="K16" s="633"/>
      <c r="L16" s="633"/>
      <c r="M16" s="633"/>
      <c r="N16" s="633"/>
      <c r="O16" s="634"/>
    </row>
    <row r="17" spans="1:15" ht="16.2">
      <c r="A17" t="s">
        <v>1104</v>
      </c>
      <c r="B17" s="60">
        <f>SUM(B9:B16)</f>
        <v>0</v>
      </c>
      <c r="C17" s="60">
        <f t="shared" ref="C17" si="0">SUM(C9:C16)</f>
        <v>0</v>
      </c>
      <c r="D17" s="60">
        <f>SUM(D9:D16)</f>
        <v>0</v>
      </c>
      <c r="E17" s="60">
        <f>SUM(B17:D17)</f>
        <v>0</v>
      </c>
      <c r="J17" s="636" t="s">
        <v>2662</v>
      </c>
      <c r="K17" s="633"/>
      <c r="L17" s="633"/>
      <c r="M17" s="633"/>
      <c r="N17" s="633"/>
      <c r="O17" s="634"/>
    </row>
    <row r="18" spans="1:15">
      <c r="A18" s="58" t="s">
        <v>2642</v>
      </c>
      <c r="B18" s="624" t="s">
        <v>2638</v>
      </c>
      <c r="C18" s="624" t="s">
        <v>2639</v>
      </c>
      <c r="D18" s="624" t="s">
        <v>2640</v>
      </c>
      <c r="J18" s="636" t="s">
        <v>2663</v>
      </c>
      <c r="K18" s="633"/>
      <c r="L18" s="633"/>
      <c r="M18" s="633"/>
      <c r="N18" s="633"/>
      <c r="O18" s="634"/>
    </row>
    <row r="19" spans="1:15">
      <c r="A19" s="4" t="s">
        <v>1105</v>
      </c>
      <c r="B19" s="1">
        <v>0</v>
      </c>
      <c r="C19" s="1">
        <v>0</v>
      </c>
      <c r="D19" s="625"/>
      <c r="J19" s="632"/>
      <c r="K19" s="633"/>
      <c r="L19" s="633"/>
      <c r="M19" s="633"/>
      <c r="N19" s="633"/>
      <c r="O19" s="634"/>
    </row>
    <row r="20" spans="1:15">
      <c r="A20" s="4" t="s">
        <v>1106</v>
      </c>
      <c r="B20" s="1">
        <v>0</v>
      </c>
      <c r="C20" s="1">
        <v>0</v>
      </c>
      <c r="D20" s="625"/>
      <c r="J20" s="641" t="s">
        <v>2664</v>
      </c>
      <c r="K20" s="633"/>
      <c r="L20" s="633"/>
      <c r="M20" s="633"/>
      <c r="N20" s="633"/>
      <c r="O20" s="634"/>
    </row>
    <row r="21" spans="1:15">
      <c r="A21" s="4" t="s">
        <v>1107</v>
      </c>
      <c r="B21" s="1">
        <v>0</v>
      </c>
      <c r="C21" s="625"/>
      <c r="D21" s="625"/>
      <c r="J21" s="632" t="s">
        <v>2665</v>
      </c>
      <c r="K21" s="633"/>
      <c r="L21" s="633"/>
      <c r="M21" s="633"/>
      <c r="N21" s="633"/>
      <c r="O21" s="634"/>
    </row>
    <row r="22" spans="1:15">
      <c r="A22" s="4" t="s">
        <v>1108</v>
      </c>
      <c r="B22" s="1">
        <v>0</v>
      </c>
      <c r="C22" s="1">
        <v>0</v>
      </c>
      <c r="D22" s="625"/>
      <c r="J22" s="640" t="s">
        <v>2673</v>
      </c>
      <c r="K22" s="633"/>
      <c r="L22" s="633"/>
      <c r="M22" s="633"/>
      <c r="N22" s="633"/>
      <c r="O22" s="634"/>
    </row>
    <row r="23" spans="1:15">
      <c r="A23" s="4" t="s">
        <v>2645</v>
      </c>
      <c r="B23" s="1">
        <v>0</v>
      </c>
      <c r="C23" s="1">
        <v>0</v>
      </c>
      <c r="D23" s="625"/>
      <c r="J23" s="640" t="s">
        <v>2666</v>
      </c>
      <c r="K23" s="633"/>
      <c r="L23" s="633"/>
      <c r="M23" s="633"/>
      <c r="N23" s="633"/>
      <c r="O23" s="634"/>
    </row>
    <row r="24" spans="1:15">
      <c r="A24" s="4" t="s">
        <v>1109</v>
      </c>
      <c r="B24" s="1">
        <v>0</v>
      </c>
      <c r="C24" s="625"/>
      <c r="D24" s="625"/>
      <c r="J24" s="632"/>
      <c r="K24" s="633"/>
      <c r="L24" s="633"/>
      <c r="M24" s="633"/>
      <c r="N24" s="633"/>
      <c r="O24" s="634"/>
    </row>
    <row r="25" spans="1:15">
      <c r="A25" s="4" t="s">
        <v>1110</v>
      </c>
      <c r="B25" s="1">
        <v>0</v>
      </c>
      <c r="C25" s="1">
        <v>0</v>
      </c>
      <c r="D25" s="625"/>
      <c r="J25" s="639" t="s">
        <v>2667</v>
      </c>
      <c r="K25" s="633"/>
      <c r="L25" s="633"/>
      <c r="M25" s="633"/>
      <c r="N25" s="633"/>
      <c r="O25" s="634"/>
    </row>
    <row r="26" spans="1:15">
      <c r="A26" s="4" t="s">
        <v>1111</v>
      </c>
      <c r="B26" s="1">
        <v>0</v>
      </c>
      <c r="C26" s="625"/>
      <c r="D26" s="625"/>
      <c r="J26" s="640" t="s">
        <v>2668</v>
      </c>
      <c r="K26" s="633"/>
      <c r="L26" s="633"/>
      <c r="M26" s="633"/>
      <c r="N26" s="633"/>
      <c r="O26" s="634"/>
    </row>
    <row r="27" spans="1:15">
      <c r="A27" s="4" t="s">
        <v>1112</v>
      </c>
      <c r="B27" s="1">
        <v>0</v>
      </c>
      <c r="C27" s="1">
        <v>0</v>
      </c>
      <c r="D27" s="625"/>
      <c r="J27" s="636" t="s">
        <v>2669</v>
      </c>
      <c r="K27" s="633"/>
      <c r="L27" s="633"/>
      <c r="M27" s="633"/>
      <c r="N27" s="633"/>
      <c r="O27" s="634"/>
    </row>
    <row r="28" spans="1:15">
      <c r="A28" s="4" t="s">
        <v>1113</v>
      </c>
      <c r="B28" s="1">
        <v>0</v>
      </c>
      <c r="C28" s="1">
        <v>0</v>
      </c>
      <c r="D28" s="625"/>
      <c r="J28" s="632"/>
      <c r="K28" s="633"/>
      <c r="L28" s="633"/>
      <c r="M28" s="633"/>
      <c r="N28" s="633"/>
      <c r="O28" s="634"/>
    </row>
    <row r="29" spans="1:15">
      <c r="A29" s="4" t="s">
        <v>1114</v>
      </c>
      <c r="B29" s="1">
        <v>0</v>
      </c>
      <c r="C29" s="1">
        <v>0</v>
      </c>
      <c r="D29" s="625"/>
      <c r="J29" s="639" t="s">
        <v>2670</v>
      </c>
      <c r="K29" s="633"/>
      <c r="L29" s="633"/>
      <c r="M29" s="633"/>
      <c r="N29" s="633"/>
      <c r="O29" s="634"/>
    </row>
    <row r="30" spans="1:15">
      <c r="A30" s="4" t="s">
        <v>1528</v>
      </c>
      <c r="B30" s="1">
        <v>0</v>
      </c>
      <c r="C30" s="1">
        <v>0</v>
      </c>
      <c r="D30" s="625"/>
      <c r="J30" s="640" t="s">
        <v>2671</v>
      </c>
      <c r="K30" s="633"/>
      <c r="L30" s="633"/>
      <c r="M30" s="633"/>
      <c r="N30" s="633"/>
      <c r="O30" s="634"/>
    </row>
    <row r="31" spans="1:15" ht="15" thickBot="1">
      <c r="A31" s="4" t="s">
        <v>2643</v>
      </c>
      <c r="B31" s="1">
        <v>0</v>
      </c>
      <c r="C31" s="625"/>
      <c r="D31" s="625"/>
      <c r="J31" s="642"/>
      <c r="K31" s="643"/>
      <c r="L31" s="643"/>
      <c r="M31" s="643"/>
      <c r="N31" s="643"/>
      <c r="O31" s="644"/>
    </row>
    <row r="32" spans="1:15">
      <c r="A32" s="4" t="s">
        <v>2644</v>
      </c>
      <c r="B32" s="1">
        <v>0</v>
      </c>
      <c r="C32" s="1">
        <v>0</v>
      </c>
      <c r="D32" s="625"/>
      <c r="E32" s="62"/>
    </row>
    <row r="33" spans="1:8">
      <c r="A33" s="4" t="s">
        <v>1115</v>
      </c>
      <c r="B33" s="1">
        <v>0</v>
      </c>
      <c r="C33" s="625"/>
      <c r="D33" s="1">
        <v>0</v>
      </c>
    </row>
    <row r="34" spans="1:8">
      <c r="A34" s="4" t="s">
        <v>1116</v>
      </c>
      <c r="B34" s="1">
        <v>0</v>
      </c>
      <c r="C34" s="625"/>
      <c r="D34" s="1">
        <v>0</v>
      </c>
    </row>
    <row r="35" spans="1:8">
      <c r="A35" s="4" t="s">
        <v>1117</v>
      </c>
      <c r="B35" s="1">
        <v>0</v>
      </c>
      <c r="C35" s="625"/>
      <c r="D35" s="625"/>
    </row>
    <row r="36" spans="1:8">
      <c r="A36" s="4" t="s">
        <v>1118</v>
      </c>
      <c r="B36" s="1">
        <v>0</v>
      </c>
      <c r="C36" s="625"/>
      <c r="D36" s="1">
        <v>0</v>
      </c>
    </row>
    <row r="37" spans="1:8">
      <c r="A37" s="4" t="s">
        <v>1119</v>
      </c>
      <c r="B37" s="1">
        <v>0</v>
      </c>
      <c r="C37" s="625"/>
      <c r="D37" s="625"/>
    </row>
    <row r="38" spans="1:8">
      <c r="A38" s="4" t="s">
        <v>1120</v>
      </c>
      <c r="B38" s="1">
        <v>0</v>
      </c>
      <c r="C38" s="625"/>
      <c r="D38" s="1">
        <v>0</v>
      </c>
    </row>
    <row r="39" spans="1:8" ht="16.2">
      <c r="A39" s="4" t="s">
        <v>1121</v>
      </c>
      <c r="B39" s="59">
        <v>0</v>
      </c>
      <c r="C39" s="625"/>
      <c r="D39" s="625"/>
    </row>
    <row r="40" spans="1:8" ht="16.8" thickBot="1">
      <c r="A40" s="58" t="s">
        <v>1122</v>
      </c>
      <c r="B40" s="626">
        <f>SUM(B19:B39)</f>
        <v>0</v>
      </c>
      <c r="C40" s="626">
        <f t="shared" ref="C40:D40" si="1">SUM(C19:C39)</f>
        <v>0</v>
      </c>
      <c r="D40" s="626">
        <f t="shared" si="1"/>
        <v>0</v>
      </c>
      <c r="E40" s="60">
        <f>SUM(B40:D40)</f>
        <v>0</v>
      </c>
    </row>
    <row r="41" spans="1:8" ht="16.8" thickTop="1">
      <c r="A41" s="58"/>
      <c r="B41" s="624" t="s">
        <v>2638</v>
      </c>
      <c r="C41" s="624" t="s">
        <v>2639</v>
      </c>
      <c r="D41" s="624" t="s">
        <v>2640</v>
      </c>
      <c r="E41" s="627"/>
    </row>
    <row r="42" spans="1:8" ht="15" thickBot="1">
      <c r="A42" s="58" t="s">
        <v>2646</v>
      </c>
      <c r="B42" s="628">
        <f t="shared" ref="B42:D42" si="2">+B17-B40</f>
        <v>0</v>
      </c>
      <c r="C42" s="628">
        <f t="shared" si="2"/>
        <v>0</v>
      </c>
      <c r="D42" s="628">
        <f t="shared" si="2"/>
        <v>0</v>
      </c>
      <c r="E42" s="628">
        <f>+E17-E40</f>
        <v>0</v>
      </c>
    </row>
    <row r="43" spans="1:8" ht="15" thickTop="1">
      <c r="A43" s="58"/>
    </row>
    <row r="44" spans="1:8" ht="16.2">
      <c r="A44" s="58" t="s">
        <v>2648</v>
      </c>
      <c r="E44" s="61">
        <f>+E6+E42</f>
        <v>0</v>
      </c>
      <c r="H44" t="s">
        <v>2651</v>
      </c>
    </row>
    <row r="47" spans="1:8">
      <c r="A47" s="7" t="s">
        <v>98</v>
      </c>
    </row>
    <row r="48" spans="1:8">
      <c r="A48" s="58" t="s">
        <v>2647</v>
      </c>
      <c r="E48" s="1">
        <v>0</v>
      </c>
    </row>
    <row r="49" spans="1:8">
      <c r="A49" s="58" t="s">
        <v>1126</v>
      </c>
      <c r="E49" s="1">
        <v>0</v>
      </c>
    </row>
    <row r="50" spans="1:8" ht="16.2">
      <c r="A50" s="58" t="s">
        <v>1127</v>
      </c>
      <c r="E50" s="59">
        <v>0</v>
      </c>
    </row>
    <row r="51" spans="1:8" ht="16.2">
      <c r="A51" s="58" t="s">
        <v>2650</v>
      </c>
      <c r="E51" s="61">
        <f>+E48+E49-E50</f>
        <v>0</v>
      </c>
      <c r="H51" t="s">
        <v>2651</v>
      </c>
    </row>
  </sheetData>
  <mergeCells count="2">
    <mergeCell ref="A1:E1"/>
    <mergeCell ref="A2:E2"/>
  </mergeCells>
  <hyperlinks>
    <hyperlink ref="A3" location="'Fund Balance Summary'!A1" display="(Return to Summary Sheet)" xr:uid="{00000000-0004-0000-0900-00000000000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T58"/>
  <sheetViews>
    <sheetView zoomScaleNormal="100" workbookViewId="0">
      <pane ySplit="4" topLeftCell="A13" activePane="bottomLeft" state="frozen"/>
      <selection pane="bottomLeft" activeCell="D2" sqref="D2"/>
    </sheetView>
  </sheetViews>
  <sheetFormatPr defaultColWidth="9.109375" defaultRowHeight="14.4"/>
  <cols>
    <col min="1" max="1" width="50.6640625" customWidth="1"/>
    <col min="2" max="2" width="16" bestFit="1" customWidth="1"/>
    <col min="3" max="3" width="13.44140625" bestFit="1" customWidth="1"/>
    <col min="4" max="4" width="14.88671875" bestFit="1" customWidth="1"/>
    <col min="5" max="5" width="2.109375" customWidth="1"/>
    <col min="6" max="6" width="15.33203125" customWidth="1"/>
    <col min="8" max="8" width="12.33203125" customWidth="1"/>
    <col min="9" max="9" width="2.44140625" customWidth="1"/>
    <col min="14" max="14" width="14" bestFit="1" customWidth="1"/>
    <col min="23" max="23" width="9.109375" customWidth="1"/>
  </cols>
  <sheetData>
    <row r="1" spans="1:20" ht="35.25" customHeight="1" thickBot="1">
      <c r="A1" s="706" t="s">
        <v>825</v>
      </c>
      <c r="B1" s="706"/>
      <c r="C1" s="706"/>
      <c r="F1" s="67" t="str">
        <f>'Fund Balance Summary'!B1</f>
        <v>14005</v>
      </c>
      <c r="H1" s="426" t="s">
        <v>2514</v>
      </c>
      <c r="J1" s="732" t="s">
        <v>1128</v>
      </c>
      <c r="K1" s="732"/>
      <c r="L1" s="732"/>
      <c r="M1" s="732"/>
      <c r="N1" s="732"/>
      <c r="O1" s="732"/>
      <c r="P1" s="732"/>
      <c r="Q1" s="732"/>
      <c r="R1" s="732"/>
      <c r="S1" s="732"/>
    </row>
    <row r="2" spans="1:20" ht="15" customHeight="1">
      <c r="A2" s="707" t="s">
        <v>51</v>
      </c>
      <c r="B2" s="707"/>
      <c r="C2" s="707"/>
      <c r="J2" s="709" t="s">
        <v>1574</v>
      </c>
      <c r="K2" s="710"/>
      <c r="L2" s="710"/>
      <c r="M2" s="710"/>
      <c r="N2" s="710"/>
      <c r="O2" s="710"/>
      <c r="P2" s="710"/>
      <c r="Q2" s="710"/>
      <c r="R2" s="710"/>
      <c r="S2" s="711"/>
    </row>
    <row r="3" spans="1:20">
      <c r="A3" s="6" t="s">
        <v>39</v>
      </c>
      <c r="J3" s="712" t="s">
        <v>51</v>
      </c>
      <c r="K3" s="713"/>
      <c r="L3" s="713"/>
      <c r="M3" s="713"/>
      <c r="N3" s="713"/>
      <c r="O3" s="713"/>
      <c r="P3" s="713"/>
      <c r="Q3" s="713"/>
      <c r="R3" s="713"/>
      <c r="S3" s="714"/>
    </row>
    <row r="4" spans="1:20" ht="20.399999999999999" customHeight="1">
      <c r="A4" s="46" t="str">
        <f>F1</f>
        <v>14005</v>
      </c>
      <c r="B4" s="7" t="str">
        <f>PROPER(VLOOKUP(F1,CCDDD!$P$2:$Q$331,2,FALSE))</f>
        <v>Aberdeen School District</v>
      </c>
      <c r="J4" s="721" t="s">
        <v>2674</v>
      </c>
      <c r="K4" s="698"/>
      <c r="L4" s="698"/>
      <c r="M4" s="698"/>
      <c r="N4" s="698"/>
      <c r="O4" s="698"/>
      <c r="P4" s="698"/>
      <c r="Q4" s="698"/>
      <c r="R4" s="698"/>
      <c r="S4" s="722"/>
    </row>
    <row r="5" spans="1:20" ht="15" customHeight="1">
      <c r="I5" s="7"/>
      <c r="J5" s="715" t="s">
        <v>1575</v>
      </c>
      <c r="K5" s="716"/>
      <c r="L5" s="716"/>
      <c r="M5" s="716"/>
      <c r="N5" s="716"/>
      <c r="O5" s="716"/>
      <c r="P5" s="716"/>
      <c r="Q5" s="716"/>
      <c r="R5" s="716"/>
      <c r="S5" s="717"/>
    </row>
    <row r="6" spans="1:20">
      <c r="A6" s="47" t="s">
        <v>1081</v>
      </c>
      <c r="J6" s="715"/>
      <c r="K6" s="716"/>
      <c r="L6" s="716"/>
      <c r="M6" s="716"/>
      <c r="N6" s="716"/>
      <c r="O6" s="716"/>
      <c r="P6" s="716"/>
      <c r="Q6" s="716"/>
      <c r="R6" s="716"/>
      <c r="S6" s="717"/>
    </row>
    <row r="7" spans="1:20">
      <c r="A7" s="33" t="s">
        <v>2065</v>
      </c>
      <c r="D7" s="1">
        <v>0</v>
      </c>
      <c r="J7" s="715"/>
      <c r="K7" s="716"/>
      <c r="L7" s="716"/>
      <c r="M7" s="716"/>
      <c r="N7" s="716"/>
      <c r="O7" s="716"/>
      <c r="P7" s="716"/>
      <c r="Q7" s="716"/>
      <c r="R7" s="716"/>
      <c r="S7" s="717"/>
      <c r="T7" s="103"/>
    </row>
    <row r="8" spans="1:20">
      <c r="A8" s="33" t="s">
        <v>1095</v>
      </c>
      <c r="D8" s="56">
        <v>0</v>
      </c>
      <c r="J8" s="715"/>
      <c r="K8" s="716"/>
      <c r="L8" s="716"/>
      <c r="M8" s="716"/>
      <c r="N8" s="716"/>
      <c r="O8" s="716"/>
      <c r="P8" s="716"/>
      <c r="Q8" s="716"/>
      <c r="R8" s="716"/>
      <c r="S8" s="717"/>
      <c r="T8" s="104"/>
    </row>
    <row r="9" spans="1:20">
      <c r="A9" s="33" t="s">
        <v>2515</v>
      </c>
      <c r="D9" s="56">
        <v>0</v>
      </c>
      <c r="J9" s="715"/>
      <c r="K9" s="716"/>
      <c r="L9" s="716"/>
      <c r="M9" s="716"/>
      <c r="N9" s="716"/>
      <c r="O9" s="716"/>
      <c r="P9" s="716"/>
      <c r="Q9" s="716"/>
      <c r="R9" s="716"/>
      <c r="S9" s="717"/>
      <c r="T9" s="105"/>
    </row>
    <row r="10" spans="1:20" ht="15" customHeight="1">
      <c r="A10" s="33" t="s">
        <v>1096</v>
      </c>
      <c r="D10" s="56">
        <v>0</v>
      </c>
      <c r="F10" s="203"/>
      <c r="J10" s="718" t="s">
        <v>1576</v>
      </c>
      <c r="K10" s="719"/>
      <c r="L10" s="719"/>
      <c r="M10" s="719"/>
      <c r="N10" s="719"/>
      <c r="O10" s="719"/>
      <c r="P10" s="719"/>
      <c r="Q10" s="719"/>
      <c r="R10" s="719"/>
      <c r="S10" s="720"/>
      <c r="T10" s="106"/>
    </row>
    <row r="11" spans="1:20" ht="16.2">
      <c r="A11" s="33" t="s">
        <v>1097</v>
      </c>
      <c r="D11" s="57">
        <v>0</v>
      </c>
      <c r="F11" s="203"/>
      <c r="J11" s="718"/>
      <c r="K11" s="719"/>
      <c r="L11" s="719"/>
      <c r="M11" s="719"/>
      <c r="N11" s="719"/>
      <c r="O11" s="719"/>
      <c r="P11" s="719"/>
      <c r="Q11" s="719"/>
      <c r="R11" s="719"/>
      <c r="S11" s="720"/>
      <c r="T11" s="106"/>
    </row>
    <row r="12" spans="1:20">
      <c r="A12" s="47" t="s">
        <v>1082</v>
      </c>
      <c r="D12" s="21">
        <f>SUM(D7:D11)</f>
        <v>0</v>
      </c>
      <c r="F12" s="203"/>
      <c r="J12" s="721" t="s">
        <v>1577</v>
      </c>
      <c r="K12" s="698"/>
      <c r="L12" s="698"/>
      <c r="M12" s="698"/>
      <c r="N12" s="698"/>
      <c r="O12" s="698"/>
      <c r="P12" s="698"/>
      <c r="Q12" s="698"/>
      <c r="R12" s="698"/>
      <c r="S12" s="722"/>
    </row>
    <row r="13" spans="1:20">
      <c r="A13" s="33"/>
      <c r="F13" s="203"/>
      <c r="J13" s="721"/>
      <c r="K13" s="698"/>
      <c r="L13" s="698"/>
      <c r="M13" s="698"/>
      <c r="N13" s="698"/>
      <c r="O13" s="698"/>
      <c r="P13" s="698"/>
      <c r="Q13" s="698"/>
      <c r="R13" s="698"/>
      <c r="S13" s="722"/>
    </row>
    <row r="14" spans="1:20" ht="28.8">
      <c r="A14" s="47" t="s">
        <v>57</v>
      </c>
      <c r="B14" s="49" t="s">
        <v>53</v>
      </c>
      <c r="C14" s="49" t="s">
        <v>1083</v>
      </c>
      <c r="D14" s="49" t="s">
        <v>1084</v>
      </c>
      <c r="F14" s="203"/>
      <c r="J14" s="715" t="s">
        <v>1578</v>
      </c>
      <c r="K14" s="716"/>
      <c r="L14" s="716"/>
      <c r="M14" s="716"/>
      <c r="N14" s="716"/>
      <c r="O14" s="716"/>
      <c r="P14" s="716"/>
      <c r="Q14" s="716"/>
      <c r="R14" s="716"/>
      <c r="S14" s="717"/>
    </row>
    <row r="15" spans="1:20">
      <c r="A15" s="33" t="s">
        <v>1129</v>
      </c>
      <c r="B15" s="1">
        <v>0</v>
      </c>
      <c r="C15" s="5">
        <f t="shared" ref="C15:C21" si="0">IF($B$22=0,0,B15/$B$22*$C$22)</f>
        <v>0</v>
      </c>
      <c r="D15" s="5">
        <f>+B15+C15</f>
        <v>0</v>
      </c>
      <c r="E15" t="s">
        <v>1085</v>
      </c>
      <c r="F15" s="203"/>
      <c r="J15" s="723" t="s">
        <v>2064</v>
      </c>
      <c r="K15" s="724"/>
      <c r="L15" s="724"/>
      <c r="M15" s="724"/>
      <c r="N15" s="724"/>
      <c r="O15" s="724"/>
      <c r="P15" s="724"/>
      <c r="Q15" s="724"/>
      <c r="R15" s="724"/>
      <c r="S15" s="725"/>
    </row>
    <row r="16" spans="1:20">
      <c r="A16" s="33" t="s">
        <v>1130</v>
      </c>
      <c r="B16" s="56">
        <v>0</v>
      </c>
      <c r="C16" s="5">
        <f t="shared" si="0"/>
        <v>0</v>
      </c>
      <c r="D16" s="5">
        <f t="shared" ref="D16:D21" si="1">+B16+C16</f>
        <v>0</v>
      </c>
      <c r="E16" t="s">
        <v>1085</v>
      </c>
      <c r="F16" s="203"/>
      <c r="J16" s="723"/>
      <c r="K16" s="724"/>
      <c r="L16" s="724"/>
      <c r="M16" s="724"/>
      <c r="N16" s="724"/>
      <c r="O16" s="724"/>
      <c r="P16" s="724"/>
      <c r="Q16" s="724"/>
      <c r="R16" s="724"/>
      <c r="S16" s="725"/>
    </row>
    <row r="17" spans="1:19">
      <c r="A17" s="33" t="s">
        <v>1131</v>
      </c>
      <c r="B17" s="56">
        <v>0</v>
      </c>
      <c r="C17" s="5">
        <f t="shared" si="0"/>
        <v>0</v>
      </c>
      <c r="D17" s="5">
        <f t="shared" si="1"/>
        <v>0</v>
      </c>
      <c r="E17" t="s">
        <v>1085</v>
      </c>
      <c r="F17" s="203"/>
      <c r="J17" s="723"/>
      <c r="K17" s="724"/>
      <c r="L17" s="724"/>
      <c r="M17" s="724"/>
      <c r="N17" s="724"/>
      <c r="O17" s="724"/>
      <c r="P17" s="724"/>
      <c r="Q17" s="724"/>
      <c r="R17" s="724"/>
      <c r="S17" s="725"/>
    </row>
    <row r="18" spans="1:19">
      <c r="A18" s="33" t="s">
        <v>2516</v>
      </c>
      <c r="B18" s="56">
        <v>0</v>
      </c>
      <c r="C18" s="5">
        <f t="shared" si="0"/>
        <v>0</v>
      </c>
      <c r="D18" s="5">
        <f t="shared" si="1"/>
        <v>0</v>
      </c>
      <c r="F18" s="203"/>
      <c r="J18" s="715" t="s">
        <v>1579</v>
      </c>
      <c r="K18" s="716"/>
      <c r="L18" s="716"/>
      <c r="M18" s="716"/>
      <c r="N18" s="716"/>
      <c r="O18" s="716"/>
      <c r="P18" s="716"/>
      <c r="Q18" s="716"/>
      <c r="R18" s="716"/>
      <c r="S18" s="717"/>
    </row>
    <row r="19" spans="1:19">
      <c r="A19" s="33" t="s">
        <v>1086</v>
      </c>
      <c r="B19" s="56">
        <v>0</v>
      </c>
      <c r="C19" s="5">
        <f t="shared" si="0"/>
        <v>0</v>
      </c>
      <c r="D19" s="5">
        <f t="shared" si="1"/>
        <v>0</v>
      </c>
      <c r="F19" s="203"/>
      <c r="J19" s="715"/>
      <c r="K19" s="716"/>
      <c r="L19" s="716"/>
      <c r="M19" s="716"/>
      <c r="N19" s="716"/>
      <c r="O19" s="716"/>
      <c r="P19" s="716"/>
      <c r="Q19" s="716"/>
      <c r="R19" s="716"/>
      <c r="S19" s="717"/>
    </row>
    <row r="20" spans="1:19">
      <c r="A20" s="33" t="s">
        <v>1132</v>
      </c>
      <c r="B20" s="56">
        <v>0</v>
      </c>
      <c r="C20" s="5">
        <f t="shared" si="0"/>
        <v>0</v>
      </c>
      <c r="D20" s="5">
        <f t="shared" si="1"/>
        <v>0</v>
      </c>
      <c r="E20" t="s">
        <v>1085</v>
      </c>
      <c r="F20" s="203"/>
      <c r="J20" s="715" t="s">
        <v>1581</v>
      </c>
      <c r="K20" s="716"/>
      <c r="L20" s="716"/>
      <c r="M20" s="716"/>
      <c r="N20" s="716"/>
      <c r="O20" s="716"/>
      <c r="P20" s="716"/>
      <c r="Q20" s="716"/>
      <c r="R20" s="716"/>
      <c r="S20" s="717"/>
    </row>
    <row r="21" spans="1:19" ht="16.2">
      <c r="A21" s="33" t="s">
        <v>1087</v>
      </c>
      <c r="B21" s="57">
        <v>0</v>
      </c>
      <c r="C21" s="50">
        <f t="shared" si="0"/>
        <v>0</v>
      </c>
      <c r="D21" s="50">
        <f t="shared" si="1"/>
        <v>0</v>
      </c>
      <c r="F21" s="203"/>
      <c r="J21" s="715" t="s">
        <v>1586</v>
      </c>
      <c r="K21" s="716"/>
      <c r="L21" s="716"/>
      <c r="M21" s="716"/>
      <c r="N21" s="716"/>
      <c r="O21" s="716"/>
      <c r="P21" s="716"/>
      <c r="Q21" s="716"/>
      <c r="R21" s="716"/>
      <c r="S21" s="717"/>
    </row>
    <row r="22" spans="1:19">
      <c r="A22" s="33" t="s">
        <v>1088</v>
      </c>
      <c r="B22" s="5">
        <f>SUM(B15:B21)</f>
        <v>0</v>
      </c>
      <c r="C22" s="1">
        <v>0</v>
      </c>
      <c r="D22" s="5">
        <f>SUM(D15:D21)</f>
        <v>0</v>
      </c>
      <c r="F22" s="203"/>
      <c r="J22" s="715" t="s">
        <v>1582</v>
      </c>
      <c r="K22" s="716"/>
      <c r="L22" s="716"/>
      <c r="M22" s="716"/>
      <c r="N22" s="716"/>
      <c r="O22" s="716"/>
      <c r="P22" s="716"/>
      <c r="Q22" s="716"/>
      <c r="R22" s="716"/>
      <c r="S22" s="717"/>
    </row>
    <row r="23" spans="1:19">
      <c r="A23" s="33"/>
      <c r="F23" s="203"/>
      <c r="J23" s="715" t="s">
        <v>1587</v>
      </c>
      <c r="K23" s="716"/>
      <c r="L23" s="716"/>
      <c r="M23" s="716"/>
      <c r="N23" s="716"/>
      <c r="O23" s="716"/>
      <c r="P23" s="716"/>
      <c r="Q23" s="716"/>
      <c r="R23" s="716"/>
      <c r="S23" s="717"/>
    </row>
    <row r="24" spans="1:19">
      <c r="A24" s="33" t="s">
        <v>60</v>
      </c>
      <c r="F24" s="203"/>
      <c r="J24" s="715" t="s">
        <v>1583</v>
      </c>
      <c r="K24" s="716"/>
      <c r="L24" s="716"/>
      <c r="M24" s="716"/>
      <c r="N24" s="716"/>
      <c r="O24" s="716"/>
      <c r="P24" s="716"/>
      <c r="Q24" s="716"/>
      <c r="R24" s="716"/>
      <c r="S24" s="717"/>
    </row>
    <row r="25" spans="1:19">
      <c r="A25" s="33" t="s">
        <v>1089</v>
      </c>
      <c r="D25" s="51">
        <f>VLOOKUP($F$1,Indirects!$D$7:$I$354,5,FALSE)</f>
        <v>0.1588</v>
      </c>
      <c r="F25" s="203"/>
      <c r="J25" s="715" t="s">
        <v>1584</v>
      </c>
      <c r="K25" s="716"/>
      <c r="L25" s="716"/>
      <c r="M25" s="716"/>
      <c r="N25" s="716"/>
      <c r="O25" s="716"/>
      <c r="P25" s="716"/>
      <c r="Q25" s="716"/>
      <c r="R25" s="716"/>
      <c r="S25" s="717"/>
    </row>
    <row r="26" spans="1:19">
      <c r="A26" s="33" t="s">
        <v>2046</v>
      </c>
      <c r="B26" s="48"/>
      <c r="D26" s="48">
        <f>ROUND((D15+D16+D17+D20)*D25,2)</f>
        <v>0</v>
      </c>
      <c r="F26" s="203"/>
      <c r="J26" s="715" t="s">
        <v>1585</v>
      </c>
      <c r="K26" s="716"/>
      <c r="L26" s="716"/>
      <c r="M26" s="716"/>
      <c r="N26" s="716"/>
      <c r="O26" s="716"/>
      <c r="P26" s="716"/>
      <c r="Q26" s="716"/>
      <c r="R26" s="716"/>
      <c r="S26" s="717"/>
    </row>
    <row r="27" spans="1:19" ht="16.2">
      <c r="A27" s="47" t="s">
        <v>1090</v>
      </c>
      <c r="B27" s="2"/>
      <c r="D27" s="52">
        <f>+D22+D26</f>
        <v>0</v>
      </c>
      <c r="F27" s="203"/>
      <c r="J27" s="715"/>
      <c r="K27" s="716"/>
      <c r="L27" s="716"/>
      <c r="M27" s="716"/>
      <c r="N27" s="716"/>
      <c r="O27" s="716"/>
      <c r="P27" s="716"/>
      <c r="Q27" s="716"/>
      <c r="R27" s="716"/>
      <c r="S27" s="717"/>
    </row>
    <row r="28" spans="1:19">
      <c r="A28" s="33"/>
      <c r="F28" s="203"/>
      <c r="J28" s="715" t="s">
        <v>2045</v>
      </c>
      <c r="K28" s="716"/>
      <c r="L28" s="716"/>
      <c r="M28" s="716"/>
      <c r="N28" s="716"/>
      <c r="O28" s="716"/>
      <c r="P28" s="716"/>
      <c r="Q28" s="716"/>
      <c r="R28" s="716"/>
      <c r="S28" s="717"/>
    </row>
    <row r="29" spans="1:19" ht="16.2">
      <c r="A29" s="53" t="s">
        <v>1091</v>
      </c>
      <c r="B29" s="5"/>
      <c r="D29" s="54">
        <f>+D12-D27</f>
        <v>0</v>
      </c>
      <c r="F29" s="203"/>
      <c r="J29" s="715"/>
      <c r="K29" s="716"/>
      <c r="L29" s="716"/>
      <c r="M29" s="716"/>
      <c r="N29" s="716"/>
      <c r="O29" s="716"/>
      <c r="P29" s="716"/>
      <c r="Q29" s="716"/>
      <c r="R29" s="716"/>
      <c r="S29" s="717"/>
    </row>
    <row r="30" spans="1:19">
      <c r="F30" s="203"/>
      <c r="J30" s="369"/>
      <c r="K30" s="53"/>
      <c r="L30" s="53"/>
      <c r="M30" s="53"/>
      <c r="N30" s="53"/>
      <c r="O30" s="53"/>
      <c r="P30" s="53"/>
      <c r="Q30" s="53"/>
      <c r="R30" s="53"/>
      <c r="S30" s="370"/>
    </row>
    <row r="31" spans="1:19">
      <c r="F31" s="203"/>
      <c r="J31" s="726" t="s">
        <v>1580</v>
      </c>
      <c r="K31" s="727"/>
      <c r="L31" s="727"/>
      <c r="M31" s="727"/>
      <c r="N31" s="727"/>
      <c r="O31" s="727"/>
      <c r="P31" s="727"/>
      <c r="Q31" s="727"/>
      <c r="R31" s="727"/>
      <c r="S31" s="728"/>
    </row>
    <row r="32" spans="1:19">
      <c r="A32" t="str">
        <f>"2020-21 "&amp;IF(B32&gt;0,"Balance","Loan-Deficit")</f>
        <v>2020-21 Loan-Deficit</v>
      </c>
      <c r="B32" s="2">
        <f>IF(ISNA(VLOOKUP($A$4,'Food Svc Carryover'!$C$7:$G$425,3,FALSE)),0,VLOOKUP($A$4,'Food Svc Carryover'!$C$7:$G$425,3,FALSE))</f>
        <v>0</v>
      </c>
      <c r="F32" s="203"/>
      <c r="J32" s="726"/>
      <c r="K32" s="727"/>
      <c r="L32" s="727"/>
      <c r="M32" s="727"/>
      <c r="N32" s="727"/>
      <c r="O32" s="727"/>
      <c r="P32" s="727"/>
      <c r="Q32" s="727"/>
      <c r="R32" s="727"/>
      <c r="S32" s="728"/>
    </row>
    <row r="33" spans="1:19" ht="15" customHeight="1" thickBot="1">
      <c r="A33" t="str">
        <f>"2021-22 "&amp;IF(B33&gt;0,"Balance","Loan-Deficit")</f>
        <v>2021-22 Loan-Deficit</v>
      </c>
      <c r="B33" s="2">
        <f>IF(ISNA(VLOOKUP($A$4,'Food Svc Carryover'!$C$7:$G$425,4,FALSE)),0,VLOOKUP($A$4,'Food Svc Carryover'!$C$7:$G$425,4,FALSE))</f>
        <v>-444868.54173117736</v>
      </c>
      <c r="F33" s="203"/>
      <c r="J33" s="729"/>
      <c r="K33" s="730"/>
      <c r="L33" s="730"/>
      <c r="M33" s="730"/>
      <c r="N33" s="730"/>
      <c r="O33" s="730"/>
      <c r="P33" s="730"/>
      <c r="Q33" s="730"/>
      <c r="R33" s="730"/>
      <c r="S33" s="731"/>
    </row>
    <row r="34" spans="1:19">
      <c r="A34" t="str">
        <f>"2022-23 "&amp;IF(B34&gt;0,"Balance","Loan-Deficit")</f>
        <v>2022-23 Loan-Deficit</v>
      </c>
      <c r="B34" s="2">
        <f>IF(ISNA(VLOOKUP($A$4,'Food Svc Carryover'!$C$7:$G$425,5,FALSE)),0,VLOOKUP($A$4,'Food Svc Carryover'!$C$7:$G$425,5,FALSE))</f>
        <v>-318946.78542409418</v>
      </c>
      <c r="F34" s="203"/>
    </row>
    <row r="35" spans="1:19" ht="15.6">
      <c r="A35" t="str">
        <f>"2023-24 "&amp;IF(B35&gt;0,"Balance","Loan-Deficit")</f>
        <v>2023-24 Loan-Deficit</v>
      </c>
      <c r="B35" s="2">
        <f>IF(ISNA(VLOOKUP($A$4,'Food Svc Carryover'!$C$7:$H$425,6,FALSE)),0,VLOOKUP($A$4,'Food Svc Carryover'!$C$7:$H$425,6,FALSE))</f>
        <v>-572454.67753600003</v>
      </c>
      <c r="F35" s="203"/>
      <c r="J35" s="75" t="s">
        <v>1511</v>
      </c>
    </row>
    <row r="36" spans="1:19">
      <c r="A36" t="str">
        <f>"2024-25 "&amp;IF(B36&gt;0,"Balance","Loan-Deficit")</f>
        <v>2024-25 Loan-Deficit</v>
      </c>
      <c r="B36" s="2">
        <f>D29</f>
        <v>0</v>
      </c>
      <c r="D36" s="33"/>
      <c r="F36" s="203"/>
      <c r="J36" s="719" t="s">
        <v>2448</v>
      </c>
      <c r="K36" s="719"/>
      <c r="L36" s="719"/>
      <c r="M36" s="719"/>
      <c r="N36" s="719"/>
      <c r="O36" s="719"/>
      <c r="P36" s="719"/>
      <c r="Q36" s="719"/>
      <c r="R36" s="719"/>
      <c r="S36" s="719"/>
    </row>
    <row r="37" spans="1:19" ht="16.2">
      <c r="A37" t="str">
        <f>IF(B34+B35+B36&lt;0,"2024-25 Net Loan-Deficit Carryforward","2023-24 Net Balance Carryforward")</f>
        <v>2024-25 Net Loan-Deficit Carryforward</v>
      </c>
      <c r="B37" s="54">
        <f>SUM(B32:B36)</f>
        <v>-1336270.0046912716</v>
      </c>
      <c r="C37" s="51">
        <f>IF(B37&gt;0,IF(D27=0,0,B37/D27),0)</f>
        <v>0</v>
      </c>
      <c r="D37" s="33"/>
      <c r="F37" s="203"/>
      <c r="J37" s="719"/>
      <c r="K37" s="719"/>
      <c r="L37" s="719"/>
      <c r="M37" s="719"/>
      <c r="N37" s="719"/>
      <c r="O37" s="719"/>
      <c r="P37" s="719"/>
      <c r="Q37" s="719"/>
      <c r="R37" s="719"/>
      <c r="S37" s="719"/>
    </row>
    <row r="38" spans="1:19">
      <c r="A38" t="s">
        <v>1092</v>
      </c>
      <c r="B38" s="5">
        <f>D27/9*3</f>
        <v>0</v>
      </c>
      <c r="C38" s="51"/>
      <c r="D38" s="33"/>
      <c r="F38" s="203"/>
      <c r="J38" s="719"/>
      <c r="K38" s="719"/>
      <c r="L38" s="719"/>
      <c r="M38" s="719"/>
      <c r="N38" s="719"/>
      <c r="O38" s="719"/>
      <c r="P38" s="719"/>
      <c r="Q38" s="719"/>
      <c r="R38" s="719"/>
      <c r="S38" s="719"/>
    </row>
    <row r="39" spans="1:19" ht="17.25" customHeight="1">
      <c r="A39" s="226" t="str">
        <f>IF(B37&gt;B38,"Excess Cash Resources","")</f>
        <v/>
      </c>
      <c r="B39" s="55">
        <f>IF(B37&gt;B38,B37-B38,0)</f>
        <v>0</v>
      </c>
      <c r="F39" s="203"/>
      <c r="J39" s="719"/>
      <c r="K39" s="719"/>
      <c r="L39" s="719"/>
      <c r="M39" s="719"/>
      <c r="N39" s="719"/>
      <c r="O39" s="719"/>
      <c r="P39" s="719"/>
      <c r="Q39" s="719"/>
      <c r="R39" s="719"/>
      <c r="S39" s="719"/>
    </row>
    <row r="40" spans="1:19">
      <c r="A40" s="227" t="str">
        <f>IF(B37&lt;0,"","Net Balance as Percentage of Expenditures")</f>
        <v/>
      </c>
      <c r="C40" s="72">
        <f>IF(B37&gt;0,B37/D27,0)</f>
        <v>0</v>
      </c>
      <c r="F40" s="203"/>
      <c r="J40" s="719"/>
      <c r="K40" s="719"/>
      <c r="L40" s="719"/>
      <c r="M40" s="719"/>
      <c r="N40" s="719"/>
      <c r="O40" s="719"/>
      <c r="P40" s="719"/>
      <c r="Q40" s="719"/>
      <c r="R40" s="719"/>
      <c r="S40" s="719"/>
    </row>
    <row r="41" spans="1:19">
      <c r="A41" s="33"/>
      <c r="C41" s="72"/>
      <c r="F41" s="203"/>
      <c r="J41" s="224"/>
      <c r="K41" s="224"/>
      <c r="L41" s="224"/>
      <c r="M41" s="224"/>
      <c r="N41" s="224"/>
      <c r="O41" s="224"/>
      <c r="P41" s="224"/>
      <c r="Q41" s="224"/>
      <c r="R41" s="224"/>
      <c r="S41" s="224"/>
    </row>
    <row r="42" spans="1:19">
      <c r="A42" s="708" t="s">
        <v>1093</v>
      </c>
      <c r="B42" s="708"/>
      <c r="C42" s="708"/>
      <c r="J42" s="224"/>
      <c r="K42" s="224"/>
      <c r="L42" s="224"/>
      <c r="M42" s="224"/>
      <c r="N42" s="224"/>
      <c r="O42" s="224"/>
      <c r="P42" s="224"/>
      <c r="Q42" s="224"/>
      <c r="R42" s="224"/>
      <c r="S42" s="224"/>
    </row>
    <row r="43" spans="1:19" ht="15" customHeight="1">
      <c r="A43" s="708" t="s">
        <v>2056</v>
      </c>
      <c r="B43" s="708"/>
      <c r="C43" s="708"/>
    </row>
    <row r="44" spans="1:19" ht="15" customHeight="1"/>
    <row r="45" spans="1:19">
      <c r="A45" s="63"/>
    </row>
    <row r="46" spans="1:19">
      <c r="A46" t="s">
        <v>1199</v>
      </c>
    </row>
    <row r="47" spans="1:19" ht="30.6" customHeight="1">
      <c r="A47" s="250" t="s">
        <v>1128</v>
      </c>
      <c r="B47" s="251"/>
      <c r="C47" s="251"/>
      <c r="D47" s="251"/>
      <c r="E47" s="466"/>
      <c r="F47" s="466"/>
      <c r="J47" s="223"/>
      <c r="K47" s="223"/>
      <c r="L47" s="223"/>
      <c r="M47" s="223"/>
    </row>
    <row r="48" spans="1:19">
      <c r="J48" s="223"/>
      <c r="K48" s="223"/>
      <c r="L48" s="223"/>
      <c r="M48" s="223"/>
    </row>
    <row r="49" spans="10:14" ht="46.5" customHeight="1">
      <c r="J49" s="223"/>
      <c r="K49" s="223"/>
      <c r="L49" s="223"/>
      <c r="M49" s="223"/>
    </row>
    <row r="52" spans="10:14">
      <c r="J52" s="7"/>
    </row>
    <row r="53" spans="10:14">
      <c r="J53" s="7"/>
      <c r="N53" s="48"/>
    </row>
    <row r="54" spans="10:14">
      <c r="J54" s="7"/>
      <c r="N54" s="48"/>
    </row>
    <row r="55" spans="10:14">
      <c r="J55" s="7"/>
      <c r="N55" s="48"/>
    </row>
    <row r="56" spans="10:14">
      <c r="J56" s="7"/>
      <c r="N56" s="48"/>
    </row>
    <row r="57" spans="10:14">
      <c r="N57" s="48"/>
    </row>
    <row r="58" spans="10:14">
      <c r="N58" s="48"/>
    </row>
  </sheetData>
  <mergeCells count="25">
    <mergeCell ref="J31:S33"/>
    <mergeCell ref="J36:S40"/>
    <mergeCell ref="J1:S1"/>
    <mergeCell ref="J27:S27"/>
    <mergeCell ref="J22:S22"/>
    <mergeCell ref="J23:S23"/>
    <mergeCell ref="J24:S24"/>
    <mergeCell ref="J25:S25"/>
    <mergeCell ref="J26:S26"/>
    <mergeCell ref="A1:C1"/>
    <mergeCell ref="A2:C2"/>
    <mergeCell ref="A42:C42"/>
    <mergeCell ref="A43:C43"/>
    <mergeCell ref="J2:S2"/>
    <mergeCell ref="J3:S3"/>
    <mergeCell ref="J5:S9"/>
    <mergeCell ref="J10:S11"/>
    <mergeCell ref="J12:S13"/>
    <mergeCell ref="J14:S14"/>
    <mergeCell ref="J15:S17"/>
    <mergeCell ref="J18:S19"/>
    <mergeCell ref="J20:S20"/>
    <mergeCell ref="J21:S21"/>
    <mergeCell ref="J4:S4"/>
    <mergeCell ref="J28:S29"/>
  </mergeCells>
  <conditionalFormatting sqref="B39">
    <cfRule type="cellIs" dxfId="58" priority="2" operator="equal">
      <formula>0</formula>
    </cfRule>
  </conditionalFormatting>
  <conditionalFormatting sqref="C37:C38">
    <cfRule type="cellIs" dxfId="57" priority="3" operator="equal">
      <formula>0</formula>
    </cfRule>
    <cfRule type="cellIs" dxfId="56" priority="4" operator="greaterThan">
      <formula>0.3333</formula>
    </cfRule>
  </conditionalFormatting>
  <conditionalFormatting sqref="C40:C41">
    <cfRule type="cellIs" dxfId="55" priority="1" operator="equal">
      <formula>0</formula>
    </cfRule>
  </conditionalFormatting>
  <dataValidations count="1">
    <dataValidation type="decimal" errorStyle="information" operator="lessThanOrEqual" allowBlank="1" showInputMessage="1" showErrorMessage="1" errorTitle="Enter As Negative" error="Please enter credit transfers as a negative amount." sqref="C22" xr:uid="{00000000-0002-0000-0A00-000000000000}">
      <formula1>0</formula1>
    </dataValidation>
  </dataValidations>
  <hyperlinks>
    <hyperlink ref="A3" location="'Fund Balance Summary'!A1" display="(Return to summary sheet)" xr:uid="{00000000-0004-0000-0A00-000000000000}"/>
  </hyperlinks>
  <pageMargins left="0.5" right="0.25" top="0.75" bottom="0.75" header="0.3" footer="0.3"/>
  <pageSetup scale="87"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E1FF"/>
  </sheetPr>
  <dimension ref="A1:BI366"/>
  <sheetViews>
    <sheetView workbookViewId="0">
      <pane ySplit="6" topLeftCell="A7" activePane="bottomLeft" state="frozen"/>
      <selection pane="bottomLeft" activeCell="A262" sqref="A262"/>
    </sheetView>
  </sheetViews>
  <sheetFormatPr defaultColWidth="9.109375" defaultRowHeight="14.4"/>
  <cols>
    <col min="1" max="1" width="6.33203125" style="45" bestFit="1" customWidth="1"/>
    <col min="2" max="2" width="5.44140625" style="45" bestFit="1" customWidth="1"/>
    <col min="3" max="3" width="6.6640625" style="45" bestFit="1" customWidth="1"/>
    <col min="4" max="4" width="34.88671875" style="45" bestFit="1" customWidth="1"/>
    <col min="5" max="5" width="13.5546875" style="45" customWidth="1"/>
    <col min="6" max="8" width="12.88671875" style="45" bestFit="1" customWidth="1"/>
    <col min="9" max="9" width="11.44140625" style="45" bestFit="1" customWidth="1"/>
    <col min="10" max="10" width="4" style="45" customWidth="1"/>
    <col min="11" max="11" width="6.6640625" bestFit="1" customWidth="1"/>
    <col min="12" max="12" width="3" customWidth="1"/>
    <col min="13" max="13" width="7.21875" customWidth="1"/>
    <col min="14" max="14" width="6.6640625" customWidth="1"/>
    <col min="15" max="15" width="6" style="45" bestFit="1" customWidth="1"/>
    <col min="16" max="17" width="13.88671875" style="45" customWidth="1"/>
    <col min="18" max="18" width="6.88671875" style="45" bestFit="1" customWidth="1"/>
    <col min="19" max="19" width="2.88671875" style="45" customWidth="1"/>
    <col min="20" max="20" width="4" style="45" bestFit="1" customWidth="1"/>
    <col min="21" max="21" width="6.6640625" style="45" bestFit="1" customWidth="1"/>
    <col min="22" max="22" width="17.88671875" style="45" customWidth="1"/>
    <col min="23" max="23" width="12.6640625" style="45" customWidth="1"/>
    <col min="24" max="26" width="12.88671875" style="45" bestFit="1" customWidth="1"/>
    <col min="27" max="27" width="11.44140625" style="45" bestFit="1" customWidth="1"/>
    <col min="28" max="28" width="2.6640625" style="45" customWidth="1"/>
    <col min="29" max="30" width="1.5546875" style="45" customWidth="1"/>
    <col min="31" max="31" width="2" style="45" bestFit="1" customWidth="1"/>
    <col min="32" max="32" width="2.44140625" style="45" customWidth="1"/>
    <col min="33" max="33" width="6.88671875" bestFit="1" customWidth="1"/>
    <col min="34" max="34" width="19.33203125" customWidth="1"/>
    <col min="35" max="38" width="12.88671875" bestFit="1" customWidth="1"/>
    <col min="39" max="39" width="13.88671875" bestFit="1" customWidth="1"/>
    <col min="40" max="40" width="12.109375" bestFit="1" customWidth="1"/>
    <col min="41" max="41" width="6.109375" customWidth="1"/>
    <col min="42" max="42" width="13.88671875" bestFit="1" customWidth="1"/>
    <col min="43" max="43" width="2.6640625" customWidth="1"/>
    <col min="44" max="44" width="3.88671875" customWidth="1"/>
    <col min="45" max="46" width="12.88671875" bestFit="1" customWidth="1"/>
    <col min="47" max="47" width="12.88671875" style="45" bestFit="1" customWidth="1"/>
    <col min="48" max="48" width="13.5546875" style="45" bestFit="1" customWidth="1"/>
    <col min="49" max="49" width="12.44140625" style="45" bestFit="1" customWidth="1"/>
    <col min="50" max="50" width="2.109375" style="45" customWidth="1"/>
    <col min="51" max="51" width="11.88671875" style="45" customWidth="1"/>
    <col min="52" max="52" width="13.5546875" style="45" bestFit="1" customWidth="1"/>
    <col min="53" max="53" width="11.88671875" style="45" bestFit="1" customWidth="1"/>
    <col min="54" max="54" width="3.21875" style="45" customWidth="1"/>
    <col min="55" max="55" width="9.109375" style="45"/>
    <col min="56" max="57" width="4" style="45" bestFit="1" customWidth="1"/>
    <col min="58" max="16384" width="9.109375" style="45"/>
  </cols>
  <sheetData>
    <row r="1" spans="1:55" ht="15" thickBot="1">
      <c r="C1" s="459"/>
      <c r="D1" s="459"/>
      <c r="E1" s="459"/>
      <c r="F1" s="459"/>
      <c r="G1" s="459"/>
      <c r="H1" s="459"/>
      <c r="M1" s="458"/>
      <c r="N1" s="458"/>
      <c r="O1" s="459"/>
      <c r="P1" s="459"/>
      <c r="Q1" s="459"/>
      <c r="R1" s="459"/>
      <c r="U1" s="459"/>
      <c r="V1" s="459"/>
      <c r="W1" s="459"/>
      <c r="X1" s="459"/>
      <c r="Y1" s="459"/>
      <c r="Z1" s="459"/>
      <c r="AG1" s="467"/>
      <c r="AH1" s="467"/>
      <c r="AI1" s="467"/>
      <c r="AJ1" s="467"/>
      <c r="AK1" s="467"/>
      <c r="AL1" s="467"/>
      <c r="AM1" s="467"/>
      <c r="AN1" s="467"/>
      <c r="AO1" s="467"/>
      <c r="AP1" s="467"/>
      <c r="AQ1" s="467"/>
      <c r="AR1" s="467"/>
      <c r="AS1" s="467"/>
      <c r="AT1" s="467"/>
      <c r="AU1" s="468"/>
      <c r="AV1" s="468"/>
      <c r="AW1" s="468"/>
      <c r="AX1" s="468"/>
      <c r="AY1" s="468"/>
      <c r="AZ1" s="468"/>
      <c r="BA1" s="468"/>
    </row>
    <row r="2" spans="1:55" ht="16.8" customHeight="1">
      <c r="AG2" s="543" t="s">
        <v>2519</v>
      </c>
      <c r="AH2" s="469"/>
      <c r="AI2" s="469"/>
      <c r="AJ2" s="469"/>
      <c r="AK2" s="469"/>
      <c r="AL2" s="469"/>
      <c r="AM2" s="469"/>
      <c r="AN2" s="469"/>
      <c r="AO2" s="469"/>
      <c r="AP2" s="470"/>
      <c r="AQ2" s="467"/>
      <c r="AR2" s="467"/>
      <c r="AS2" s="522" t="s">
        <v>2520</v>
      </c>
      <c r="AT2" s="469"/>
      <c r="AU2" s="502"/>
      <c r="AV2" s="502"/>
      <c r="AW2" s="502"/>
      <c r="AX2" s="502"/>
      <c r="AY2" s="502"/>
      <c r="AZ2" s="502"/>
      <c r="BA2" s="503"/>
    </row>
    <row r="3" spans="1:55">
      <c r="A3" s="612"/>
      <c r="B3" s="612"/>
      <c r="C3" s="612"/>
      <c r="D3" s="613" t="s">
        <v>2623</v>
      </c>
      <c r="E3" s="45" t="s">
        <v>2444</v>
      </c>
      <c r="P3" s="45" t="s">
        <v>2498</v>
      </c>
      <c r="W3" s="45" t="s">
        <v>2445</v>
      </c>
      <c r="AG3" s="471"/>
      <c r="AH3" s="467"/>
      <c r="AI3" s="545" t="s">
        <v>1657</v>
      </c>
      <c r="AJ3" s="472" t="s">
        <v>1657</v>
      </c>
      <c r="AK3" s="467"/>
      <c r="AL3" s="467"/>
      <c r="AM3" s="467"/>
      <c r="AN3" s="467"/>
      <c r="AO3" s="467"/>
      <c r="AP3" s="473"/>
      <c r="AQ3" s="467"/>
      <c r="AR3" s="467"/>
      <c r="AS3" s="504"/>
      <c r="AT3" s="467"/>
      <c r="AU3" s="468"/>
      <c r="AV3" s="468"/>
      <c r="AW3" s="468"/>
      <c r="AX3" s="468"/>
      <c r="AY3" s="468"/>
      <c r="AZ3" s="468"/>
      <c r="BA3" s="505"/>
    </row>
    <row r="4" spans="1:55">
      <c r="Q4" s="616">
        <f>SUM(Q7:Q336)</f>
        <v>-53876490.414043702</v>
      </c>
      <c r="AG4" s="471"/>
      <c r="AH4" s="467"/>
      <c r="AI4" s="546" t="s">
        <v>2510</v>
      </c>
      <c r="AJ4" s="544" t="s">
        <v>2582</v>
      </c>
      <c r="AK4" s="467"/>
      <c r="AL4" s="467"/>
      <c r="AM4" s="467"/>
      <c r="AN4" s="467"/>
      <c r="AO4" s="467"/>
      <c r="AP4" s="547" t="s">
        <v>2513</v>
      </c>
      <c r="AQ4" s="467"/>
      <c r="AR4" s="467"/>
      <c r="AS4" s="733" t="s">
        <v>2511</v>
      </c>
      <c r="AT4" s="734"/>
      <c r="AU4" s="734"/>
      <c r="AV4" s="734"/>
      <c r="AW4" s="468"/>
      <c r="AX4" s="468"/>
      <c r="AY4" s="468"/>
      <c r="AZ4" s="468"/>
      <c r="BA4" s="505"/>
    </row>
    <row r="5" spans="1:55">
      <c r="A5" s="159" t="s">
        <v>79</v>
      </c>
      <c r="B5" s="159" t="s">
        <v>2483</v>
      </c>
      <c r="M5" s="159" t="s">
        <v>79</v>
      </c>
      <c r="N5" s="159" t="s">
        <v>2483</v>
      </c>
      <c r="AG5" s="471"/>
      <c r="AH5" s="467"/>
      <c r="AI5" s="472"/>
      <c r="AJ5" s="472" t="s">
        <v>1685</v>
      </c>
      <c r="AK5" s="467"/>
      <c r="AL5" s="467"/>
      <c r="AM5" s="467"/>
      <c r="AN5" s="467"/>
      <c r="AO5" s="467"/>
      <c r="AP5" s="547" t="s">
        <v>63</v>
      </c>
      <c r="AQ5" s="467"/>
      <c r="AR5" s="467"/>
      <c r="AS5" s="471"/>
      <c r="AT5" s="467"/>
      <c r="AU5" s="468"/>
      <c r="AV5" s="468"/>
      <c r="AW5" s="468" t="s">
        <v>2446</v>
      </c>
      <c r="AX5" s="468"/>
      <c r="AY5" s="468"/>
      <c r="AZ5" s="523" t="s">
        <v>2447</v>
      </c>
      <c r="BA5" s="524" t="s">
        <v>2446</v>
      </c>
      <c r="BB5" s="460"/>
      <c r="BC5" s="462"/>
    </row>
    <row r="6" spans="1:55" s="71" customFormat="1" ht="16.8" customHeight="1">
      <c r="A6" s="465" t="s">
        <v>2484</v>
      </c>
      <c r="B6" s="465" t="s">
        <v>2484</v>
      </c>
      <c r="C6" s="70" t="s">
        <v>79</v>
      </c>
      <c r="D6" s="70" t="s">
        <v>826</v>
      </c>
      <c r="E6" s="69" t="s">
        <v>1685</v>
      </c>
      <c r="F6" s="69" t="s">
        <v>2031</v>
      </c>
      <c r="G6" s="69" t="s">
        <v>2063</v>
      </c>
      <c r="H6" s="69" t="s">
        <v>2369</v>
      </c>
      <c r="I6" s="77" t="s">
        <v>827</v>
      </c>
      <c r="M6" s="465" t="s">
        <v>2484</v>
      </c>
      <c r="N6" s="465" t="s">
        <v>2484</v>
      </c>
      <c r="Q6" s="457" t="s">
        <v>2509</v>
      </c>
      <c r="U6" s="70" t="s">
        <v>79</v>
      </c>
      <c r="V6" s="70" t="s">
        <v>826</v>
      </c>
      <c r="W6" s="69" t="s">
        <v>1657</v>
      </c>
      <c r="X6" s="69" t="s">
        <v>1685</v>
      </c>
      <c r="Y6" s="69" t="s">
        <v>2031</v>
      </c>
      <c r="Z6" s="69" t="s">
        <v>2063</v>
      </c>
      <c r="AA6" s="77" t="s">
        <v>827</v>
      </c>
      <c r="AG6" s="471" t="s">
        <v>79</v>
      </c>
      <c r="AH6" s="467" t="s">
        <v>826</v>
      </c>
      <c r="AI6" s="474" t="s">
        <v>1657</v>
      </c>
      <c r="AJ6" s="474" t="s">
        <v>1685</v>
      </c>
      <c r="AK6" s="474" t="s">
        <v>2031</v>
      </c>
      <c r="AL6" s="474" t="s">
        <v>2063</v>
      </c>
      <c r="AM6" s="472" t="s">
        <v>827</v>
      </c>
      <c r="AN6" s="467"/>
      <c r="AO6" s="467"/>
      <c r="AP6" s="473"/>
      <c r="AQ6" s="467"/>
      <c r="AR6" s="467"/>
      <c r="AS6" s="506" t="s">
        <v>1685</v>
      </c>
      <c r="AT6" s="474" t="s">
        <v>2031</v>
      </c>
      <c r="AU6" s="474" t="s">
        <v>2063</v>
      </c>
      <c r="AV6" s="507"/>
      <c r="AW6" s="507"/>
      <c r="AX6" s="507"/>
      <c r="AY6" s="588" t="s">
        <v>2509</v>
      </c>
      <c r="AZ6" s="474" t="s">
        <v>2512</v>
      </c>
      <c r="BA6" s="508"/>
      <c r="BB6" s="461"/>
      <c r="BC6" s="463"/>
    </row>
    <row r="7" spans="1:55" ht="17.399999999999999" customHeight="1">
      <c r="A7" s="431">
        <v>1</v>
      </c>
      <c r="B7" s="431">
        <v>76</v>
      </c>
      <c r="C7" t="s">
        <v>297</v>
      </c>
      <c r="D7" t="s">
        <v>887</v>
      </c>
      <c r="E7" s="372">
        <v>0</v>
      </c>
      <c r="F7" s="372">
        <v>-444868.54173117736</v>
      </c>
      <c r="G7" s="377">
        <v>-318946.78542409418</v>
      </c>
      <c r="H7" s="590">
        <v>-572454.67753600003</v>
      </c>
      <c r="I7" s="358">
        <f>SUM(E7:H7)</f>
        <v>-1336270.0046912716</v>
      </c>
      <c r="K7" s="66">
        <f t="shared" ref="K7:K38" si="0">+O7-C7</f>
        <v>0</v>
      </c>
      <c r="L7" s="66"/>
      <c r="M7" s="431">
        <v>1</v>
      </c>
      <c r="N7" s="431">
        <v>76</v>
      </c>
      <c r="O7" s="443" t="s">
        <v>297</v>
      </c>
      <c r="P7" s="443" t="s">
        <v>887</v>
      </c>
      <c r="Q7" s="203">
        <v>-572454.67753600003</v>
      </c>
      <c r="R7" s="457" t="s">
        <v>2509</v>
      </c>
      <c r="S7" s="253"/>
      <c r="T7" s="427">
        <v>1</v>
      </c>
      <c r="U7" t="s">
        <v>297</v>
      </c>
      <c r="V7" t="s">
        <v>887</v>
      </c>
      <c r="W7" s="372">
        <v>-280906.08</v>
      </c>
      <c r="X7" s="372">
        <v>34224.225940000062</v>
      </c>
      <c r="Y7" s="377">
        <v>-444868.54173117736</v>
      </c>
      <c r="Z7" s="378">
        <v>-318946.78542409418</v>
      </c>
      <c r="AA7" s="358">
        <f>SUM(W7:Z7)</f>
        <v>-1010497.1812152715</v>
      </c>
      <c r="AE7" s="159">
        <f>+AG7-U7</f>
        <v>0</v>
      </c>
      <c r="AG7" s="471" t="s">
        <v>297</v>
      </c>
      <c r="AH7" s="467" t="s">
        <v>887</v>
      </c>
      <c r="AI7" s="480">
        <v>-280906.08</v>
      </c>
      <c r="AJ7" s="480">
        <v>34224.225940000062</v>
      </c>
      <c r="AK7" s="476">
        <v>-444868.54173117736</v>
      </c>
      <c r="AL7" s="477">
        <v>-318946.78542409418</v>
      </c>
      <c r="AM7" s="478">
        <v>-1010497.1812152715</v>
      </c>
      <c r="AN7" s="478"/>
      <c r="AO7" s="467"/>
      <c r="AP7" s="479">
        <f>SUM(AJ7:AL7)</f>
        <v>-729591.10121527151</v>
      </c>
      <c r="AQ7" s="467"/>
      <c r="AR7" s="467"/>
      <c r="AS7" s="512">
        <v>0</v>
      </c>
      <c r="AT7" s="476">
        <v>-444868.54173117736</v>
      </c>
      <c r="AU7" s="477">
        <v>-318946.78542409418</v>
      </c>
      <c r="AV7" s="494">
        <f>SUM(AS7:AU7)</f>
        <v>-763815.32715527155</v>
      </c>
      <c r="AW7" s="513">
        <f>+AV7-AM7</f>
        <v>246681.85405999993</v>
      </c>
      <c r="AX7" s="468"/>
      <c r="AY7" s="589">
        <v>-572454.67753600003</v>
      </c>
      <c r="AZ7" s="510">
        <f>+AY7+AV7</f>
        <v>-1336270.0046912716</v>
      </c>
      <c r="BA7" s="511">
        <f>+AZ7-I7</f>
        <v>0</v>
      </c>
      <c r="BB7" s="460"/>
      <c r="BC7" s="464">
        <f t="shared" ref="BC7:BC70" si="1">+O7-C7</f>
        <v>0</v>
      </c>
    </row>
    <row r="8" spans="1:55" ht="16.8" customHeight="1">
      <c r="A8" s="431">
        <v>2</v>
      </c>
      <c r="B8" s="431">
        <v>154</v>
      </c>
      <c r="C8" t="s">
        <v>424</v>
      </c>
      <c r="D8" t="s">
        <v>942</v>
      </c>
      <c r="E8" s="372">
        <v>-51948.342023999969</v>
      </c>
      <c r="F8" s="372">
        <v>-41419.432485000056</v>
      </c>
      <c r="G8" s="377">
        <v>-111591.10373800012</v>
      </c>
      <c r="H8" s="590">
        <v>-121283.03467800008</v>
      </c>
      <c r="I8" s="358">
        <f t="shared" ref="I8:I71" si="2">SUM(E8:H8)</f>
        <v>-326241.91292500024</v>
      </c>
      <c r="K8" s="66">
        <f t="shared" si="0"/>
        <v>0</v>
      </c>
      <c r="L8" s="66"/>
      <c r="M8" s="431">
        <v>2</v>
      </c>
      <c r="N8" s="431">
        <v>154</v>
      </c>
      <c r="O8" s="443" t="s">
        <v>424</v>
      </c>
      <c r="P8" s="444" t="s">
        <v>942</v>
      </c>
      <c r="Q8" s="203">
        <v>-121283.03467800008</v>
      </c>
      <c r="R8" s="457" t="s">
        <v>2509</v>
      </c>
      <c r="S8" s="253"/>
      <c r="T8" s="159">
        <f>+T7+1</f>
        <v>2</v>
      </c>
      <c r="U8" t="s">
        <v>424</v>
      </c>
      <c r="V8" t="s">
        <v>942</v>
      </c>
      <c r="W8" s="372">
        <v>-57960.15</v>
      </c>
      <c r="X8" s="372">
        <v>-51948.342023999969</v>
      </c>
      <c r="Y8" s="377">
        <v>-41419.432485000056</v>
      </c>
      <c r="Z8" s="378">
        <v>-111591.10373800012</v>
      </c>
      <c r="AA8" s="358">
        <f t="shared" ref="AA8:AA71" si="3">SUM(W8:Z8)</f>
        <v>-262919.02824700018</v>
      </c>
      <c r="AE8" s="159">
        <f t="shared" ref="AE8:AE71" si="4">+AG8-U8</f>
        <v>0</v>
      </c>
      <c r="AG8" s="471" t="s">
        <v>424</v>
      </c>
      <c r="AH8" s="467" t="s">
        <v>942</v>
      </c>
      <c r="AI8" s="475">
        <v>-57960.15</v>
      </c>
      <c r="AJ8" s="475">
        <v>-51948.342023999969</v>
      </c>
      <c r="AK8" s="476">
        <v>-41419.432485000056</v>
      </c>
      <c r="AL8" s="477">
        <v>-111591.10373800012</v>
      </c>
      <c r="AM8" s="478">
        <v>-262919.02824700018</v>
      </c>
      <c r="AN8" s="478"/>
      <c r="AO8" s="467"/>
      <c r="AP8" s="479">
        <f t="shared" ref="AP8:AP71" si="5">SUM(AJ8:AL8)</f>
        <v>-204958.87824700016</v>
      </c>
      <c r="AQ8" s="467"/>
      <c r="AR8" s="467"/>
      <c r="AS8" s="509">
        <f t="shared" ref="AS8:AS68" si="6">+AJ8</f>
        <v>-51948.342023999969</v>
      </c>
      <c r="AT8" s="476">
        <v>-41419.432485000056</v>
      </c>
      <c r="AU8" s="477">
        <v>-111591.10373800012</v>
      </c>
      <c r="AV8" s="494">
        <f t="shared" ref="AV8:AV71" si="7">SUM(AS8:AU8)</f>
        <v>-204958.87824700016</v>
      </c>
      <c r="AW8" s="494">
        <f t="shared" ref="AW8:AW68" si="8">+AV8-AP8</f>
        <v>0</v>
      </c>
      <c r="AX8" s="468"/>
      <c r="AY8" s="589">
        <v>-121283.03467800008</v>
      </c>
      <c r="AZ8" s="510">
        <f t="shared" ref="AZ8:AZ71" si="9">+AY8+AV8</f>
        <v>-326241.91292500024</v>
      </c>
      <c r="BA8" s="511">
        <f t="shared" ref="BA8:BA71" si="10">+AZ8-I8</f>
        <v>0</v>
      </c>
      <c r="BB8" s="460"/>
      <c r="BC8" s="464">
        <f t="shared" si="1"/>
        <v>0</v>
      </c>
    </row>
    <row r="9" spans="1:55" ht="15">
      <c r="A9" s="431">
        <v>3</v>
      </c>
      <c r="B9" s="431">
        <v>165</v>
      </c>
      <c r="C9" t="s">
        <v>446</v>
      </c>
      <c r="D9" t="s">
        <v>952</v>
      </c>
      <c r="E9" s="372">
        <v>-106802.44998599999</v>
      </c>
      <c r="F9" s="372">
        <v>-101999.44892000002</v>
      </c>
      <c r="G9" s="377">
        <v>-101494.22172</v>
      </c>
      <c r="H9" s="590">
        <v>-63052.644329000002</v>
      </c>
      <c r="I9" s="358">
        <f t="shared" si="2"/>
        <v>-373348.76495500002</v>
      </c>
      <c r="K9" s="66">
        <f t="shared" si="0"/>
        <v>0</v>
      </c>
      <c r="L9" s="66"/>
      <c r="M9" s="431">
        <v>3</v>
      </c>
      <c r="N9" s="431">
        <v>165</v>
      </c>
      <c r="O9" s="443" t="s">
        <v>446</v>
      </c>
      <c r="P9" s="443" t="s">
        <v>952</v>
      </c>
      <c r="Q9" s="203">
        <v>-63052.644329000002</v>
      </c>
      <c r="R9" s="457" t="s">
        <v>2509</v>
      </c>
      <c r="S9" s="253"/>
      <c r="T9" s="159">
        <v>3</v>
      </c>
      <c r="U9" t="s">
        <v>446</v>
      </c>
      <c r="V9" t="s">
        <v>952</v>
      </c>
      <c r="W9" s="372">
        <v>-48001.13</v>
      </c>
      <c r="X9" s="372">
        <v>-106802.44998599999</v>
      </c>
      <c r="Y9" s="377">
        <v>-101999.44892000002</v>
      </c>
      <c r="Z9" s="378">
        <v>-101494.22172</v>
      </c>
      <c r="AA9" s="358">
        <f t="shared" si="3"/>
        <v>-358297.25062599999</v>
      </c>
      <c r="AE9" s="159">
        <f t="shared" si="4"/>
        <v>0</v>
      </c>
      <c r="AG9" s="471" t="s">
        <v>446</v>
      </c>
      <c r="AH9" s="467" t="s">
        <v>952</v>
      </c>
      <c r="AI9" s="475">
        <v>-48001.13</v>
      </c>
      <c r="AJ9" s="475">
        <v>-106802.44998599999</v>
      </c>
      <c r="AK9" s="476">
        <v>-101999.44892000002</v>
      </c>
      <c r="AL9" s="477">
        <v>-101494.22172</v>
      </c>
      <c r="AM9" s="478">
        <v>-358297.25062599999</v>
      </c>
      <c r="AN9" s="478"/>
      <c r="AO9" s="467"/>
      <c r="AP9" s="479">
        <f t="shared" si="5"/>
        <v>-310296.12062599999</v>
      </c>
      <c r="AQ9" s="467"/>
      <c r="AR9" s="467"/>
      <c r="AS9" s="509">
        <f t="shared" si="6"/>
        <v>-106802.44998599999</v>
      </c>
      <c r="AT9" s="476">
        <v>-101999.44892000002</v>
      </c>
      <c r="AU9" s="477">
        <v>-101494.22172</v>
      </c>
      <c r="AV9" s="494">
        <f t="shared" si="7"/>
        <v>-310296.12062599999</v>
      </c>
      <c r="AW9" s="494">
        <f t="shared" si="8"/>
        <v>0</v>
      </c>
      <c r="AX9" s="468"/>
      <c r="AY9" s="589">
        <v>-63052.644329000002</v>
      </c>
      <c r="AZ9" s="510">
        <f t="shared" si="9"/>
        <v>-373348.76495500002</v>
      </c>
      <c r="BA9" s="511">
        <f t="shared" si="10"/>
        <v>0</v>
      </c>
      <c r="BB9" s="460"/>
      <c r="BC9" s="464">
        <f t="shared" si="1"/>
        <v>0</v>
      </c>
    </row>
    <row r="10" spans="1:55" ht="15">
      <c r="A10" s="431">
        <v>4</v>
      </c>
      <c r="B10" s="431">
        <v>221</v>
      </c>
      <c r="C10" t="s">
        <v>548</v>
      </c>
      <c r="D10" t="s">
        <v>999</v>
      </c>
      <c r="E10" s="372">
        <v>-389288.57905899989</v>
      </c>
      <c r="F10" s="372">
        <v>-131293.15502931387</v>
      </c>
      <c r="G10" s="377">
        <v>-460910.32963999989</v>
      </c>
      <c r="H10" s="590">
        <v>-472178.81575299986</v>
      </c>
      <c r="I10" s="358">
        <f t="shared" si="2"/>
        <v>-1453670.8794813135</v>
      </c>
      <c r="K10" s="66">
        <f t="shared" si="0"/>
        <v>0</v>
      </c>
      <c r="L10" s="66"/>
      <c r="M10" s="431">
        <v>4</v>
      </c>
      <c r="N10" s="431">
        <v>221</v>
      </c>
      <c r="O10" s="443" t="s">
        <v>548</v>
      </c>
      <c r="P10" s="443" t="s">
        <v>999</v>
      </c>
      <c r="Q10" s="203">
        <v>-472178.81575299986</v>
      </c>
      <c r="R10" s="457" t="s">
        <v>2509</v>
      </c>
      <c r="S10" s="253"/>
      <c r="T10" s="159">
        <v>4</v>
      </c>
      <c r="U10" t="s">
        <v>548</v>
      </c>
      <c r="V10" t="s">
        <v>999</v>
      </c>
      <c r="W10" s="372">
        <v>-367275.29</v>
      </c>
      <c r="X10" s="372">
        <v>-389288.57905899989</v>
      </c>
      <c r="Y10" s="377">
        <v>-131293.15502931387</v>
      </c>
      <c r="Z10" s="378">
        <v>-460910.32963999989</v>
      </c>
      <c r="AA10" s="358">
        <f t="shared" si="3"/>
        <v>-1348767.3537283137</v>
      </c>
      <c r="AE10" s="159">
        <f t="shared" si="4"/>
        <v>0</v>
      </c>
      <c r="AG10" s="471" t="s">
        <v>548</v>
      </c>
      <c r="AH10" s="467" t="s">
        <v>999</v>
      </c>
      <c r="AI10" s="475">
        <v>-367275.29</v>
      </c>
      <c r="AJ10" s="475">
        <v>-389288.57905899989</v>
      </c>
      <c r="AK10" s="476">
        <v>-131293.15502931387</v>
      </c>
      <c r="AL10" s="477">
        <v>-460910.32963999989</v>
      </c>
      <c r="AM10" s="478">
        <v>-1348767.3537283137</v>
      </c>
      <c r="AN10" s="478"/>
      <c r="AO10" s="467"/>
      <c r="AP10" s="479">
        <f t="shared" si="5"/>
        <v>-981492.06372831366</v>
      </c>
      <c r="AQ10" s="467"/>
      <c r="AR10" s="467"/>
      <c r="AS10" s="509">
        <f t="shared" si="6"/>
        <v>-389288.57905899989</v>
      </c>
      <c r="AT10" s="476">
        <v>-131293.15502931387</v>
      </c>
      <c r="AU10" s="477">
        <v>-460910.32963999989</v>
      </c>
      <c r="AV10" s="494">
        <f t="shared" si="7"/>
        <v>-981492.06372831366</v>
      </c>
      <c r="AW10" s="494">
        <f t="shared" si="8"/>
        <v>0</v>
      </c>
      <c r="AX10" s="468"/>
      <c r="AY10" s="589">
        <v>-472178.81575299986</v>
      </c>
      <c r="AZ10" s="510">
        <f t="shared" si="9"/>
        <v>-1453670.8794813135</v>
      </c>
      <c r="BA10" s="511">
        <f t="shared" si="10"/>
        <v>0</v>
      </c>
      <c r="BB10" s="460"/>
      <c r="BC10" s="464">
        <f t="shared" si="1"/>
        <v>0</v>
      </c>
    </row>
    <row r="11" spans="1:55" ht="15">
      <c r="A11" s="431">
        <v>5</v>
      </c>
      <c r="B11" s="431">
        <v>234</v>
      </c>
      <c r="C11" t="s">
        <v>572</v>
      </c>
      <c r="D11" t="s">
        <v>1008</v>
      </c>
      <c r="E11" s="372">
        <v>-736299.98532673914</v>
      </c>
      <c r="F11" s="372">
        <v>-81253.465135879349</v>
      </c>
      <c r="G11" s="377">
        <v>-512503.66440453095</v>
      </c>
      <c r="H11" s="590">
        <v>-471812.5723199998</v>
      </c>
      <c r="I11" s="358">
        <f t="shared" si="2"/>
        <v>-1801869.6871871492</v>
      </c>
      <c r="K11" s="66">
        <f t="shared" si="0"/>
        <v>0</v>
      </c>
      <c r="L11" s="66"/>
      <c r="M11" s="431">
        <v>5</v>
      </c>
      <c r="N11" s="431">
        <v>234</v>
      </c>
      <c r="O11" s="443" t="s">
        <v>572</v>
      </c>
      <c r="P11" s="443" t="s">
        <v>1008</v>
      </c>
      <c r="Q11" s="203">
        <v>-471812.5723199998</v>
      </c>
      <c r="R11" s="457" t="s">
        <v>2509</v>
      </c>
      <c r="S11" s="253"/>
      <c r="T11" s="159">
        <v>5</v>
      </c>
      <c r="U11" t="s">
        <v>572</v>
      </c>
      <c r="V11" t="s">
        <v>1008</v>
      </c>
      <c r="W11" s="372">
        <v>-256026.8</v>
      </c>
      <c r="X11" s="372">
        <v>-736299.98532673914</v>
      </c>
      <c r="Y11" s="377">
        <v>-81253.465135879349</v>
      </c>
      <c r="Z11" s="378">
        <v>-512503.66440453095</v>
      </c>
      <c r="AA11" s="358">
        <f t="shared" si="3"/>
        <v>-1586083.9148671494</v>
      </c>
      <c r="AE11" s="159">
        <f t="shared" si="4"/>
        <v>0</v>
      </c>
      <c r="AG11" s="471" t="s">
        <v>572</v>
      </c>
      <c r="AH11" s="467" t="s">
        <v>1008</v>
      </c>
      <c r="AI11" s="475">
        <v>-256026.8</v>
      </c>
      <c r="AJ11" s="475">
        <v>-736299.98532673914</v>
      </c>
      <c r="AK11" s="476">
        <v>-81253.465135879349</v>
      </c>
      <c r="AL11" s="477">
        <v>-512503.66440453095</v>
      </c>
      <c r="AM11" s="478">
        <v>-1586083.9148671494</v>
      </c>
      <c r="AN11" s="478"/>
      <c r="AO11" s="467"/>
      <c r="AP11" s="479">
        <f t="shared" si="5"/>
        <v>-1330057.1148671494</v>
      </c>
      <c r="AQ11" s="467"/>
      <c r="AR11" s="467"/>
      <c r="AS11" s="509">
        <f t="shared" si="6"/>
        <v>-736299.98532673914</v>
      </c>
      <c r="AT11" s="476">
        <v>-81253.465135879349</v>
      </c>
      <c r="AU11" s="477">
        <v>-512503.66440453095</v>
      </c>
      <c r="AV11" s="494">
        <f t="shared" si="7"/>
        <v>-1330057.1148671494</v>
      </c>
      <c r="AW11" s="494">
        <f t="shared" si="8"/>
        <v>0</v>
      </c>
      <c r="AX11" s="468"/>
      <c r="AY11" s="589">
        <v>-471812.5723199998</v>
      </c>
      <c r="AZ11" s="510">
        <f t="shared" si="9"/>
        <v>-1801869.6871871492</v>
      </c>
      <c r="BA11" s="511">
        <f t="shared" si="10"/>
        <v>0</v>
      </c>
      <c r="BB11" s="460"/>
      <c r="BC11" s="464">
        <f t="shared" si="1"/>
        <v>0</v>
      </c>
    </row>
    <row r="12" spans="1:55" ht="15">
      <c r="A12" s="431">
        <v>6</v>
      </c>
      <c r="B12" s="431">
        <v>7</v>
      </c>
      <c r="C12" t="s">
        <v>175</v>
      </c>
      <c r="D12" t="s">
        <v>1629</v>
      </c>
      <c r="E12" s="372">
        <v>0</v>
      </c>
      <c r="F12" s="372">
        <v>0</v>
      </c>
      <c r="G12" s="377">
        <v>-99253.636775000094</v>
      </c>
      <c r="H12" s="590">
        <v>-85337.754240000038</v>
      </c>
      <c r="I12" s="358">
        <f t="shared" si="2"/>
        <v>-184591.39101500012</v>
      </c>
      <c r="K12" s="66">
        <f t="shared" si="0"/>
        <v>0</v>
      </c>
      <c r="L12" s="66"/>
      <c r="M12" s="431">
        <v>6</v>
      </c>
      <c r="N12" s="431">
        <v>7</v>
      </c>
      <c r="O12" s="443" t="s">
        <v>175</v>
      </c>
      <c r="P12" s="443" t="s">
        <v>1629</v>
      </c>
      <c r="Q12" s="203">
        <v>-85337.754240000038</v>
      </c>
      <c r="R12" s="457" t="s">
        <v>2509</v>
      </c>
      <c r="S12" s="253"/>
      <c r="T12" s="159">
        <v>6</v>
      </c>
      <c r="U12" t="s">
        <v>175</v>
      </c>
      <c r="V12" t="s">
        <v>1629</v>
      </c>
      <c r="W12" s="372">
        <v>-31371.86</v>
      </c>
      <c r="X12" s="372">
        <v>0</v>
      </c>
      <c r="Y12" s="377">
        <v>29822.099217000032</v>
      </c>
      <c r="Z12" s="378">
        <v>-99253.636775000094</v>
      </c>
      <c r="AA12" s="358">
        <f t="shared" si="3"/>
        <v>-100803.39755800006</v>
      </c>
      <c r="AE12" s="159">
        <f t="shared" si="4"/>
        <v>0</v>
      </c>
      <c r="AG12" s="471" t="s">
        <v>175</v>
      </c>
      <c r="AH12" s="467" t="s">
        <v>1629</v>
      </c>
      <c r="AI12" s="480">
        <v>-31371.86</v>
      </c>
      <c r="AJ12" s="475">
        <v>0</v>
      </c>
      <c r="AK12" s="481">
        <v>29822.099217000032</v>
      </c>
      <c r="AL12" s="477">
        <v>-99253.636775000094</v>
      </c>
      <c r="AM12" s="478">
        <v>-100803.39755800006</v>
      </c>
      <c r="AN12" s="478"/>
      <c r="AO12" s="467"/>
      <c r="AP12" s="479">
        <f t="shared" si="5"/>
        <v>-69431.537558000069</v>
      </c>
      <c r="AQ12" s="467"/>
      <c r="AR12" s="467"/>
      <c r="AS12" s="509">
        <f t="shared" si="6"/>
        <v>0</v>
      </c>
      <c r="AT12" s="481">
        <v>0</v>
      </c>
      <c r="AU12" s="477">
        <v>-99253.636775000094</v>
      </c>
      <c r="AV12" s="494">
        <f t="shared" si="7"/>
        <v>-99253.636775000094</v>
      </c>
      <c r="AW12" s="494">
        <f t="shared" si="8"/>
        <v>-29822.099217000025</v>
      </c>
      <c r="AX12" s="468"/>
      <c r="AY12" s="589">
        <v>-85337.754240000038</v>
      </c>
      <c r="AZ12" s="510">
        <f t="shared" si="9"/>
        <v>-184591.39101500012</v>
      </c>
      <c r="BA12" s="511">
        <f t="shared" si="10"/>
        <v>0</v>
      </c>
      <c r="BB12" s="460"/>
      <c r="BC12" s="464">
        <f t="shared" si="1"/>
        <v>0</v>
      </c>
    </row>
    <row r="13" spans="1:55" ht="15">
      <c r="A13" s="431">
        <v>7</v>
      </c>
      <c r="B13" s="431">
        <v>108</v>
      </c>
      <c r="C13" t="s">
        <v>97</v>
      </c>
      <c r="D13" t="s">
        <v>917</v>
      </c>
      <c r="E13" s="372">
        <v>2454977.2906690822</v>
      </c>
      <c r="F13" s="372">
        <v>637508.56965284795</v>
      </c>
      <c r="G13" s="377">
        <v>399997.81597703416</v>
      </c>
      <c r="H13" s="590">
        <v>-471869.88555499911</v>
      </c>
      <c r="I13" s="358">
        <f t="shared" si="2"/>
        <v>3020613.7907439652</v>
      </c>
      <c r="K13" s="66">
        <f t="shared" si="0"/>
        <v>0</v>
      </c>
      <c r="L13" s="66"/>
      <c r="M13" s="431">
        <v>7</v>
      </c>
      <c r="N13" s="431">
        <v>108</v>
      </c>
      <c r="O13" s="443" t="s">
        <v>97</v>
      </c>
      <c r="P13" s="443" t="s">
        <v>917</v>
      </c>
      <c r="Q13" s="203">
        <v>-471869.88555499911</v>
      </c>
      <c r="R13" s="457" t="s">
        <v>2509</v>
      </c>
      <c r="S13" s="253"/>
      <c r="T13" s="159">
        <v>7</v>
      </c>
      <c r="U13" t="s">
        <v>97</v>
      </c>
      <c r="V13" t="s">
        <v>917</v>
      </c>
      <c r="W13" s="372">
        <v>3623542.8099999996</v>
      </c>
      <c r="X13" s="372">
        <v>-1168565.5193309174</v>
      </c>
      <c r="Y13" s="377">
        <v>637508.56965284795</v>
      </c>
      <c r="Z13" s="378">
        <v>399997.81597703416</v>
      </c>
      <c r="AA13" s="358">
        <f t="shared" si="3"/>
        <v>3492483.6762989643</v>
      </c>
      <c r="AE13" s="159">
        <f t="shared" si="4"/>
        <v>0</v>
      </c>
      <c r="AG13" s="471" t="s">
        <v>97</v>
      </c>
      <c r="AH13" s="467" t="s">
        <v>917</v>
      </c>
      <c r="AI13" s="480">
        <v>3623542.8099999996</v>
      </c>
      <c r="AJ13" s="480">
        <v>-1168565.5193309174</v>
      </c>
      <c r="AK13" s="476">
        <v>637508.56965284795</v>
      </c>
      <c r="AL13" s="477">
        <v>399997.81597703416</v>
      </c>
      <c r="AM13" s="478">
        <v>3492483.6762989643</v>
      </c>
      <c r="AN13" s="478"/>
      <c r="AO13" s="467"/>
      <c r="AP13" s="479">
        <f t="shared" si="5"/>
        <v>-131059.13370103529</v>
      </c>
      <c r="AQ13" s="467"/>
      <c r="AR13" s="467"/>
      <c r="AS13" s="512">
        <f>+AI13+AJ13</f>
        <v>2454977.2906690822</v>
      </c>
      <c r="AT13" s="476">
        <v>637508.56965284795</v>
      </c>
      <c r="AU13" s="477">
        <v>399997.81597703416</v>
      </c>
      <c r="AV13" s="494">
        <f t="shared" si="7"/>
        <v>3492483.6762989643</v>
      </c>
      <c r="AW13" s="513">
        <f>+AV13-AM13</f>
        <v>0</v>
      </c>
      <c r="AX13" s="468"/>
      <c r="AY13" s="589">
        <v>-471869.88555499911</v>
      </c>
      <c r="AZ13" s="510">
        <f t="shared" si="9"/>
        <v>3020613.7907439652</v>
      </c>
      <c r="BA13" s="511">
        <f t="shared" si="10"/>
        <v>0</v>
      </c>
      <c r="BB13" s="460"/>
      <c r="BC13" s="464">
        <f t="shared" si="1"/>
        <v>0</v>
      </c>
    </row>
    <row r="14" spans="1:55" ht="15">
      <c r="A14" s="431">
        <v>8</v>
      </c>
      <c r="B14" s="431">
        <v>127</v>
      </c>
      <c r="C14" t="s">
        <v>376</v>
      </c>
      <c r="D14" t="s">
        <v>1667</v>
      </c>
      <c r="E14" s="372">
        <v>-193907.50370900019</v>
      </c>
      <c r="F14" s="372">
        <v>0</v>
      </c>
      <c r="G14" s="377">
        <v>-354900.01656785631</v>
      </c>
      <c r="H14" s="590">
        <v>-768905.28153600032</v>
      </c>
      <c r="I14" s="358">
        <f t="shared" si="2"/>
        <v>-1317712.8018128569</v>
      </c>
      <c r="K14" s="66">
        <f t="shared" si="0"/>
        <v>0</v>
      </c>
      <c r="L14" s="66"/>
      <c r="M14" s="431">
        <v>8</v>
      </c>
      <c r="N14" s="431">
        <v>127</v>
      </c>
      <c r="O14" s="443" t="s">
        <v>376</v>
      </c>
      <c r="P14" s="443" t="s">
        <v>1667</v>
      </c>
      <c r="Q14" s="203">
        <v>-768905.28153600032</v>
      </c>
      <c r="R14" s="457" t="s">
        <v>2509</v>
      </c>
      <c r="S14" s="253"/>
      <c r="T14" s="159">
        <v>8</v>
      </c>
      <c r="U14" t="s">
        <v>376</v>
      </c>
      <c r="V14" t="s">
        <v>1667</v>
      </c>
      <c r="W14" s="372">
        <v>-244913.61</v>
      </c>
      <c r="X14" s="372">
        <v>-193907.50370900019</v>
      </c>
      <c r="Y14" s="377">
        <v>0</v>
      </c>
      <c r="Z14" s="378">
        <v>-354900.01656785631</v>
      </c>
      <c r="AA14" s="358">
        <f t="shared" si="3"/>
        <v>-793721.13027685648</v>
      </c>
      <c r="AE14" s="159">
        <f t="shared" si="4"/>
        <v>0</v>
      </c>
      <c r="AG14" s="471" t="s">
        <v>376</v>
      </c>
      <c r="AH14" s="467" t="s">
        <v>1667</v>
      </c>
      <c r="AI14" s="475">
        <v>-244913.61</v>
      </c>
      <c r="AJ14" s="475">
        <v>-193907.50370900019</v>
      </c>
      <c r="AK14" s="476">
        <v>0</v>
      </c>
      <c r="AL14" s="477">
        <v>-354900.01656785631</v>
      </c>
      <c r="AM14" s="478">
        <v>-793721.13027685648</v>
      </c>
      <c r="AN14" s="478"/>
      <c r="AO14" s="467"/>
      <c r="AP14" s="479">
        <f t="shared" si="5"/>
        <v>-548807.52027685649</v>
      </c>
      <c r="AQ14" s="467"/>
      <c r="AR14" s="467"/>
      <c r="AS14" s="509">
        <f t="shared" si="6"/>
        <v>-193907.50370900019</v>
      </c>
      <c r="AT14" s="476">
        <v>0</v>
      </c>
      <c r="AU14" s="477">
        <v>-354900.01656785631</v>
      </c>
      <c r="AV14" s="494">
        <f t="shared" si="7"/>
        <v>-548807.52027685649</v>
      </c>
      <c r="AW14" s="494">
        <f t="shared" si="8"/>
        <v>0</v>
      </c>
      <c r="AX14" s="468"/>
      <c r="AY14" s="589">
        <v>-768905.28153600032</v>
      </c>
      <c r="AZ14" s="510">
        <f t="shared" si="9"/>
        <v>-1317712.8018128569</v>
      </c>
      <c r="BA14" s="511">
        <f t="shared" si="10"/>
        <v>0</v>
      </c>
      <c r="BB14" s="460"/>
      <c r="BC14" s="464">
        <f t="shared" si="1"/>
        <v>0</v>
      </c>
    </row>
    <row r="15" spans="1:55" ht="15">
      <c r="A15" s="610">
        <v>9</v>
      </c>
      <c r="B15" s="610">
        <v>36</v>
      </c>
      <c r="C15" s="611" t="s">
        <v>225</v>
      </c>
      <c r="D15" s="611" t="s">
        <v>854</v>
      </c>
      <c r="E15" s="372">
        <v>-44740.500618999446</v>
      </c>
      <c r="F15" s="372">
        <v>0</v>
      </c>
      <c r="G15" s="377">
        <v>48604.876800000027</v>
      </c>
      <c r="H15" s="590">
        <v>-523978.49955200031</v>
      </c>
      <c r="I15" s="358">
        <f t="shared" si="2"/>
        <v>-520114.1233709997</v>
      </c>
      <c r="K15" s="66">
        <f t="shared" si="0"/>
        <v>0</v>
      </c>
      <c r="L15" s="66"/>
      <c r="M15" s="431">
        <v>9</v>
      </c>
      <c r="N15" s="431">
        <v>36</v>
      </c>
      <c r="O15" s="443" t="s">
        <v>225</v>
      </c>
      <c r="P15" s="443" t="s">
        <v>854</v>
      </c>
      <c r="Q15" s="203">
        <v>-523978.49955200031</v>
      </c>
      <c r="R15" s="457" t="s">
        <v>2509</v>
      </c>
      <c r="S15" s="253"/>
      <c r="T15" s="159">
        <v>9</v>
      </c>
      <c r="U15" t="s">
        <v>225</v>
      </c>
      <c r="V15" t="s">
        <v>854</v>
      </c>
      <c r="W15" s="372">
        <v>-208995.77</v>
      </c>
      <c r="X15" s="372">
        <v>-44740.500618999446</v>
      </c>
      <c r="Y15" s="377">
        <v>0</v>
      </c>
      <c r="Z15" s="378">
        <v>48604.876800000027</v>
      </c>
      <c r="AA15" s="358">
        <f t="shared" si="3"/>
        <v>-205131.39381899941</v>
      </c>
      <c r="AE15" s="159">
        <f t="shared" si="4"/>
        <v>0</v>
      </c>
      <c r="AG15" s="471" t="s">
        <v>225</v>
      </c>
      <c r="AH15" s="467" t="s">
        <v>854</v>
      </c>
      <c r="AI15" s="475">
        <v>-208995.77</v>
      </c>
      <c r="AJ15" s="475">
        <v>-44740.500618999446</v>
      </c>
      <c r="AK15" s="476">
        <v>0</v>
      </c>
      <c r="AL15" s="477">
        <v>48604.876800000027</v>
      </c>
      <c r="AM15" s="478">
        <v>-205131.39381899941</v>
      </c>
      <c r="AN15" s="478"/>
      <c r="AO15" s="467"/>
      <c r="AP15" s="479">
        <f t="shared" si="5"/>
        <v>3864.3761810005817</v>
      </c>
      <c r="AQ15" s="467"/>
      <c r="AR15" s="467"/>
      <c r="AS15" s="509">
        <f t="shared" si="6"/>
        <v>-44740.500618999446</v>
      </c>
      <c r="AT15" s="476">
        <v>0</v>
      </c>
      <c r="AU15" s="477">
        <v>48604.876800000027</v>
      </c>
      <c r="AV15" s="494">
        <f t="shared" si="7"/>
        <v>3864.3761810005817</v>
      </c>
      <c r="AW15" s="494">
        <f t="shared" si="8"/>
        <v>0</v>
      </c>
      <c r="AX15" s="468"/>
      <c r="AY15" s="589">
        <v>-523978.49955200031</v>
      </c>
      <c r="AZ15" s="510">
        <f t="shared" si="9"/>
        <v>-520114.1233709997</v>
      </c>
      <c r="BA15" s="511">
        <f t="shared" si="10"/>
        <v>0</v>
      </c>
      <c r="BB15" s="460"/>
      <c r="BC15" s="464">
        <f t="shared" si="1"/>
        <v>0</v>
      </c>
    </row>
    <row r="16" spans="1:55" ht="15">
      <c r="A16" s="431">
        <v>10</v>
      </c>
      <c r="B16" s="431">
        <v>105</v>
      </c>
      <c r="C16" t="s">
        <v>354</v>
      </c>
      <c r="D16" t="s">
        <v>914</v>
      </c>
      <c r="E16" s="372">
        <v>-998247.79710200033</v>
      </c>
      <c r="F16" s="377">
        <v>0</v>
      </c>
      <c r="G16" s="378">
        <v>333162.48</v>
      </c>
      <c r="H16" s="590">
        <v>128067.82044799812</v>
      </c>
      <c r="I16" s="358">
        <f t="shared" si="2"/>
        <v>-537017.49665400223</v>
      </c>
      <c r="K16" s="66">
        <f t="shared" si="0"/>
        <v>0</v>
      </c>
      <c r="L16" s="66"/>
      <c r="M16" s="431">
        <v>10</v>
      </c>
      <c r="N16" s="431">
        <v>105</v>
      </c>
      <c r="O16" s="443" t="s">
        <v>354</v>
      </c>
      <c r="P16" s="443" t="s">
        <v>914</v>
      </c>
      <c r="Q16" s="203">
        <v>128067.82044799812</v>
      </c>
      <c r="R16" s="457" t="s">
        <v>2509</v>
      </c>
      <c r="S16" s="253"/>
      <c r="T16" s="159">
        <v>10</v>
      </c>
      <c r="U16" t="s">
        <v>354</v>
      </c>
      <c r="V16" t="s">
        <v>914</v>
      </c>
      <c r="W16" s="372">
        <v>-1727270.97</v>
      </c>
      <c r="X16" s="372">
        <v>-998247.79710200033</v>
      </c>
      <c r="Y16" s="377">
        <v>1487596.4925759993</v>
      </c>
      <c r="Z16" s="378">
        <v>572836.95679799886</v>
      </c>
      <c r="AA16" s="358">
        <f t="shared" si="3"/>
        <v>-665085.31772800209</v>
      </c>
      <c r="AE16" s="159">
        <f t="shared" si="4"/>
        <v>0</v>
      </c>
      <c r="AG16" s="471" t="s">
        <v>354</v>
      </c>
      <c r="AH16" s="467" t="s">
        <v>914</v>
      </c>
      <c r="AI16" s="480">
        <v>-1727270.97</v>
      </c>
      <c r="AJ16" s="475">
        <v>-998247.79710200033</v>
      </c>
      <c r="AK16" s="481">
        <v>1487596.4925759993</v>
      </c>
      <c r="AL16" s="482">
        <v>572836.95679799886</v>
      </c>
      <c r="AM16" s="478">
        <v>-665085.31772800209</v>
      </c>
      <c r="AN16" s="483">
        <f>+AI16+AK16+AL16</f>
        <v>333162.47937399824</v>
      </c>
      <c r="AO16" s="467"/>
      <c r="AP16" s="479">
        <f t="shared" si="5"/>
        <v>1062185.6522719979</v>
      </c>
      <c r="AQ16" s="467"/>
      <c r="AR16" s="467"/>
      <c r="AS16" s="509">
        <f t="shared" si="6"/>
        <v>-998247.79710200033</v>
      </c>
      <c r="AT16" s="481">
        <v>0</v>
      </c>
      <c r="AU16" s="482">
        <v>333162.48</v>
      </c>
      <c r="AV16" s="494">
        <f t="shared" si="7"/>
        <v>-665085.31710200035</v>
      </c>
      <c r="AW16" s="513">
        <f>+AV16-AM16</f>
        <v>6.2600173987448215E-4</v>
      </c>
      <c r="AX16" s="468"/>
      <c r="AY16" s="589">
        <v>128067.82044799812</v>
      </c>
      <c r="AZ16" s="510">
        <f t="shared" si="9"/>
        <v>-537017.49665400223</v>
      </c>
      <c r="BA16" s="511">
        <f t="shared" si="10"/>
        <v>0</v>
      </c>
      <c r="BB16" s="460"/>
      <c r="BC16" s="464">
        <f t="shared" si="1"/>
        <v>0</v>
      </c>
    </row>
    <row r="17" spans="1:55" ht="15">
      <c r="A17" s="431">
        <v>11</v>
      </c>
      <c r="B17" s="431">
        <v>292</v>
      </c>
      <c r="C17" t="s">
        <v>671</v>
      </c>
      <c r="D17" t="s">
        <v>1052</v>
      </c>
      <c r="E17" s="372">
        <v>830071.1410371525</v>
      </c>
      <c r="F17" s="372">
        <v>-143425.52645809762</v>
      </c>
      <c r="G17" s="377">
        <v>-1112933.7532594283</v>
      </c>
      <c r="H17" s="590">
        <v>-1484303.7053500013</v>
      </c>
      <c r="I17" s="358">
        <f t="shared" si="2"/>
        <v>-1910591.8440303747</v>
      </c>
      <c r="K17" s="66">
        <f t="shared" si="0"/>
        <v>0</v>
      </c>
      <c r="L17" s="66"/>
      <c r="M17" s="431">
        <v>11</v>
      </c>
      <c r="N17" s="431">
        <v>292</v>
      </c>
      <c r="O17" s="443" t="s">
        <v>671</v>
      </c>
      <c r="P17" s="443" t="s">
        <v>1052</v>
      </c>
      <c r="Q17" s="203">
        <v>-1484303.7053500013</v>
      </c>
      <c r="R17" s="457" t="s">
        <v>2509</v>
      </c>
      <c r="S17" s="253"/>
      <c r="T17" s="159">
        <v>11</v>
      </c>
      <c r="U17" t="s">
        <v>671</v>
      </c>
      <c r="V17" t="s">
        <v>1052</v>
      </c>
      <c r="W17" s="372">
        <v>-845323.2</v>
      </c>
      <c r="X17" s="372">
        <v>830071.1410371525</v>
      </c>
      <c r="Y17" s="377">
        <v>-143425.52645809762</v>
      </c>
      <c r="Z17" s="378">
        <v>-1112933.7532594283</v>
      </c>
      <c r="AA17" s="358">
        <f t="shared" si="3"/>
        <v>-1271611.3386803735</v>
      </c>
      <c r="AE17" s="159">
        <f t="shared" si="4"/>
        <v>0</v>
      </c>
      <c r="AG17" s="471" t="s">
        <v>671</v>
      </c>
      <c r="AH17" s="467" t="s">
        <v>1052</v>
      </c>
      <c r="AI17" s="475">
        <v>-845323.2</v>
      </c>
      <c r="AJ17" s="475">
        <v>830071.1410371525</v>
      </c>
      <c r="AK17" s="476">
        <v>-143425.52645809762</v>
      </c>
      <c r="AL17" s="477">
        <v>-1112933.7532594283</v>
      </c>
      <c r="AM17" s="478">
        <v>-1271611.3386803735</v>
      </c>
      <c r="AN17" s="478"/>
      <c r="AO17" s="467"/>
      <c r="AP17" s="479">
        <f t="shared" si="5"/>
        <v>-426288.13868037343</v>
      </c>
      <c r="AQ17" s="467"/>
      <c r="AR17" s="467"/>
      <c r="AS17" s="509">
        <f t="shared" si="6"/>
        <v>830071.1410371525</v>
      </c>
      <c r="AT17" s="476">
        <v>-143425.52645809762</v>
      </c>
      <c r="AU17" s="477">
        <v>-1112933.7532594283</v>
      </c>
      <c r="AV17" s="494">
        <f t="shared" si="7"/>
        <v>-426288.13868037343</v>
      </c>
      <c r="AW17" s="494">
        <f t="shared" si="8"/>
        <v>0</v>
      </c>
      <c r="AX17" s="468"/>
      <c r="AY17" s="589">
        <v>-1484303.7053500013</v>
      </c>
      <c r="AZ17" s="510">
        <f t="shared" si="9"/>
        <v>-1910591.8440303747</v>
      </c>
      <c r="BA17" s="511">
        <f t="shared" si="10"/>
        <v>0</v>
      </c>
      <c r="BB17" s="460"/>
      <c r="BC17" s="464">
        <f t="shared" si="1"/>
        <v>0</v>
      </c>
    </row>
    <row r="18" spans="1:55" ht="15">
      <c r="A18" s="431">
        <v>12</v>
      </c>
      <c r="B18" s="431">
        <v>2</v>
      </c>
      <c r="C18" s="347" t="s">
        <v>165</v>
      </c>
      <c r="D18" s="348" t="s">
        <v>166</v>
      </c>
      <c r="E18" s="380">
        <v>0</v>
      </c>
      <c r="F18" s="371"/>
      <c r="G18" s="377"/>
      <c r="H18" s="590">
        <v>-21281.661936</v>
      </c>
      <c r="I18" s="358">
        <f t="shared" si="2"/>
        <v>-21281.661936</v>
      </c>
      <c r="K18" s="66">
        <f t="shared" si="0"/>
        <v>0</v>
      </c>
      <c r="L18" s="66"/>
      <c r="M18" s="431">
        <v>12</v>
      </c>
      <c r="N18" s="431">
        <v>2</v>
      </c>
      <c r="O18" s="445" t="s">
        <v>165</v>
      </c>
      <c r="P18" s="446" t="s">
        <v>2370</v>
      </c>
      <c r="Q18" s="203">
        <v>-21281.661936</v>
      </c>
      <c r="R18" s="457" t="s">
        <v>2509</v>
      </c>
      <c r="S18" s="253"/>
      <c r="T18" s="159">
        <v>12</v>
      </c>
      <c r="U18" s="347" t="s">
        <v>165</v>
      </c>
      <c r="V18" s="348" t="s">
        <v>166</v>
      </c>
      <c r="W18" s="380">
        <v>0</v>
      </c>
      <c r="X18" s="371"/>
      <c r="Y18" s="377"/>
      <c r="Z18" s="378"/>
      <c r="AA18" s="358">
        <f t="shared" si="3"/>
        <v>0</v>
      </c>
      <c r="AE18" s="159">
        <f t="shared" si="4"/>
        <v>0</v>
      </c>
      <c r="AG18" s="471" t="s">
        <v>165</v>
      </c>
      <c r="AH18" s="467" t="s">
        <v>166</v>
      </c>
      <c r="AI18" s="484">
        <v>0</v>
      </c>
      <c r="AJ18" s="485"/>
      <c r="AK18" s="476"/>
      <c r="AL18" s="477"/>
      <c r="AM18" s="478">
        <v>0</v>
      </c>
      <c r="AN18" s="478"/>
      <c r="AO18" s="467"/>
      <c r="AP18" s="479">
        <f t="shared" si="5"/>
        <v>0</v>
      </c>
      <c r="AQ18" s="467"/>
      <c r="AR18" s="467"/>
      <c r="AS18" s="509">
        <f t="shared" si="6"/>
        <v>0</v>
      </c>
      <c r="AT18" s="476"/>
      <c r="AU18" s="477"/>
      <c r="AV18" s="494">
        <f t="shared" si="7"/>
        <v>0</v>
      </c>
      <c r="AW18" s="494">
        <f t="shared" si="8"/>
        <v>0</v>
      </c>
      <c r="AX18" s="468"/>
      <c r="AY18" s="589">
        <v>-21281.661936</v>
      </c>
      <c r="AZ18" s="510">
        <f t="shared" si="9"/>
        <v>-21281.661936</v>
      </c>
      <c r="BA18" s="511">
        <f t="shared" si="10"/>
        <v>0</v>
      </c>
      <c r="BB18" s="460"/>
      <c r="BC18" s="464">
        <f t="shared" si="1"/>
        <v>0</v>
      </c>
    </row>
    <row r="19" spans="1:55" ht="15">
      <c r="A19" s="431">
        <v>13</v>
      </c>
      <c r="B19" s="431">
        <v>207</v>
      </c>
      <c r="C19" t="s">
        <v>527</v>
      </c>
      <c r="D19" t="s">
        <v>993</v>
      </c>
      <c r="E19" s="381">
        <v>82001.862648997689</v>
      </c>
      <c r="F19" s="372">
        <v>1376813.2352220006</v>
      </c>
      <c r="G19" s="377">
        <v>621145.9529533399</v>
      </c>
      <c r="H19" s="590">
        <v>588912.66550900228</v>
      </c>
      <c r="I19" s="358">
        <f t="shared" si="2"/>
        <v>2668873.7163333404</v>
      </c>
      <c r="K19" s="66">
        <f t="shared" si="0"/>
        <v>0</v>
      </c>
      <c r="L19" s="66"/>
      <c r="M19" s="431">
        <v>13</v>
      </c>
      <c r="N19" s="431">
        <v>207</v>
      </c>
      <c r="O19" s="443" t="s">
        <v>527</v>
      </c>
      <c r="P19" s="443" t="s">
        <v>993</v>
      </c>
      <c r="Q19" s="203">
        <v>588912.66550900228</v>
      </c>
      <c r="R19" s="457" t="s">
        <v>2509</v>
      </c>
      <c r="S19" s="253"/>
      <c r="T19" s="159">
        <v>13</v>
      </c>
      <c r="U19" t="s">
        <v>527</v>
      </c>
      <c r="V19" t="s">
        <v>993</v>
      </c>
      <c r="W19" s="381">
        <v>-1373573.03</v>
      </c>
      <c r="X19" s="372">
        <v>82001.862648997689</v>
      </c>
      <c r="Y19" s="377">
        <v>1376813.2352220006</v>
      </c>
      <c r="Z19" s="378">
        <v>621145.9529533399</v>
      </c>
      <c r="AA19" s="358">
        <f t="shared" si="3"/>
        <v>706388.02082433819</v>
      </c>
      <c r="AE19" s="159">
        <f t="shared" si="4"/>
        <v>0</v>
      </c>
      <c r="AG19" s="471" t="s">
        <v>527</v>
      </c>
      <c r="AH19" s="467" t="s">
        <v>993</v>
      </c>
      <c r="AI19" s="486">
        <v>-1373573.03</v>
      </c>
      <c r="AJ19" s="475">
        <v>82001.862648997689</v>
      </c>
      <c r="AK19" s="476">
        <v>1376813.2352220006</v>
      </c>
      <c r="AL19" s="477">
        <v>621145.9529533399</v>
      </c>
      <c r="AM19" s="478">
        <v>706388.02082433819</v>
      </c>
      <c r="AN19" s="478"/>
      <c r="AO19" s="467"/>
      <c r="AP19" s="479">
        <f t="shared" si="5"/>
        <v>2079961.0508243381</v>
      </c>
      <c r="AQ19" s="467"/>
      <c r="AR19" s="467"/>
      <c r="AS19" s="509">
        <f t="shared" si="6"/>
        <v>82001.862648997689</v>
      </c>
      <c r="AT19" s="476">
        <v>1376813.2352220006</v>
      </c>
      <c r="AU19" s="477">
        <v>621145.9529533399</v>
      </c>
      <c r="AV19" s="494">
        <f t="shared" si="7"/>
        <v>2079961.0508243381</v>
      </c>
      <c r="AW19" s="494">
        <f t="shared" si="8"/>
        <v>0</v>
      </c>
      <c r="AX19" s="468"/>
      <c r="AY19" s="589">
        <v>588912.66550900228</v>
      </c>
      <c r="AZ19" s="510">
        <f t="shared" si="9"/>
        <v>2668873.7163333404</v>
      </c>
      <c r="BA19" s="511">
        <f t="shared" si="10"/>
        <v>0</v>
      </c>
      <c r="BB19" s="460"/>
      <c r="BC19" s="464">
        <f t="shared" si="1"/>
        <v>0</v>
      </c>
    </row>
    <row r="20" spans="1:55" ht="15">
      <c r="A20" s="431">
        <v>14</v>
      </c>
      <c r="B20" s="431">
        <v>141</v>
      </c>
      <c r="C20" s="347" t="s">
        <v>398</v>
      </c>
      <c r="D20" s="348" t="s">
        <v>399</v>
      </c>
      <c r="E20" s="380">
        <v>0</v>
      </c>
      <c r="F20" s="371"/>
      <c r="G20" s="377"/>
      <c r="H20" s="590">
        <v>0</v>
      </c>
      <c r="I20" s="358">
        <f t="shared" si="2"/>
        <v>0</v>
      </c>
      <c r="K20" s="66">
        <f t="shared" si="0"/>
        <v>0</v>
      </c>
      <c r="L20" s="66"/>
      <c r="M20" s="431">
        <v>14</v>
      </c>
      <c r="N20" s="431">
        <v>141</v>
      </c>
      <c r="O20" s="447" t="s">
        <v>398</v>
      </c>
      <c r="P20" s="448" t="s">
        <v>2376</v>
      </c>
      <c r="Q20" s="203">
        <v>0</v>
      </c>
      <c r="R20" s="457" t="s">
        <v>2509</v>
      </c>
      <c r="S20" s="253"/>
      <c r="T20" s="159">
        <v>14</v>
      </c>
      <c r="U20" s="347" t="s">
        <v>398</v>
      </c>
      <c r="V20" s="348" t="s">
        <v>399</v>
      </c>
      <c r="W20" s="380">
        <v>0</v>
      </c>
      <c r="X20" s="371"/>
      <c r="Y20" s="377"/>
      <c r="Z20" s="378"/>
      <c r="AA20" s="358">
        <f t="shared" si="3"/>
        <v>0</v>
      </c>
      <c r="AE20" s="159">
        <f t="shared" si="4"/>
        <v>0</v>
      </c>
      <c r="AG20" s="471" t="s">
        <v>398</v>
      </c>
      <c r="AH20" s="467" t="s">
        <v>399</v>
      </c>
      <c r="AI20" s="484">
        <v>0</v>
      </c>
      <c r="AJ20" s="485"/>
      <c r="AK20" s="476"/>
      <c r="AL20" s="477"/>
      <c r="AM20" s="478">
        <v>0</v>
      </c>
      <c r="AN20" s="478"/>
      <c r="AO20" s="467"/>
      <c r="AP20" s="479">
        <f t="shared" si="5"/>
        <v>0</v>
      </c>
      <c r="AQ20" s="467"/>
      <c r="AR20" s="467"/>
      <c r="AS20" s="509">
        <f t="shared" si="6"/>
        <v>0</v>
      </c>
      <c r="AT20" s="476"/>
      <c r="AU20" s="477"/>
      <c r="AV20" s="494">
        <f t="shared" si="7"/>
        <v>0</v>
      </c>
      <c r="AW20" s="494">
        <f t="shared" si="8"/>
        <v>0</v>
      </c>
      <c r="AX20" s="468"/>
      <c r="AY20" s="589">
        <v>0</v>
      </c>
      <c r="AZ20" s="510">
        <f t="shared" si="9"/>
        <v>0</v>
      </c>
      <c r="BA20" s="511">
        <f t="shared" si="10"/>
        <v>0</v>
      </c>
      <c r="BB20" s="460"/>
      <c r="BC20" s="464">
        <f t="shared" si="1"/>
        <v>0</v>
      </c>
    </row>
    <row r="21" spans="1:55" ht="15">
      <c r="A21" s="431">
        <v>15</v>
      </c>
      <c r="B21" s="431">
        <v>294</v>
      </c>
      <c r="C21" t="s">
        <v>675</v>
      </c>
      <c r="D21" t="s">
        <v>1054</v>
      </c>
      <c r="E21" s="372">
        <v>-47193.066253736579</v>
      </c>
      <c r="F21" s="372">
        <v>-3243.4571209957357</v>
      </c>
      <c r="G21" s="377">
        <v>-481840.2227842799</v>
      </c>
      <c r="H21" s="590">
        <v>-374690.67360399978</v>
      </c>
      <c r="I21" s="358">
        <f t="shared" si="2"/>
        <v>-906967.41976301197</v>
      </c>
      <c r="K21" s="66">
        <f t="shared" si="0"/>
        <v>0</v>
      </c>
      <c r="L21" s="66"/>
      <c r="M21" s="431">
        <v>15</v>
      </c>
      <c r="N21" s="431">
        <v>294</v>
      </c>
      <c r="O21" s="443" t="s">
        <v>675</v>
      </c>
      <c r="P21" s="449" t="s">
        <v>1054</v>
      </c>
      <c r="Q21" s="203">
        <v>-374690.67360399978</v>
      </c>
      <c r="R21" s="457" t="s">
        <v>2509</v>
      </c>
      <c r="S21" s="253"/>
      <c r="T21" s="159">
        <v>15</v>
      </c>
      <c r="U21" t="s">
        <v>675</v>
      </c>
      <c r="V21" t="s">
        <v>1054</v>
      </c>
      <c r="W21" s="372">
        <v>-299896.39</v>
      </c>
      <c r="X21" s="372">
        <v>-47193.066253736579</v>
      </c>
      <c r="Y21" s="377">
        <v>-3243.4571209957357</v>
      </c>
      <c r="Z21" s="378">
        <v>-481840.2227842799</v>
      </c>
      <c r="AA21" s="358">
        <f t="shared" si="3"/>
        <v>-832173.13615901221</v>
      </c>
      <c r="AE21" s="159">
        <f t="shared" si="4"/>
        <v>0</v>
      </c>
      <c r="AG21" s="471" t="s">
        <v>675</v>
      </c>
      <c r="AH21" s="467" t="s">
        <v>1054</v>
      </c>
      <c r="AI21" s="475">
        <v>-299896.39</v>
      </c>
      <c r="AJ21" s="475">
        <v>-47193.066253736579</v>
      </c>
      <c r="AK21" s="476">
        <v>-3243.4571209957357</v>
      </c>
      <c r="AL21" s="477">
        <v>-481840.2227842799</v>
      </c>
      <c r="AM21" s="478">
        <v>-832173.13615901221</v>
      </c>
      <c r="AN21" s="478"/>
      <c r="AO21" s="467"/>
      <c r="AP21" s="479">
        <f t="shared" si="5"/>
        <v>-532276.7461590122</v>
      </c>
      <c r="AQ21" s="467"/>
      <c r="AR21" s="467"/>
      <c r="AS21" s="509">
        <f t="shared" si="6"/>
        <v>-47193.066253736579</v>
      </c>
      <c r="AT21" s="476">
        <v>-3243.4571209957357</v>
      </c>
      <c r="AU21" s="477">
        <v>-481840.2227842799</v>
      </c>
      <c r="AV21" s="494">
        <f t="shared" si="7"/>
        <v>-532276.7461590122</v>
      </c>
      <c r="AW21" s="494">
        <f t="shared" si="8"/>
        <v>0</v>
      </c>
      <c r="AX21" s="468"/>
      <c r="AY21" s="589">
        <v>-374690.67360399978</v>
      </c>
      <c r="AZ21" s="510">
        <f t="shared" si="9"/>
        <v>-906967.41976301197</v>
      </c>
      <c r="BA21" s="511">
        <f t="shared" si="10"/>
        <v>0</v>
      </c>
      <c r="BB21" s="460"/>
      <c r="BC21" s="464">
        <f t="shared" si="1"/>
        <v>0</v>
      </c>
    </row>
    <row r="22" spans="1:55" ht="15">
      <c r="A22" s="431">
        <v>16</v>
      </c>
      <c r="B22" s="431">
        <v>156</v>
      </c>
      <c r="C22" t="s">
        <v>428</v>
      </c>
      <c r="D22" t="s">
        <v>944</v>
      </c>
      <c r="E22" s="372">
        <v>-27608.338987999985</v>
      </c>
      <c r="F22" s="372">
        <v>-22595.906256000002</v>
      </c>
      <c r="G22" s="377">
        <v>-42427.794690000024</v>
      </c>
      <c r="H22" s="590">
        <v>-32579.945999999967</v>
      </c>
      <c r="I22" s="358">
        <f t="shared" si="2"/>
        <v>-125211.98593399998</v>
      </c>
      <c r="K22" s="66">
        <f t="shared" si="0"/>
        <v>0</v>
      </c>
      <c r="L22" s="66"/>
      <c r="M22" s="431">
        <v>16</v>
      </c>
      <c r="N22" s="431">
        <v>156</v>
      </c>
      <c r="O22" s="443" t="s">
        <v>428</v>
      </c>
      <c r="P22" s="443" t="s">
        <v>944</v>
      </c>
      <c r="Q22" s="203">
        <v>-32579.945999999967</v>
      </c>
      <c r="R22" s="457" t="s">
        <v>2509</v>
      </c>
      <c r="S22" s="253"/>
      <c r="T22" s="159">
        <v>16</v>
      </c>
      <c r="U22" t="s">
        <v>428</v>
      </c>
      <c r="V22" t="s">
        <v>944</v>
      </c>
      <c r="W22" s="372">
        <v>-52898.53</v>
      </c>
      <c r="X22" s="372">
        <v>-27608.338987999985</v>
      </c>
      <c r="Y22" s="377">
        <v>-22595.906256000002</v>
      </c>
      <c r="Z22" s="378">
        <v>-42427.794690000024</v>
      </c>
      <c r="AA22" s="358">
        <f t="shared" si="3"/>
        <v>-145530.56993400003</v>
      </c>
      <c r="AE22" s="159">
        <f t="shared" si="4"/>
        <v>0</v>
      </c>
      <c r="AG22" s="471" t="s">
        <v>428</v>
      </c>
      <c r="AH22" s="467" t="s">
        <v>944</v>
      </c>
      <c r="AI22" s="475">
        <v>-52898.53</v>
      </c>
      <c r="AJ22" s="475">
        <v>-27608.338987999985</v>
      </c>
      <c r="AK22" s="476">
        <v>-22595.906256000002</v>
      </c>
      <c r="AL22" s="477">
        <v>-42427.794690000024</v>
      </c>
      <c r="AM22" s="478">
        <v>-145530.56993400003</v>
      </c>
      <c r="AN22" s="478"/>
      <c r="AO22" s="467"/>
      <c r="AP22" s="479">
        <f t="shared" si="5"/>
        <v>-92632.039934000015</v>
      </c>
      <c r="AQ22" s="467"/>
      <c r="AR22" s="467"/>
      <c r="AS22" s="509">
        <f t="shared" si="6"/>
        <v>-27608.338987999985</v>
      </c>
      <c r="AT22" s="476">
        <v>-22595.906256000002</v>
      </c>
      <c r="AU22" s="477">
        <v>-42427.794690000024</v>
      </c>
      <c r="AV22" s="494">
        <f t="shared" si="7"/>
        <v>-92632.039934000015</v>
      </c>
      <c r="AW22" s="494">
        <f t="shared" si="8"/>
        <v>0</v>
      </c>
      <c r="AX22" s="468"/>
      <c r="AY22" s="589">
        <v>-32579.945999999967</v>
      </c>
      <c r="AZ22" s="510">
        <f t="shared" si="9"/>
        <v>-125211.98593399998</v>
      </c>
      <c r="BA22" s="511">
        <f t="shared" si="10"/>
        <v>0</v>
      </c>
      <c r="BB22" s="460"/>
      <c r="BC22" s="464">
        <f t="shared" si="1"/>
        <v>0</v>
      </c>
    </row>
    <row r="23" spans="1:55" ht="15">
      <c r="A23" s="431">
        <v>17</v>
      </c>
      <c r="B23" s="431">
        <v>126</v>
      </c>
      <c r="C23" t="s">
        <v>374</v>
      </c>
      <c r="D23" t="s">
        <v>925</v>
      </c>
      <c r="E23" s="372">
        <v>154546.16695376899</v>
      </c>
      <c r="F23" s="372">
        <v>436977.8823302323</v>
      </c>
      <c r="G23" s="377">
        <v>471291.78035767551</v>
      </c>
      <c r="H23" s="590">
        <v>212970.84738200018</v>
      </c>
      <c r="I23" s="358">
        <f t="shared" si="2"/>
        <v>1275786.6770236772</v>
      </c>
      <c r="K23" s="66">
        <f t="shared" si="0"/>
        <v>0</v>
      </c>
      <c r="L23" s="66"/>
      <c r="M23" s="431">
        <v>17</v>
      </c>
      <c r="N23" s="431">
        <v>126</v>
      </c>
      <c r="O23" s="443" t="s">
        <v>374</v>
      </c>
      <c r="P23" s="443" t="s">
        <v>925</v>
      </c>
      <c r="Q23" s="203">
        <v>212970.84738200018</v>
      </c>
      <c r="R23" s="457" t="s">
        <v>2509</v>
      </c>
      <c r="S23" s="253"/>
      <c r="T23" s="159">
        <v>17</v>
      </c>
      <c r="U23" t="s">
        <v>374</v>
      </c>
      <c r="V23" t="s">
        <v>925</v>
      </c>
      <c r="W23" s="372">
        <v>-197563.86999999959</v>
      </c>
      <c r="X23" s="372">
        <v>352110.03695376858</v>
      </c>
      <c r="Y23" s="377">
        <v>436977.8823302323</v>
      </c>
      <c r="Z23" s="378">
        <v>471291.78035767551</v>
      </c>
      <c r="AA23" s="358">
        <f t="shared" si="3"/>
        <v>1062815.829641677</v>
      </c>
      <c r="AE23" s="159">
        <f t="shared" si="4"/>
        <v>0</v>
      </c>
      <c r="AG23" s="471" t="s">
        <v>374</v>
      </c>
      <c r="AH23" s="467" t="s">
        <v>925</v>
      </c>
      <c r="AI23" s="480">
        <v>-197563.86999999959</v>
      </c>
      <c r="AJ23" s="480">
        <v>352110.03695376858</v>
      </c>
      <c r="AK23" s="476">
        <v>436977.8823302323</v>
      </c>
      <c r="AL23" s="477">
        <v>471291.78035767551</v>
      </c>
      <c r="AM23" s="478">
        <v>1062815.829641677</v>
      </c>
      <c r="AN23" s="478"/>
      <c r="AO23" s="467"/>
      <c r="AP23" s="479">
        <f t="shared" si="5"/>
        <v>1260379.6996416764</v>
      </c>
      <c r="AQ23" s="467"/>
      <c r="AR23" s="467"/>
      <c r="AS23" s="512">
        <f>+AI23+AJ23</f>
        <v>154546.16695376899</v>
      </c>
      <c r="AT23" s="476">
        <v>436977.8823302323</v>
      </c>
      <c r="AU23" s="477">
        <v>471291.78035767551</v>
      </c>
      <c r="AV23" s="494">
        <f t="shared" si="7"/>
        <v>1062815.829641677</v>
      </c>
      <c r="AW23" s="513">
        <f>+AV23-AM23</f>
        <v>0</v>
      </c>
      <c r="AX23" s="468"/>
      <c r="AY23" s="589">
        <v>212970.84738200018</v>
      </c>
      <c r="AZ23" s="510">
        <f t="shared" si="9"/>
        <v>1275786.6770236772</v>
      </c>
      <c r="BA23" s="511">
        <f t="shared" si="10"/>
        <v>0</v>
      </c>
      <c r="BB23" s="460"/>
      <c r="BC23" s="464">
        <f t="shared" si="1"/>
        <v>0</v>
      </c>
    </row>
    <row r="24" spans="1:55" ht="15">
      <c r="A24" s="431">
        <v>18</v>
      </c>
      <c r="B24" s="431">
        <v>181</v>
      </c>
      <c r="C24" t="s">
        <v>478</v>
      </c>
      <c r="D24" t="s">
        <v>968</v>
      </c>
      <c r="E24" s="372">
        <v>0</v>
      </c>
      <c r="F24" s="372">
        <v>-31440.944186000037</v>
      </c>
      <c r="G24" s="377">
        <v>-42737.506611999968</v>
      </c>
      <c r="H24" s="590">
        <v>-16222.336863999953</v>
      </c>
      <c r="I24" s="358">
        <f t="shared" si="2"/>
        <v>-90400.787661999959</v>
      </c>
      <c r="K24" s="66">
        <f t="shared" si="0"/>
        <v>0</v>
      </c>
      <c r="L24" s="66"/>
      <c r="M24" s="431">
        <v>18</v>
      </c>
      <c r="N24" s="431">
        <v>181</v>
      </c>
      <c r="O24" s="443" t="s">
        <v>478</v>
      </c>
      <c r="P24" s="443" t="s">
        <v>968</v>
      </c>
      <c r="Q24" s="203">
        <v>-16222.336863999953</v>
      </c>
      <c r="R24" s="457" t="s">
        <v>2509</v>
      </c>
      <c r="S24" s="253"/>
      <c r="T24" s="159">
        <v>18</v>
      </c>
      <c r="U24" t="s">
        <v>478</v>
      </c>
      <c r="V24" t="s">
        <v>968</v>
      </c>
      <c r="W24" s="372">
        <v>-159195.19</v>
      </c>
      <c r="X24" s="372">
        <v>0</v>
      </c>
      <c r="Y24" s="377">
        <v>-31440.944186000037</v>
      </c>
      <c r="Z24" s="378">
        <v>-42737.506611999968</v>
      </c>
      <c r="AA24" s="358">
        <f t="shared" si="3"/>
        <v>-233373.64079800001</v>
      </c>
      <c r="AE24" s="159">
        <f t="shared" si="4"/>
        <v>0</v>
      </c>
      <c r="AG24" s="471" t="s">
        <v>478</v>
      </c>
      <c r="AH24" s="467" t="s">
        <v>968</v>
      </c>
      <c r="AI24" s="475">
        <v>-159195.19</v>
      </c>
      <c r="AJ24" s="475">
        <v>0</v>
      </c>
      <c r="AK24" s="476">
        <v>-31440.944186000037</v>
      </c>
      <c r="AL24" s="477">
        <v>-42737.506611999968</v>
      </c>
      <c r="AM24" s="478">
        <v>-233373.64079800001</v>
      </c>
      <c r="AN24" s="478"/>
      <c r="AO24" s="467"/>
      <c r="AP24" s="479">
        <f t="shared" si="5"/>
        <v>-74178.450798000005</v>
      </c>
      <c r="AQ24" s="467"/>
      <c r="AR24" s="467"/>
      <c r="AS24" s="509">
        <f t="shared" si="6"/>
        <v>0</v>
      </c>
      <c r="AT24" s="476">
        <v>-31440.944186000037</v>
      </c>
      <c r="AU24" s="477">
        <v>-42737.506611999968</v>
      </c>
      <c r="AV24" s="494">
        <f t="shared" si="7"/>
        <v>-74178.450798000005</v>
      </c>
      <c r="AW24" s="494">
        <f t="shared" si="8"/>
        <v>0</v>
      </c>
      <c r="AX24" s="468"/>
      <c r="AY24" s="589">
        <v>-16222.336863999953</v>
      </c>
      <c r="AZ24" s="510">
        <f t="shared" si="9"/>
        <v>-90400.787661999959</v>
      </c>
      <c r="BA24" s="511">
        <f t="shared" si="10"/>
        <v>0</v>
      </c>
      <c r="BB24" s="460"/>
      <c r="BC24" s="464">
        <f t="shared" si="1"/>
        <v>0</v>
      </c>
    </row>
    <row r="25" spans="1:55" ht="15">
      <c r="A25" s="431">
        <v>19</v>
      </c>
      <c r="B25" s="431">
        <v>50</v>
      </c>
      <c r="C25" t="s">
        <v>247</v>
      </c>
      <c r="D25" t="s">
        <v>864</v>
      </c>
      <c r="E25" s="372">
        <v>-34468.716718000207</v>
      </c>
      <c r="F25" s="372">
        <v>-89531.784245999996</v>
      </c>
      <c r="G25" s="377">
        <v>-74295.125986999963</v>
      </c>
      <c r="H25" s="590">
        <v>-89898.463503999985</v>
      </c>
      <c r="I25" s="358">
        <f t="shared" si="2"/>
        <v>-288194.09045500017</v>
      </c>
      <c r="K25" s="66">
        <f t="shared" si="0"/>
        <v>0</v>
      </c>
      <c r="L25" s="66"/>
      <c r="M25" s="431">
        <v>19</v>
      </c>
      <c r="N25" s="431">
        <v>50</v>
      </c>
      <c r="O25" s="443" t="s">
        <v>247</v>
      </c>
      <c r="P25" s="443" t="s">
        <v>864</v>
      </c>
      <c r="Q25" s="203">
        <v>-89898.463503999985</v>
      </c>
      <c r="R25" s="457" t="s">
        <v>2509</v>
      </c>
      <c r="S25" s="253"/>
      <c r="T25" s="159">
        <v>19</v>
      </c>
      <c r="U25" t="s">
        <v>247</v>
      </c>
      <c r="V25" t="s">
        <v>864</v>
      </c>
      <c r="W25" s="372">
        <v>-184809.25</v>
      </c>
      <c r="X25" s="372">
        <v>-34468.716718000207</v>
      </c>
      <c r="Y25" s="377">
        <v>-89531.784245999996</v>
      </c>
      <c r="Z25" s="378">
        <v>-74295.125986999963</v>
      </c>
      <c r="AA25" s="358">
        <f t="shared" si="3"/>
        <v>-383104.87695100019</v>
      </c>
      <c r="AE25" s="159">
        <f t="shared" si="4"/>
        <v>0</v>
      </c>
      <c r="AG25" s="471" t="s">
        <v>247</v>
      </c>
      <c r="AH25" s="467" t="s">
        <v>864</v>
      </c>
      <c r="AI25" s="475">
        <v>-184809.25</v>
      </c>
      <c r="AJ25" s="475">
        <v>-34468.716718000207</v>
      </c>
      <c r="AK25" s="476">
        <v>-89531.784245999996</v>
      </c>
      <c r="AL25" s="477">
        <v>-74295.125986999963</v>
      </c>
      <c r="AM25" s="478">
        <v>-383104.87695100019</v>
      </c>
      <c r="AN25" s="478"/>
      <c r="AO25" s="467"/>
      <c r="AP25" s="479">
        <f t="shared" si="5"/>
        <v>-198295.62695100019</v>
      </c>
      <c r="AQ25" s="467"/>
      <c r="AR25" s="467"/>
      <c r="AS25" s="509">
        <f t="shared" si="6"/>
        <v>-34468.716718000207</v>
      </c>
      <c r="AT25" s="476">
        <v>-89531.784245999996</v>
      </c>
      <c r="AU25" s="477">
        <v>-74295.125986999963</v>
      </c>
      <c r="AV25" s="494">
        <f t="shared" si="7"/>
        <v>-198295.62695100019</v>
      </c>
      <c r="AW25" s="494">
        <f t="shared" si="8"/>
        <v>0</v>
      </c>
      <c r="AX25" s="468"/>
      <c r="AY25" s="589">
        <v>-89898.463503999985</v>
      </c>
      <c r="AZ25" s="510">
        <f t="shared" si="9"/>
        <v>-288194.09045500017</v>
      </c>
      <c r="BA25" s="511">
        <f t="shared" si="10"/>
        <v>0</v>
      </c>
      <c r="BB25" s="460"/>
      <c r="BC25" s="464">
        <f t="shared" si="1"/>
        <v>0</v>
      </c>
    </row>
    <row r="26" spans="1:55" ht="15">
      <c r="A26" s="431">
        <v>20</v>
      </c>
      <c r="B26" s="431">
        <v>93</v>
      </c>
      <c r="C26" t="s">
        <v>330</v>
      </c>
      <c r="D26" t="s">
        <v>902</v>
      </c>
      <c r="E26" s="372">
        <v>-42479.859096</v>
      </c>
      <c r="F26" s="372">
        <v>-45466.955079999985</v>
      </c>
      <c r="G26" s="377">
        <v>-50645.156239999997</v>
      </c>
      <c r="H26" s="590">
        <v>-49721.849549999999</v>
      </c>
      <c r="I26" s="358">
        <f t="shared" si="2"/>
        <v>-188313.81996599998</v>
      </c>
      <c r="K26" s="66">
        <f t="shared" si="0"/>
        <v>0</v>
      </c>
      <c r="L26" s="66"/>
      <c r="M26" s="431">
        <v>20</v>
      </c>
      <c r="N26" s="431">
        <v>93</v>
      </c>
      <c r="O26" s="443" t="s">
        <v>330</v>
      </c>
      <c r="P26" s="443" t="s">
        <v>902</v>
      </c>
      <c r="Q26" s="203">
        <v>-49721.849549999999</v>
      </c>
      <c r="R26" s="457" t="s">
        <v>2509</v>
      </c>
      <c r="S26" s="253"/>
      <c r="T26" s="159">
        <v>20</v>
      </c>
      <c r="U26" t="s">
        <v>330</v>
      </c>
      <c r="V26" t="s">
        <v>902</v>
      </c>
      <c r="W26" s="372">
        <v>-53832.42</v>
      </c>
      <c r="X26" s="372">
        <v>-42479.859096</v>
      </c>
      <c r="Y26" s="377">
        <v>-45466.955079999985</v>
      </c>
      <c r="Z26" s="378">
        <v>-50645.156239999997</v>
      </c>
      <c r="AA26" s="358">
        <f t="shared" si="3"/>
        <v>-192424.39041599998</v>
      </c>
      <c r="AE26" s="159">
        <f t="shared" si="4"/>
        <v>0</v>
      </c>
      <c r="AG26" s="471" t="s">
        <v>330</v>
      </c>
      <c r="AH26" s="467" t="s">
        <v>902</v>
      </c>
      <c r="AI26" s="475">
        <v>-53832.42</v>
      </c>
      <c r="AJ26" s="475">
        <v>-42479.859096</v>
      </c>
      <c r="AK26" s="476">
        <v>-45466.955079999985</v>
      </c>
      <c r="AL26" s="477">
        <v>-50645.156239999997</v>
      </c>
      <c r="AM26" s="478">
        <v>-192424.39041599998</v>
      </c>
      <c r="AN26" s="478"/>
      <c r="AO26" s="467"/>
      <c r="AP26" s="479">
        <f t="shared" si="5"/>
        <v>-138591.970416</v>
      </c>
      <c r="AQ26" s="467"/>
      <c r="AR26" s="467"/>
      <c r="AS26" s="509">
        <f t="shared" si="6"/>
        <v>-42479.859096</v>
      </c>
      <c r="AT26" s="476">
        <v>-45466.955079999985</v>
      </c>
      <c r="AU26" s="477">
        <v>-50645.156239999997</v>
      </c>
      <c r="AV26" s="494">
        <f t="shared" si="7"/>
        <v>-138591.970416</v>
      </c>
      <c r="AW26" s="494">
        <f t="shared" si="8"/>
        <v>0</v>
      </c>
      <c r="AX26" s="468"/>
      <c r="AY26" s="589">
        <v>-49721.849549999999</v>
      </c>
      <c r="AZ26" s="510">
        <f t="shared" si="9"/>
        <v>-188313.81996599998</v>
      </c>
      <c r="BA26" s="511">
        <f t="shared" si="10"/>
        <v>0</v>
      </c>
      <c r="BB26" s="460"/>
      <c r="BC26" s="464">
        <f t="shared" si="1"/>
        <v>0</v>
      </c>
    </row>
    <row r="27" spans="1:55" ht="15">
      <c r="A27" s="431">
        <v>21</v>
      </c>
      <c r="B27" s="431">
        <v>219</v>
      </c>
      <c r="C27" t="s">
        <v>545</v>
      </c>
      <c r="D27" t="s">
        <v>1673</v>
      </c>
      <c r="E27" s="372">
        <v>1147.8537820003694</v>
      </c>
      <c r="F27" s="372">
        <v>560962.43865600019</v>
      </c>
      <c r="G27" s="377">
        <v>-22376.025209999818</v>
      </c>
      <c r="H27" s="590">
        <v>242695.45429000026</v>
      </c>
      <c r="I27" s="358">
        <f t="shared" si="2"/>
        <v>782429.72151800105</v>
      </c>
      <c r="K27" s="66">
        <f t="shared" si="0"/>
        <v>0</v>
      </c>
      <c r="L27" s="66"/>
      <c r="M27" s="431">
        <v>21</v>
      </c>
      <c r="N27" s="431">
        <v>219</v>
      </c>
      <c r="O27" s="443" t="s">
        <v>545</v>
      </c>
      <c r="P27" s="443" t="s">
        <v>1673</v>
      </c>
      <c r="Q27" s="203">
        <v>242695.45429000026</v>
      </c>
      <c r="R27" s="457" t="s">
        <v>2509</v>
      </c>
      <c r="S27" s="253"/>
      <c r="T27" s="159">
        <v>21</v>
      </c>
      <c r="U27" t="s">
        <v>545</v>
      </c>
      <c r="V27" t="s">
        <v>1673</v>
      </c>
      <c r="W27" s="372">
        <v>-608592.59</v>
      </c>
      <c r="X27" s="372">
        <v>609740.44378200034</v>
      </c>
      <c r="Y27" s="377">
        <v>560962.43865600019</v>
      </c>
      <c r="Z27" s="378">
        <v>-22376.025209999818</v>
      </c>
      <c r="AA27" s="358">
        <f t="shared" si="3"/>
        <v>539734.2672280008</v>
      </c>
      <c r="AE27" s="159">
        <f t="shared" si="4"/>
        <v>0</v>
      </c>
      <c r="AG27" s="471" t="s">
        <v>545</v>
      </c>
      <c r="AH27" s="467" t="s">
        <v>1673</v>
      </c>
      <c r="AI27" s="480">
        <v>-608592.59</v>
      </c>
      <c r="AJ27" s="480">
        <v>609740.44378200034</v>
      </c>
      <c r="AK27" s="476">
        <v>560962.43865600019</v>
      </c>
      <c r="AL27" s="477">
        <v>-22376.025209999818</v>
      </c>
      <c r="AM27" s="478">
        <v>539734.2672280008</v>
      </c>
      <c r="AN27" s="478"/>
      <c r="AO27" s="467"/>
      <c r="AP27" s="479">
        <f t="shared" si="5"/>
        <v>1148326.8572280006</v>
      </c>
      <c r="AQ27" s="467"/>
      <c r="AR27" s="467"/>
      <c r="AS27" s="512">
        <f>+AI27+AJ27</f>
        <v>1147.8537820003694</v>
      </c>
      <c r="AT27" s="476">
        <v>560962.43865600019</v>
      </c>
      <c r="AU27" s="477">
        <v>-22376.025209999818</v>
      </c>
      <c r="AV27" s="494">
        <f t="shared" si="7"/>
        <v>539734.2672280008</v>
      </c>
      <c r="AW27" s="513">
        <f>+AV27-AM27</f>
        <v>0</v>
      </c>
      <c r="AX27" s="468"/>
      <c r="AY27" s="589">
        <v>242695.45429000026</v>
      </c>
      <c r="AZ27" s="510">
        <f t="shared" si="9"/>
        <v>782429.72151800105</v>
      </c>
      <c r="BA27" s="511">
        <f t="shared" si="10"/>
        <v>0</v>
      </c>
      <c r="BB27" s="460"/>
      <c r="BC27" s="464">
        <f t="shared" si="1"/>
        <v>0</v>
      </c>
    </row>
    <row r="28" spans="1:55" ht="15">
      <c r="A28" s="431">
        <v>22</v>
      </c>
      <c r="B28" s="431">
        <v>35</v>
      </c>
      <c r="C28" t="s">
        <v>223</v>
      </c>
      <c r="D28" t="s">
        <v>853</v>
      </c>
      <c r="E28" s="372">
        <v>-597158.61749999993</v>
      </c>
      <c r="F28" s="372">
        <v>-125466.61699999915</v>
      </c>
      <c r="G28" s="377">
        <v>-755052.23769600014</v>
      </c>
      <c r="H28" s="590">
        <v>-1452558.3244160004</v>
      </c>
      <c r="I28" s="358">
        <f t="shared" si="2"/>
        <v>-2930235.7966119996</v>
      </c>
      <c r="K28" s="66">
        <f t="shared" si="0"/>
        <v>0</v>
      </c>
      <c r="L28" s="66"/>
      <c r="M28" s="431">
        <v>22</v>
      </c>
      <c r="N28" s="431">
        <v>35</v>
      </c>
      <c r="O28" s="443" t="s">
        <v>223</v>
      </c>
      <c r="P28" s="443" t="s">
        <v>853</v>
      </c>
      <c r="Q28" s="203">
        <v>-1452558.3244160004</v>
      </c>
      <c r="R28" s="457" t="s">
        <v>2509</v>
      </c>
      <c r="S28" s="253"/>
      <c r="T28" s="159">
        <v>22</v>
      </c>
      <c r="U28" t="s">
        <v>223</v>
      </c>
      <c r="V28" t="s">
        <v>853</v>
      </c>
      <c r="W28" s="372">
        <v>-750646.63</v>
      </c>
      <c r="X28" s="372">
        <v>-597158.61749999993</v>
      </c>
      <c r="Y28" s="377">
        <v>-125466.61699999915</v>
      </c>
      <c r="Z28" s="378">
        <v>-755052.23769600014</v>
      </c>
      <c r="AA28" s="358">
        <f t="shared" si="3"/>
        <v>-2228324.1021959996</v>
      </c>
      <c r="AE28" s="159">
        <f t="shared" si="4"/>
        <v>0</v>
      </c>
      <c r="AG28" s="471" t="s">
        <v>223</v>
      </c>
      <c r="AH28" s="467" t="s">
        <v>853</v>
      </c>
      <c r="AI28" s="475">
        <v>-750646.63</v>
      </c>
      <c r="AJ28" s="475">
        <v>-597158.61749999993</v>
      </c>
      <c r="AK28" s="476">
        <v>-125466.61699999915</v>
      </c>
      <c r="AL28" s="477">
        <v>-755052.23769600014</v>
      </c>
      <c r="AM28" s="478">
        <v>-2228324.1021959996</v>
      </c>
      <c r="AN28" s="478"/>
      <c r="AO28" s="467"/>
      <c r="AP28" s="479">
        <f t="shared" si="5"/>
        <v>-1477677.4721959992</v>
      </c>
      <c r="AQ28" s="467"/>
      <c r="AR28" s="467"/>
      <c r="AS28" s="509">
        <f t="shared" si="6"/>
        <v>-597158.61749999993</v>
      </c>
      <c r="AT28" s="476">
        <v>-125466.61699999915</v>
      </c>
      <c r="AU28" s="477">
        <v>-755052.23769600014</v>
      </c>
      <c r="AV28" s="494">
        <f t="shared" si="7"/>
        <v>-1477677.4721959992</v>
      </c>
      <c r="AW28" s="494">
        <f t="shared" si="8"/>
        <v>0</v>
      </c>
      <c r="AX28" s="468"/>
      <c r="AY28" s="589">
        <v>-1452558.3244160004</v>
      </c>
      <c r="AZ28" s="510">
        <f t="shared" si="9"/>
        <v>-2930235.7966119996</v>
      </c>
      <c r="BA28" s="511">
        <f t="shared" si="10"/>
        <v>0</v>
      </c>
      <c r="BB28" s="460"/>
      <c r="BC28" s="464">
        <f t="shared" si="1"/>
        <v>0</v>
      </c>
    </row>
    <row r="29" spans="1:55" ht="15">
      <c r="A29" s="431">
        <v>23</v>
      </c>
      <c r="B29" s="431">
        <v>26</v>
      </c>
      <c r="C29" t="s">
        <v>209</v>
      </c>
      <c r="D29" t="s">
        <v>847</v>
      </c>
      <c r="E29" s="372">
        <v>-482117.58991999994</v>
      </c>
      <c r="F29" s="372">
        <v>-330947.09558500012</v>
      </c>
      <c r="G29" s="377">
        <v>-329463.94672000001</v>
      </c>
      <c r="H29" s="590">
        <v>-374246.72655600007</v>
      </c>
      <c r="I29" s="358">
        <f t="shared" si="2"/>
        <v>-1516775.3587810001</v>
      </c>
      <c r="K29" s="66">
        <f t="shared" si="0"/>
        <v>0</v>
      </c>
      <c r="L29" s="66"/>
      <c r="M29" s="431">
        <v>23</v>
      </c>
      <c r="N29" s="431">
        <v>26</v>
      </c>
      <c r="O29" s="443" t="s">
        <v>209</v>
      </c>
      <c r="P29" s="443" t="s">
        <v>847</v>
      </c>
      <c r="Q29" s="203">
        <v>-374246.72655600007</v>
      </c>
      <c r="R29" s="457" t="s">
        <v>2509</v>
      </c>
      <c r="S29" s="253"/>
      <c r="T29" s="159">
        <v>23</v>
      </c>
      <c r="U29" t="s">
        <v>209</v>
      </c>
      <c r="V29" t="s">
        <v>847</v>
      </c>
      <c r="W29" s="372">
        <v>-286191.28000000003</v>
      </c>
      <c r="X29" s="372">
        <v>-482117.58991999994</v>
      </c>
      <c r="Y29" s="377">
        <v>-330947.09558500012</v>
      </c>
      <c r="Z29" s="378">
        <v>-329463.94672000001</v>
      </c>
      <c r="AA29" s="358">
        <f t="shared" si="3"/>
        <v>-1428719.9122250001</v>
      </c>
      <c r="AE29" s="159">
        <f t="shared" si="4"/>
        <v>0</v>
      </c>
      <c r="AG29" s="471" t="s">
        <v>209</v>
      </c>
      <c r="AH29" s="467" t="s">
        <v>847</v>
      </c>
      <c r="AI29" s="475">
        <v>-286191.28000000003</v>
      </c>
      <c r="AJ29" s="475">
        <v>-482117.58991999994</v>
      </c>
      <c r="AK29" s="476">
        <v>-330947.09558500012</v>
      </c>
      <c r="AL29" s="477">
        <v>-329463.94672000001</v>
      </c>
      <c r="AM29" s="478">
        <v>-1428719.9122250001</v>
      </c>
      <c r="AN29" s="478"/>
      <c r="AO29" s="467"/>
      <c r="AP29" s="479">
        <f t="shared" si="5"/>
        <v>-1142528.6322250001</v>
      </c>
      <c r="AQ29" s="467"/>
      <c r="AR29" s="467"/>
      <c r="AS29" s="509">
        <f t="shared" si="6"/>
        <v>-482117.58991999994</v>
      </c>
      <c r="AT29" s="476">
        <v>-330947.09558500012</v>
      </c>
      <c r="AU29" s="477">
        <v>-329463.94672000001</v>
      </c>
      <c r="AV29" s="494">
        <f t="shared" si="7"/>
        <v>-1142528.6322250001</v>
      </c>
      <c r="AW29" s="494">
        <f t="shared" si="8"/>
        <v>0</v>
      </c>
      <c r="AX29" s="468"/>
      <c r="AY29" s="589">
        <v>-374246.72655600007</v>
      </c>
      <c r="AZ29" s="510">
        <f t="shared" si="9"/>
        <v>-1516775.3587810001</v>
      </c>
      <c r="BA29" s="511">
        <f t="shared" si="10"/>
        <v>0</v>
      </c>
      <c r="BB29" s="460"/>
      <c r="BC29" s="464">
        <f t="shared" si="1"/>
        <v>0</v>
      </c>
    </row>
    <row r="30" spans="1:55" ht="15">
      <c r="A30" s="431">
        <v>24</v>
      </c>
      <c r="B30" s="431">
        <v>199</v>
      </c>
      <c r="C30" t="s">
        <v>511</v>
      </c>
      <c r="D30" t="s">
        <v>985</v>
      </c>
      <c r="E30" s="372">
        <v>0</v>
      </c>
      <c r="F30" s="372">
        <v>0</v>
      </c>
      <c r="G30" s="377">
        <v>0</v>
      </c>
      <c r="H30" s="590">
        <v>-30288.204129999991</v>
      </c>
      <c r="I30" s="358">
        <f t="shared" si="2"/>
        <v>-30288.204129999991</v>
      </c>
      <c r="K30" s="66">
        <f t="shared" si="0"/>
        <v>0</v>
      </c>
      <c r="L30" s="66"/>
      <c r="M30" s="431">
        <v>24</v>
      </c>
      <c r="N30" s="431">
        <v>199</v>
      </c>
      <c r="O30" s="443" t="s">
        <v>511</v>
      </c>
      <c r="P30" s="443" t="s">
        <v>985</v>
      </c>
      <c r="Q30" s="203">
        <v>-30288.204129999991</v>
      </c>
      <c r="R30" s="457" t="s">
        <v>2509</v>
      </c>
      <c r="S30" s="253"/>
      <c r="T30" s="159">
        <v>24</v>
      </c>
      <c r="U30" t="s">
        <v>511</v>
      </c>
      <c r="V30" t="s">
        <v>985</v>
      </c>
      <c r="W30" s="372">
        <v>-21493.85</v>
      </c>
      <c r="X30" s="372">
        <v>0</v>
      </c>
      <c r="Y30" s="377">
        <v>0</v>
      </c>
      <c r="Z30" s="378">
        <v>8130.9188039999881</v>
      </c>
      <c r="AA30" s="358">
        <f t="shared" si="3"/>
        <v>-13362.93119600001</v>
      </c>
      <c r="AE30" s="159">
        <f t="shared" si="4"/>
        <v>0</v>
      </c>
      <c r="AG30" s="471" t="s">
        <v>511</v>
      </c>
      <c r="AH30" s="467" t="s">
        <v>985</v>
      </c>
      <c r="AI30" s="480">
        <v>-21493.85</v>
      </c>
      <c r="AJ30" s="475">
        <v>0</v>
      </c>
      <c r="AK30" s="476">
        <v>0</v>
      </c>
      <c r="AL30" s="482">
        <v>8130.9188039999881</v>
      </c>
      <c r="AM30" s="478">
        <v>-13362.93119600001</v>
      </c>
      <c r="AN30" s="478"/>
      <c r="AO30" s="467"/>
      <c r="AP30" s="479">
        <f t="shared" si="5"/>
        <v>8130.9188039999881</v>
      </c>
      <c r="AQ30" s="467"/>
      <c r="AR30" s="467"/>
      <c r="AS30" s="509">
        <f t="shared" si="6"/>
        <v>0</v>
      </c>
      <c r="AT30" s="476">
        <v>0</v>
      </c>
      <c r="AU30" s="477">
        <v>0</v>
      </c>
      <c r="AV30" s="494">
        <f t="shared" si="7"/>
        <v>0</v>
      </c>
      <c r="AW30" s="494">
        <f t="shared" si="8"/>
        <v>-8130.9188039999881</v>
      </c>
      <c r="AX30" s="468"/>
      <c r="AY30" s="589">
        <v>-30288.204129999991</v>
      </c>
      <c r="AZ30" s="510">
        <f t="shared" si="9"/>
        <v>-30288.204129999991</v>
      </c>
      <c r="BA30" s="511">
        <f t="shared" si="10"/>
        <v>0</v>
      </c>
      <c r="BB30" s="460"/>
      <c r="BC30" s="464">
        <f t="shared" si="1"/>
        <v>0</v>
      </c>
    </row>
    <row r="31" spans="1:55" ht="15">
      <c r="A31" s="431">
        <v>25</v>
      </c>
      <c r="B31" s="431">
        <v>19</v>
      </c>
      <c r="C31" t="s">
        <v>199</v>
      </c>
      <c r="D31" t="s">
        <v>842</v>
      </c>
      <c r="E31" s="372">
        <v>-195571.98435199997</v>
      </c>
      <c r="F31" s="372">
        <v>-187654.91392400005</v>
      </c>
      <c r="G31" s="377">
        <v>-231324.54075199986</v>
      </c>
      <c r="H31" s="590">
        <v>-211215.17727299989</v>
      </c>
      <c r="I31" s="358">
        <f t="shared" si="2"/>
        <v>-825766.61630099977</v>
      </c>
      <c r="K31" s="66">
        <f t="shared" si="0"/>
        <v>0</v>
      </c>
      <c r="L31" s="66"/>
      <c r="M31" s="431">
        <v>25</v>
      </c>
      <c r="N31" s="431">
        <v>19</v>
      </c>
      <c r="O31" s="443" t="s">
        <v>199</v>
      </c>
      <c r="P31" s="443" t="s">
        <v>842</v>
      </c>
      <c r="Q31" s="203">
        <v>-211215.17727299989</v>
      </c>
      <c r="R31" s="457" t="s">
        <v>2509</v>
      </c>
      <c r="S31" s="253"/>
      <c r="T31" s="159">
        <v>25</v>
      </c>
      <c r="U31" t="s">
        <v>199</v>
      </c>
      <c r="V31" t="s">
        <v>842</v>
      </c>
      <c r="W31" s="372">
        <v>-207326.57</v>
      </c>
      <c r="X31" s="372">
        <v>-195571.98435199997</v>
      </c>
      <c r="Y31" s="377">
        <v>-187654.91392400005</v>
      </c>
      <c r="Z31" s="378">
        <v>-231324.54075199986</v>
      </c>
      <c r="AA31" s="358">
        <f t="shared" si="3"/>
        <v>-821878.00902799994</v>
      </c>
      <c r="AE31" s="159">
        <f t="shared" si="4"/>
        <v>0</v>
      </c>
      <c r="AG31" s="471" t="s">
        <v>199</v>
      </c>
      <c r="AH31" s="467" t="s">
        <v>842</v>
      </c>
      <c r="AI31" s="475">
        <v>-207326.57</v>
      </c>
      <c r="AJ31" s="475">
        <v>-195571.98435199997</v>
      </c>
      <c r="AK31" s="476">
        <v>-187654.91392400005</v>
      </c>
      <c r="AL31" s="477">
        <v>-231324.54075199986</v>
      </c>
      <c r="AM31" s="478">
        <v>-821878.00902799994</v>
      </c>
      <c r="AN31" s="478"/>
      <c r="AO31" s="467"/>
      <c r="AP31" s="479">
        <f t="shared" si="5"/>
        <v>-614551.43902799988</v>
      </c>
      <c r="AQ31" s="467"/>
      <c r="AR31" s="467"/>
      <c r="AS31" s="509">
        <f t="shared" si="6"/>
        <v>-195571.98435199997</v>
      </c>
      <c r="AT31" s="476">
        <v>-187654.91392400005</v>
      </c>
      <c r="AU31" s="477">
        <v>-231324.54075199986</v>
      </c>
      <c r="AV31" s="494">
        <f t="shared" si="7"/>
        <v>-614551.43902799988</v>
      </c>
      <c r="AW31" s="494">
        <f t="shared" si="8"/>
        <v>0</v>
      </c>
      <c r="AX31" s="468"/>
      <c r="AY31" s="589">
        <v>-211215.17727299989</v>
      </c>
      <c r="AZ31" s="510">
        <f t="shared" si="9"/>
        <v>-825766.61630099977</v>
      </c>
      <c r="BA31" s="511">
        <f t="shared" si="10"/>
        <v>0</v>
      </c>
      <c r="BB31" s="460"/>
      <c r="BC31" s="464">
        <f t="shared" si="1"/>
        <v>0</v>
      </c>
    </row>
    <row r="32" spans="1:55" ht="15">
      <c r="A32" s="431">
        <v>26</v>
      </c>
      <c r="B32" s="431">
        <v>18</v>
      </c>
      <c r="C32" t="s">
        <v>197</v>
      </c>
      <c r="D32" t="s">
        <v>841</v>
      </c>
      <c r="E32" s="372">
        <v>0</v>
      </c>
      <c r="F32" s="372">
        <v>-84436.187971999869</v>
      </c>
      <c r="G32" s="377">
        <v>-194675.31038400007</v>
      </c>
      <c r="H32" s="590">
        <v>-214201.25132799998</v>
      </c>
      <c r="I32" s="358">
        <f t="shared" si="2"/>
        <v>-493312.74968399992</v>
      </c>
      <c r="K32" s="66">
        <f t="shared" si="0"/>
        <v>0</v>
      </c>
      <c r="L32" s="66"/>
      <c r="M32" s="431">
        <v>26</v>
      </c>
      <c r="N32" s="431">
        <v>18</v>
      </c>
      <c r="O32" s="443" t="s">
        <v>197</v>
      </c>
      <c r="P32" s="443" t="s">
        <v>841</v>
      </c>
      <c r="Q32" s="203">
        <v>-214201.25132799998</v>
      </c>
      <c r="R32" s="457" t="s">
        <v>2509</v>
      </c>
      <c r="S32" s="253"/>
      <c r="T32" s="159">
        <v>26</v>
      </c>
      <c r="U32" t="s">
        <v>197</v>
      </c>
      <c r="V32" t="s">
        <v>841</v>
      </c>
      <c r="W32" s="372">
        <v>-70205.77</v>
      </c>
      <c r="X32" s="372">
        <v>0</v>
      </c>
      <c r="Y32" s="377">
        <v>-84436.187971999869</v>
      </c>
      <c r="Z32" s="378">
        <v>-194675.31038400007</v>
      </c>
      <c r="AA32" s="358">
        <f t="shared" si="3"/>
        <v>-349317.26835599996</v>
      </c>
      <c r="AE32" s="159">
        <f t="shared" si="4"/>
        <v>0</v>
      </c>
      <c r="AG32" s="471" t="s">
        <v>197</v>
      </c>
      <c r="AH32" s="467" t="s">
        <v>841</v>
      </c>
      <c r="AI32" s="475">
        <v>-70205.77</v>
      </c>
      <c r="AJ32" s="475">
        <v>0</v>
      </c>
      <c r="AK32" s="476">
        <v>-84436.187971999869</v>
      </c>
      <c r="AL32" s="477">
        <v>-194675.31038400007</v>
      </c>
      <c r="AM32" s="478">
        <v>-349317.26835599996</v>
      </c>
      <c r="AN32" s="478"/>
      <c r="AO32" s="467"/>
      <c r="AP32" s="479">
        <f t="shared" si="5"/>
        <v>-279111.49835599994</v>
      </c>
      <c r="AQ32" s="467"/>
      <c r="AR32" s="467"/>
      <c r="AS32" s="509">
        <f t="shared" si="6"/>
        <v>0</v>
      </c>
      <c r="AT32" s="476">
        <v>-84436.187971999869</v>
      </c>
      <c r="AU32" s="477">
        <v>-194675.31038400007</v>
      </c>
      <c r="AV32" s="494">
        <f t="shared" si="7"/>
        <v>-279111.49835599994</v>
      </c>
      <c r="AW32" s="494">
        <f t="shared" si="8"/>
        <v>0</v>
      </c>
      <c r="AX32" s="468"/>
      <c r="AY32" s="589">
        <v>-214201.25132799998</v>
      </c>
      <c r="AZ32" s="510">
        <f t="shared" si="9"/>
        <v>-493312.74968399992</v>
      </c>
      <c r="BA32" s="511">
        <f t="shared" si="10"/>
        <v>0</v>
      </c>
      <c r="BB32" s="460"/>
      <c r="BC32" s="464">
        <f t="shared" si="1"/>
        <v>0</v>
      </c>
    </row>
    <row r="33" spans="1:55" ht="15">
      <c r="A33" s="431">
        <v>27</v>
      </c>
      <c r="B33" s="431">
        <v>45</v>
      </c>
      <c r="C33" t="s">
        <v>237</v>
      </c>
      <c r="D33" t="s">
        <v>859</v>
      </c>
      <c r="E33" s="372">
        <v>-207275.61330099992</v>
      </c>
      <c r="F33" s="372">
        <v>-83655.406346000032</v>
      </c>
      <c r="G33" s="377">
        <v>-273378.89721599978</v>
      </c>
      <c r="H33" s="590">
        <v>-269857.28955199954</v>
      </c>
      <c r="I33" s="358">
        <f t="shared" si="2"/>
        <v>-834167.20641499932</v>
      </c>
      <c r="K33" s="66">
        <f t="shared" si="0"/>
        <v>0</v>
      </c>
      <c r="L33" s="66"/>
      <c r="M33" s="431">
        <v>27</v>
      </c>
      <c r="N33" s="431">
        <v>45</v>
      </c>
      <c r="O33" s="443" t="s">
        <v>237</v>
      </c>
      <c r="P33" s="443" t="s">
        <v>859</v>
      </c>
      <c r="Q33" s="203">
        <v>-269857.28955199954</v>
      </c>
      <c r="R33" s="457" t="s">
        <v>2509</v>
      </c>
      <c r="S33" s="253"/>
      <c r="T33" s="159">
        <v>27</v>
      </c>
      <c r="U33" t="s">
        <v>237</v>
      </c>
      <c r="V33" t="s">
        <v>859</v>
      </c>
      <c r="W33" s="372">
        <v>-128129.53</v>
      </c>
      <c r="X33" s="372">
        <v>-207275.61330099992</v>
      </c>
      <c r="Y33" s="377">
        <v>-83655.406346000032</v>
      </c>
      <c r="Z33" s="378">
        <v>-273378.89721599978</v>
      </c>
      <c r="AA33" s="358">
        <f t="shared" si="3"/>
        <v>-692439.4468629997</v>
      </c>
      <c r="AE33" s="159">
        <f t="shared" si="4"/>
        <v>0</v>
      </c>
      <c r="AG33" s="471" t="s">
        <v>237</v>
      </c>
      <c r="AH33" s="467" t="s">
        <v>859</v>
      </c>
      <c r="AI33" s="475">
        <v>-128129.53</v>
      </c>
      <c r="AJ33" s="475">
        <v>-207275.61330099992</v>
      </c>
      <c r="AK33" s="476">
        <v>-83655.406346000032</v>
      </c>
      <c r="AL33" s="477">
        <v>-273378.89721599978</v>
      </c>
      <c r="AM33" s="478">
        <v>-692439.4468629997</v>
      </c>
      <c r="AN33" s="478"/>
      <c r="AO33" s="467"/>
      <c r="AP33" s="479">
        <f t="shared" si="5"/>
        <v>-564309.91686299979</v>
      </c>
      <c r="AQ33" s="467"/>
      <c r="AR33" s="467"/>
      <c r="AS33" s="509">
        <f t="shared" si="6"/>
        <v>-207275.61330099992</v>
      </c>
      <c r="AT33" s="476">
        <v>-83655.406346000032</v>
      </c>
      <c r="AU33" s="477">
        <v>-273378.89721599978</v>
      </c>
      <c r="AV33" s="494">
        <f t="shared" si="7"/>
        <v>-564309.91686299979</v>
      </c>
      <c r="AW33" s="494">
        <f t="shared" si="8"/>
        <v>0</v>
      </c>
      <c r="AX33" s="468"/>
      <c r="AY33" s="589">
        <v>-269857.28955199954</v>
      </c>
      <c r="AZ33" s="510">
        <f t="shared" si="9"/>
        <v>-834167.20641499932</v>
      </c>
      <c r="BA33" s="511">
        <f t="shared" si="10"/>
        <v>0</v>
      </c>
      <c r="BB33" s="460"/>
      <c r="BC33" s="464">
        <f t="shared" si="1"/>
        <v>0</v>
      </c>
    </row>
    <row r="34" spans="1:55" ht="15">
      <c r="A34" s="431">
        <v>28</v>
      </c>
      <c r="B34" s="431">
        <v>132</v>
      </c>
      <c r="C34" t="s">
        <v>1623</v>
      </c>
      <c r="D34" t="s">
        <v>1668</v>
      </c>
      <c r="E34" s="372">
        <v>-43384.610000000015</v>
      </c>
      <c r="F34" s="372">
        <v>-130405.96000000002</v>
      </c>
      <c r="G34" s="377">
        <v>-149926.76800000004</v>
      </c>
      <c r="H34" s="590">
        <v>-203190.90877600003</v>
      </c>
      <c r="I34" s="358">
        <f t="shared" si="2"/>
        <v>-526908.24677600013</v>
      </c>
      <c r="K34" s="66">
        <f t="shared" si="0"/>
        <v>0</v>
      </c>
      <c r="L34" s="66"/>
      <c r="M34" s="431">
        <v>28</v>
      </c>
      <c r="N34" s="431">
        <v>132</v>
      </c>
      <c r="O34" s="443" t="s">
        <v>1623</v>
      </c>
      <c r="P34" s="443" t="s">
        <v>1668</v>
      </c>
      <c r="Q34" s="203">
        <v>-203190.90877600003</v>
      </c>
      <c r="R34" s="457" t="s">
        <v>2509</v>
      </c>
      <c r="S34" s="253"/>
      <c r="T34" s="159">
        <v>28</v>
      </c>
      <c r="U34" t="s">
        <v>1623</v>
      </c>
      <c r="V34" t="s">
        <v>1668</v>
      </c>
      <c r="W34" s="372">
        <v>0</v>
      </c>
      <c r="X34" s="372">
        <v>-43384.610000000015</v>
      </c>
      <c r="Y34" s="377">
        <v>-130405.96000000002</v>
      </c>
      <c r="Z34" s="378">
        <v>-149926.76800000004</v>
      </c>
      <c r="AA34" s="358">
        <f t="shared" si="3"/>
        <v>-323717.33800000011</v>
      </c>
      <c r="AE34" s="159">
        <f t="shared" si="4"/>
        <v>0</v>
      </c>
      <c r="AG34" s="471" t="s">
        <v>1623</v>
      </c>
      <c r="AH34" s="467" t="s">
        <v>1668</v>
      </c>
      <c r="AI34" s="475">
        <v>0</v>
      </c>
      <c r="AJ34" s="475">
        <v>-43384.610000000015</v>
      </c>
      <c r="AK34" s="476">
        <v>-130405.96000000002</v>
      </c>
      <c r="AL34" s="477">
        <v>-149926.76800000004</v>
      </c>
      <c r="AM34" s="478">
        <v>-323717.33800000011</v>
      </c>
      <c r="AN34" s="478"/>
      <c r="AO34" s="467"/>
      <c r="AP34" s="479">
        <f t="shared" si="5"/>
        <v>-323717.33800000011</v>
      </c>
      <c r="AQ34" s="467"/>
      <c r="AR34" s="467"/>
      <c r="AS34" s="509">
        <f t="shared" si="6"/>
        <v>-43384.610000000015</v>
      </c>
      <c r="AT34" s="476">
        <v>-130405.96000000002</v>
      </c>
      <c r="AU34" s="477">
        <v>-149926.76800000004</v>
      </c>
      <c r="AV34" s="494">
        <f t="shared" si="7"/>
        <v>-323717.33800000011</v>
      </c>
      <c r="AW34" s="494">
        <f t="shared" si="8"/>
        <v>0</v>
      </c>
      <c r="AX34" s="468"/>
      <c r="AY34" s="589">
        <v>-203190.90877600003</v>
      </c>
      <c r="AZ34" s="510">
        <f t="shared" si="9"/>
        <v>-526908.24677600013</v>
      </c>
      <c r="BA34" s="511">
        <f t="shared" si="10"/>
        <v>0</v>
      </c>
      <c r="BB34" s="460"/>
      <c r="BC34" s="464">
        <f t="shared" si="1"/>
        <v>0</v>
      </c>
    </row>
    <row r="35" spans="1:55" ht="15">
      <c r="A35" s="431">
        <v>29</v>
      </c>
      <c r="B35" s="431">
        <v>142</v>
      </c>
      <c r="C35" t="s">
        <v>400</v>
      </c>
      <c r="D35" t="s">
        <v>934</v>
      </c>
      <c r="E35" s="372">
        <v>-40523.409775999986</v>
      </c>
      <c r="F35" s="372">
        <v>-22730.686418000005</v>
      </c>
      <c r="G35" s="377">
        <v>-24730.957110000007</v>
      </c>
      <c r="H35" s="590">
        <v>-53330.055547000011</v>
      </c>
      <c r="I35" s="358">
        <f t="shared" si="2"/>
        <v>-141315.10885100003</v>
      </c>
      <c r="K35" s="66">
        <f t="shared" si="0"/>
        <v>0</v>
      </c>
      <c r="L35" s="66"/>
      <c r="M35" s="431">
        <v>29</v>
      </c>
      <c r="N35" s="431">
        <v>142</v>
      </c>
      <c r="O35" s="443" t="s">
        <v>400</v>
      </c>
      <c r="P35" s="443" t="s">
        <v>934</v>
      </c>
      <c r="Q35" s="203">
        <v>-53330.055547000011</v>
      </c>
      <c r="R35" s="457" t="s">
        <v>2509</v>
      </c>
      <c r="S35" s="253"/>
      <c r="T35" s="159">
        <v>29</v>
      </c>
      <c r="U35" t="s">
        <v>400</v>
      </c>
      <c r="V35" t="s">
        <v>934</v>
      </c>
      <c r="W35" s="372">
        <v>-40912.629999999997</v>
      </c>
      <c r="X35" s="372">
        <v>-40523.409775999986</v>
      </c>
      <c r="Y35" s="377">
        <v>-22730.686418000005</v>
      </c>
      <c r="Z35" s="378">
        <v>-24730.957110000007</v>
      </c>
      <c r="AA35" s="358">
        <f t="shared" si="3"/>
        <v>-128897.68330399999</v>
      </c>
      <c r="AE35" s="159">
        <f t="shared" si="4"/>
        <v>0</v>
      </c>
      <c r="AG35" s="471" t="s">
        <v>400</v>
      </c>
      <c r="AH35" s="467" t="s">
        <v>934</v>
      </c>
      <c r="AI35" s="475">
        <v>-40912.629999999997</v>
      </c>
      <c r="AJ35" s="475">
        <v>-40523.409775999986</v>
      </c>
      <c r="AK35" s="476">
        <v>-22730.686418000005</v>
      </c>
      <c r="AL35" s="477">
        <v>-24730.957110000007</v>
      </c>
      <c r="AM35" s="478">
        <v>-128897.68330399999</v>
      </c>
      <c r="AN35" s="478"/>
      <c r="AO35" s="467"/>
      <c r="AP35" s="479">
        <f t="shared" si="5"/>
        <v>-87985.053304000001</v>
      </c>
      <c r="AQ35" s="467"/>
      <c r="AR35" s="467"/>
      <c r="AS35" s="509">
        <f t="shared" si="6"/>
        <v>-40523.409775999986</v>
      </c>
      <c r="AT35" s="476">
        <v>-22730.686418000005</v>
      </c>
      <c r="AU35" s="477">
        <v>-24730.957110000007</v>
      </c>
      <c r="AV35" s="494">
        <f t="shared" si="7"/>
        <v>-87985.053304000001</v>
      </c>
      <c r="AW35" s="494">
        <f t="shared" si="8"/>
        <v>0</v>
      </c>
      <c r="AX35" s="468"/>
      <c r="AY35" s="589">
        <v>-53330.055547000011</v>
      </c>
      <c r="AZ35" s="510">
        <f t="shared" si="9"/>
        <v>-141315.10885100003</v>
      </c>
      <c r="BA35" s="511">
        <f t="shared" si="10"/>
        <v>0</v>
      </c>
      <c r="BB35" s="460"/>
      <c r="BC35" s="464">
        <f t="shared" si="1"/>
        <v>0</v>
      </c>
    </row>
    <row r="36" spans="1:55" ht="15">
      <c r="A36" s="431">
        <v>30</v>
      </c>
      <c r="B36" s="431">
        <v>129</v>
      </c>
      <c r="C36" t="s">
        <v>380</v>
      </c>
      <c r="D36" t="s">
        <v>927</v>
      </c>
      <c r="E36" s="372">
        <v>0</v>
      </c>
      <c r="F36" s="372">
        <v>0</v>
      </c>
      <c r="G36" s="377">
        <v>-625100.37693264801</v>
      </c>
      <c r="H36" s="590">
        <v>-476633.33335200045</v>
      </c>
      <c r="I36" s="358">
        <f t="shared" si="2"/>
        <v>-1101733.7102846485</v>
      </c>
      <c r="K36" s="66">
        <f t="shared" si="0"/>
        <v>0</v>
      </c>
      <c r="L36" s="66"/>
      <c r="M36" s="431">
        <v>30</v>
      </c>
      <c r="N36" s="431">
        <v>129</v>
      </c>
      <c r="O36" s="443" t="s">
        <v>380</v>
      </c>
      <c r="P36" s="443" t="s">
        <v>927</v>
      </c>
      <c r="Q36" s="203">
        <v>-476633.33335200045</v>
      </c>
      <c r="R36" s="457" t="s">
        <v>2509</v>
      </c>
      <c r="S36" s="253"/>
      <c r="T36" s="159">
        <v>30</v>
      </c>
      <c r="U36" t="s">
        <v>380</v>
      </c>
      <c r="V36" t="s">
        <v>927</v>
      </c>
      <c r="W36" s="372">
        <v>-931076.5</v>
      </c>
      <c r="X36" s="372">
        <v>0</v>
      </c>
      <c r="Y36" s="377">
        <v>0</v>
      </c>
      <c r="Z36" s="378">
        <v>-625100.37693264801</v>
      </c>
      <c r="AA36" s="358">
        <f t="shared" si="3"/>
        <v>-1556176.876932648</v>
      </c>
      <c r="AE36" s="159">
        <f t="shared" si="4"/>
        <v>0</v>
      </c>
      <c r="AG36" s="471" t="s">
        <v>380</v>
      </c>
      <c r="AH36" s="467" t="s">
        <v>927</v>
      </c>
      <c r="AI36" s="475">
        <v>-931076.5</v>
      </c>
      <c r="AJ36" s="475">
        <v>0</v>
      </c>
      <c r="AK36" s="476">
        <v>0</v>
      </c>
      <c r="AL36" s="477">
        <v>-625100.37693264801</v>
      </c>
      <c r="AM36" s="478">
        <v>-1556176.876932648</v>
      </c>
      <c r="AN36" s="478"/>
      <c r="AO36" s="467"/>
      <c r="AP36" s="479">
        <f t="shared" si="5"/>
        <v>-625100.37693264801</v>
      </c>
      <c r="AQ36" s="467"/>
      <c r="AR36" s="467"/>
      <c r="AS36" s="509">
        <f t="shared" si="6"/>
        <v>0</v>
      </c>
      <c r="AT36" s="476">
        <v>0</v>
      </c>
      <c r="AU36" s="477">
        <v>-625100.37693264801</v>
      </c>
      <c r="AV36" s="494">
        <f t="shared" si="7"/>
        <v>-625100.37693264801</v>
      </c>
      <c r="AW36" s="494">
        <f t="shared" si="8"/>
        <v>0</v>
      </c>
      <c r="AX36" s="468"/>
      <c r="AY36" s="589">
        <v>-476633.33335200045</v>
      </c>
      <c r="AZ36" s="510">
        <f t="shared" si="9"/>
        <v>-1101733.7102846485</v>
      </c>
      <c r="BA36" s="511">
        <f t="shared" si="10"/>
        <v>0</v>
      </c>
      <c r="BB36" s="460"/>
      <c r="BC36" s="464">
        <f t="shared" si="1"/>
        <v>0</v>
      </c>
    </row>
    <row r="37" spans="1:55" ht="15">
      <c r="A37" s="431">
        <v>31</v>
      </c>
      <c r="B37" s="431">
        <v>250</v>
      </c>
      <c r="C37" t="s">
        <v>604</v>
      </c>
      <c r="D37" t="s">
        <v>1021</v>
      </c>
      <c r="E37" s="372">
        <v>-768268.2621469656</v>
      </c>
      <c r="F37" s="372">
        <v>-512179.25181511603</v>
      </c>
      <c r="G37" s="377">
        <v>-1622309.0394115387</v>
      </c>
      <c r="H37" s="590">
        <v>-1780807.6101549994</v>
      </c>
      <c r="I37" s="358">
        <f t="shared" si="2"/>
        <v>-4683564.1635286193</v>
      </c>
      <c r="K37" s="66">
        <f t="shared" si="0"/>
        <v>0</v>
      </c>
      <c r="L37" s="66"/>
      <c r="M37" s="431">
        <v>31</v>
      </c>
      <c r="N37" s="431">
        <v>250</v>
      </c>
      <c r="O37" s="443" t="s">
        <v>604</v>
      </c>
      <c r="P37" s="443" t="s">
        <v>1021</v>
      </c>
      <c r="Q37" s="203">
        <v>-1780807.6101549994</v>
      </c>
      <c r="R37" s="457" t="s">
        <v>2509</v>
      </c>
      <c r="S37" s="253"/>
      <c r="T37" s="159">
        <v>31</v>
      </c>
      <c r="U37" t="s">
        <v>604</v>
      </c>
      <c r="V37" t="s">
        <v>1021</v>
      </c>
      <c r="W37" s="372">
        <v>-1736495.04</v>
      </c>
      <c r="X37" s="372">
        <v>-768268.2621469656</v>
      </c>
      <c r="Y37" s="377">
        <v>-512179.25181511603</v>
      </c>
      <c r="Z37" s="378">
        <v>-1622309.0394115387</v>
      </c>
      <c r="AA37" s="358">
        <f t="shared" si="3"/>
        <v>-4639251.5933736209</v>
      </c>
      <c r="AE37" s="159">
        <f t="shared" si="4"/>
        <v>0</v>
      </c>
      <c r="AG37" s="471" t="s">
        <v>604</v>
      </c>
      <c r="AH37" s="467" t="s">
        <v>1021</v>
      </c>
      <c r="AI37" s="475">
        <v>-1736495.04</v>
      </c>
      <c r="AJ37" s="475">
        <v>-768268.2621469656</v>
      </c>
      <c r="AK37" s="476">
        <v>-512179.25181511603</v>
      </c>
      <c r="AL37" s="477">
        <v>-1622309.0394115387</v>
      </c>
      <c r="AM37" s="478">
        <v>-4639251.5933736209</v>
      </c>
      <c r="AN37" s="478"/>
      <c r="AO37" s="467"/>
      <c r="AP37" s="479">
        <f t="shared" si="5"/>
        <v>-2902756.5533736204</v>
      </c>
      <c r="AQ37" s="467"/>
      <c r="AR37" s="467"/>
      <c r="AS37" s="509">
        <f t="shared" si="6"/>
        <v>-768268.2621469656</v>
      </c>
      <c r="AT37" s="476">
        <v>-512179.25181511603</v>
      </c>
      <c r="AU37" s="477">
        <v>-1622309.0394115387</v>
      </c>
      <c r="AV37" s="494">
        <f t="shared" si="7"/>
        <v>-2902756.5533736204</v>
      </c>
      <c r="AW37" s="494">
        <f t="shared" si="8"/>
        <v>0</v>
      </c>
      <c r="AX37" s="468"/>
      <c r="AY37" s="589">
        <v>-1780807.6101549994</v>
      </c>
      <c r="AZ37" s="510">
        <f t="shared" si="9"/>
        <v>-4683564.1635286193</v>
      </c>
      <c r="BA37" s="511">
        <f t="shared" si="10"/>
        <v>0</v>
      </c>
      <c r="BB37" s="460"/>
      <c r="BC37" s="464">
        <f t="shared" si="1"/>
        <v>0</v>
      </c>
    </row>
    <row r="38" spans="1:55" ht="15">
      <c r="A38" s="431">
        <v>32</v>
      </c>
      <c r="B38" s="431">
        <v>162</v>
      </c>
      <c r="C38" t="s">
        <v>440</v>
      </c>
      <c r="D38" t="s">
        <v>950</v>
      </c>
      <c r="E38" s="372">
        <v>-84571.894191999891</v>
      </c>
      <c r="F38" s="372">
        <v>-380414.14929200034</v>
      </c>
      <c r="G38" s="377">
        <v>-86713.760662000335</v>
      </c>
      <c r="H38" s="590">
        <v>-1633.4222079999745</v>
      </c>
      <c r="I38" s="358">
        <f t="shared" si="2"/>
        <v>-553333.22635400062</v>
      </c>
      <c r="K38" s="66">
        <f t="shared" si="0"/>
        <v>0</v>
      </c>
      <c r="L38" s="66"/>
      <c r="M38" s="431">
        <v>32</v>
      </c>
      <c r="N38" s="431">
        <v>162</v>
      </c>
      <c r="O38" s="443" t="s">
        <v>440</v>
      </c>
      <c r="P38" s="443" t="s">
        <v>950</v>
      </c>
      <c r="Q38" s="203">
        <v>-1633.4222079999745</v>
      </c>
      <c r="R38" s="457" t="s">
        <v>2509</v>
      </c>
      <c r="S38" s="253"/>
      <c r="T38" s="159">
        <v>32</v>
      </c>
      <c r="U38" t="s">
        <v>440</v>
      </c>
      <c r="V38" t="s">
        <v>950</v>
      </c>
      <c r="W38" s="372">
        <v>-377334.31</v>
      </c>
      <c r="X38" s="372">
        <v>-84571.894191999891</v>
      </c>
      <c r="Y38" s="377">
        <v>-380414.14929200034</v>
      </c>
      <c r="Z38" s="378">
        <v>-86713.760662000335</v>
      </c>
      <c r="AA38" s="358">
        <f t="shared" si="3"/>
        <v>-929034.11414600047</v>
      </c>
      <c r="AE38" s="159">
        <f t="shared" si="4"/>
        <v>0</v>
      </c>
      <c r="AG38" s="471" t="s">
        <v>440</v>
      </c>
      <c r="AH38" s="467" t="s">
        <v>950</v>
      </c>
      <c r="AI38" s="475">
        <v>-377334.31</v>
      </c>
      <c r="AJ38" s="475">
        <v>-84571.894191999891</v>
      </c>
      <c r="AK38" s="476">
        <v>-380414.14929200034</v>
      </c>
      <c r="AL38" s="477">
        <v>-86713.760662000335</v>
      </c>
      <c r="AM38" s="478">
        <v>-929034.11414600047</v>
      </c>
      <c r="AN38" s="478"/>
      <c r="AO38" s="467"/>
      <c r="AP38" s="479">
        <f t="shared" si="5"/>
        <v>-551699.80414600065</v>
      </c>
      <c r="AQ38" s="467"/>
      <c r="AR38" s="467"/>
      <c r="AS38" s="509">
        <f t="shared" si="6"/>
        <v>-84571.894191999891</v>
      </c>
      <c r="AT38" s="476">
        <v>-380414.14929200034</v>
      </c>
      <c r="AU38" s="477">
        <v>-86713.760662000335</v>
      </c>
      <c r="AV38" s="494">
        <f t="shared" si="7"/>
        <v>-551699.80414600065</v>
      </c>
      <c r="AW38" s="494">
        <f t="shared" si="8"/>
        <v>0</v>
      </c>
      <c r="AX38" s="468"/>
      <c r="AY38" s="589">
        <v>-1633.4222079999745</v>
      </c>
      <c r="AZ38" s="510">
        <f t="shared" si="9"/>
        <v>-553333.22635400062</v>
      </c>
      <c r="BA38" s="511">
        <f t="shared" si="10"/>
        <v>0</v>
      </c>
      <c r="BB38" s="460"/>
      <c r="BC38" s="464">
        <f t="shared" si="1"/>
        <v>0</v>
      </c>
    </row>
    <row r="39" spans="1:55" ht="15">
      <c r="A39" s="431">
        <v>33</v>
      </c>
      <c r="B39" s="431">
        <v>160</v>
      </c>
      <c r="C39" t="s">
        <v>436</v>
      </c>
      <c r="D39" t="s">
        <v>948</v>
      </c>
      <c r="E39" s="372">
        <v>-9375.60752399989</v>
      </c>
      <c r="F39" s="372">
        <v>0</v>
      </c>
      <c r="G39" s="377">
        <v>-40433.247279999923</v>
      </c>
      <c r="H39" s="590">
        <v>-70120.824408999877</v>
      </c>
      <c r="I39" s="358">
        <f t="shared" si="2"/>
        <v>-119929.67921299969</v>
      </c>
      <c r="K39" s="66">
        <f t="shared" ref="K39:K68" si="11">+O39-C39</f>
        <v>0</v>
      </c>
      <c r="L39" s="66"/>
      <c r="M39" s="431">
        <v>33</v>
      </c>
      <c r="N39" s="431">
        <v>160</v>
      </c>
      <c r="O39" s="443" t="s">
        <v>436</v>
      </c>
      <c r="P39" s="443" t="s">
        <v>948</v>
      </c>
      <c r="Q39" s="203">
        <v>-70120.824408999877</v>
      </c>
      <c r="R39" s="457" t="s">
        <v>2509</v>
      </c>
      <c r="S39" s="253"/>
      <c r="T39" s="159">
        <v>33</v>
      </c>
      <c r="U39" t="s">
        <v>436</v>
      </c>
      <c r="V39" t="s">
        <v>948</v>
      </c>
      <c r="W39" s="372">
        <v>-217487.89</v>
      </c>
      <c r="X39" s="372">
        <v>-9375.60752399989</v>
      </c>
      <c r="Y39" s="377">
        <v>0</v>
      </c>
      <c r="Z39" s="378">
        <v>-40433.247279999923</v>
      </c>
      <c r="AA39" s="358">
        <f t="shared" si="3"/>
        <v>-267296.74480399978</v>
      </c>
      <c r="AE39" s="159">
        <f t="shared" si="4"/>
        <v>0</v>
      </c>
      <c r="AG39" s="471" t="s">
        <v>436</v>
      </c>
      <c r="AH39" s="467" t="s">
        <v>948</v>
      </c>
      <c r="AI39" s="475">
        <v>-217487.89</v>
      </c>
      <c r="AJ39" s="475">
        <v>-9375.60752399989</v>
      </c>
      <c r="AK39" s="476">
        <v>0</v>
      </c>
      <c r="AL39" s="477">
        <v>-40433.247279999923</v>
      </c>
      <c r="AM39" s="478">
        <v>-267296.74480399978</v>
      </c>
      <c r="AN39" s="478"/>
      <c r="AO39" s="467"/>
      <c r="AP39" s="479">
        <f t="shared" si="5"/>
        <v>-49808.854803999813</v>
      </c>
      <c r="AQ39" s="467"/>
      <c r="AR39" s="467"/>
      <c r="AS39" s="509">
        <f t="shared" si="6"/>
        <v>-9375.60752399989</v>
      </c>
      <c r="AT39" s="476">
        <v>0</v>
      </c>
      <c r="AU39" s="477">
        <v>-40433.247279999923</v>
      </c>
      <c r="AV39" s="494">
        <f t="shared" si="7"/>
        <v>-49808.854803999813</v>
      </c>
      <c r="AW39" s="494">
        <f t="shared" si="8"/>
        <v>0</v>
      </c>
      <c r="AX39" s="468"/>
      <c r="AY39" s="589">
        <v>-70120.824408999877</v>
      </c>
      <c r="AZ39" s="510">
        <f t="shared" si="9"/>
        <v>-119929.67921299969</v>
      </c>
      <c r="BA39" s="511">
        <f t="shared" si="10"/>
        <v>0</v>
      </c>
      <c r="BB39" s="460"/>
      <c r="BC39" s="464">
        <f t="shared" si="1"/>
        <v>0</v>
      </c>
    </row>
    <row r="40" spans="1:55" ht="15">
      <c r="A40" s="431">
        <v>34</v>
      </c>
      <c r="B40" s="431">
        <v>252</v>
      </c>
      <c r="C40" t="s">
        <v>608</v>
      </c>
      <c r="D40" t="s">
        <v>1023</v>
      </c>
      <c r="E40" s="372">
        <v>-709933.112035</v>
      </c>
      <c r="F40" s="372">
        <v>-14194.510954023339</v>
      </c>
      <c r="G40" s="377">
        <v>-547470.411867243</v>
      </c>
      <c r="H40" s="590">
        <v>-1138589.7474610009</v>
      </c>
      <c r="I40" s="358">
        <f t="shared" si="2"/>
        <v>-2410187.7823172673</v>
      </c>
      <c r="K40" s="66">
        <f t="shared" si="11"/>
        <v>0</v>
      </c>
      <c r="L40" s="66"/>
      <c r="M40" s="431">
        <v>34</v>
      </c>
      <c r="N40" s="431">
        <v>252</v>
      </c>
      <c r="O40" s="443" t="s">
        <v>608</v>
      </c>
      <c r="P40" s="443" t="s">
        <v>1023</v>
      </c>
      <c r="Q40" s="203">
        <v>-1138589.7474610009</v>
      </c>
      <c r="R40" s="457" t="s">
        <v>2509</v>
      </c>
      <c r="S40" s="253"/>
      <c r="T40" s="159">
        <v>34</v>
      </c>
      <c r="U40" t="s">
        <v>608</v>
      </c>
      <c r="V40" t="s">
        <v>1023</v>
      </c>
      <c r="W40" s="372">
        <v>-643208.19999999995</v>
      </c>
      <c r="X40" s="372">
        <v>-709933.112035</v>
      </c>
      <c r="Y40" s="377">
        <v>-14194.510954023339</v>
      </c>
      <c r="Z40" s="378">
        <v>-547470.411867243</v>
      </c>
      <c r="AA40" s="358">
        <f t="shared" si="3"/>
        <v>-1914806.2348562663</v>
      </c>
      <c r="AE40" s="159">
        <f t="shared" si="4"/>
        <v>0</v>
      </c>
      <c r="AG40" s="471" t="s">
        <v>608</v>
      </c>
      <c r="AH40" s="467" t="s">
        <v>1023</v>
      </c>
      <c r="AI40" s="475">
        <v>-643208.19999999995</v>
      </c>
      <c r="AJ40" s="475">
        <v>-709933.112035</v>
      </c>
      <c r="AK40" s="476">
        <v>-14194.510954023339</v>
      </c>
      <c r="AL40" s="477">
        <v>-547470.411867243</v>
      </c>
      <c r="AM40" s="478">
        <v>-1914806.2348562663</v>
      </c>
      <c r="AN40" s="478"/>
      <c r="AO40" s="467"/>
      <c r="AP40" s="479">
        <f t="shared" si="5"/>
        <v>-1271598.0348562663</v>
      </c>
      <c r="AQ40" s="467"/>
      <c r="AR40" s="467"/>
      <c r="AS40" s="509">
        <f t="shared" si="6"/>
        <v>-709933.112035</v>
      </c>
      <c r="AT40" s="476">
        <v>-14194.510954023339</v>
      </c>
      <c r="AU40" s="477">
        <v>-547470.411867243</v>
      </c>
      <c r="AV40" s="494">
        <f t="shared" si="7"/>
        <v>-1271598.0348562663</v>
      </c>
      <c r="AW40" s="494">
        <f t="shared" si="8"/>
        <v>0</v>
      </c>
      <c r="AX40" s="468"/>
      <c r="AY40" s="589">
        <v>-1138589.7474610009</v>
      </c>
      <c r="AZ40" s="510">
        <f t="shared" si="9"/>
        <v>-2410187.7823172673</v>
      </c>
      <c r="BA40" s="511">
        <f t="shared" si="10"/>
        <v>0</v>
      </c>
      <c r="BB40" s="460"/>
      <c r="BC40" s="464">
        <f t="shared" si="1"/>
        <v>0</v>
      </c>
    </row>
    <row r="41" spans="1:55" ht="15">
      <c r="A41" s="431">
        <v>35</v>
      </c>
      <c r="B41" s="431">
        <v>263</v>
      </c>
      <c r="C41" t="s">
        <v>620</v>
      </c>
      <c r="D41" t="s">
        <v>1028</v>
      </c>
      <c r="E41" s="372">
        <v>-20405.357927999979</v>
      </c>
      <c r="F41" s="372">
        <v>-16929.178593769262</v>
      </c>
      <c r="G41" s="377">
        <v>-19203.389098937558</v>
      </c>
      <c r="H41" s="590">
        <v>-18209.014024000091</v>
      </c>
      <c r="I41" s="358">
        <f t="shared" si="2"/>
        <v>-74746.939644706901</v>
      </c>
      <c r="K41" s="66">
        <f t="shared" si="11"/>
        <v>0</v>
      </c>
      <c r="L41" s="66"/>
      <c r="M41" s="431">
        <v>35</v>
      </c>
      <c r="N41" s="431">
        <v>263</v>
      </c>
      <c r="O41" s="443" t="s">
        <v>620</v>
      </c>
      <c r="P41" s="443" t="s">
        <v>1028</v>
      </c>
      <c r="Q41" s="203">
        <v>-18209.014024000091</v>
      </c>
      <c r="R41" s="457" t="s">
        <v>2509</v>
      </c>
      <c r="S41" s="253"/>
      <c r="T41" s="159">
        <v>35</v>
      </c>
      <c r="U41" t="s">
        <v>620</v>
      </c>
      <c r="V41" t="s">
        <v>1028</v>
      </c>
      <c r="W41" s="372">
        <v>-4469.66</v>
      </c>
      <c r="X41" s="372">
        <v>-20405.357927999979</v>
      </c>
      <c r="Y41" s="377">
        <v>-16929.178593769262</v>
      </c>
      <c r="Z41" s="378">
        <v>-19203.389098937558</v>
      </c>
      <c r="AA41" s="358">
        <f t="shared" si="3"/>
        <v>-61007.585620706799</v>
      </c>
      <c r="AE41" s="159">
        <f t="shared" si="4"/>
        <v>0</v>
      </c>
      <c r="AG41" s="471" t="s">
        <v>620</v>
      </c>
      <c r="AH41" s="467" t="s">
        <v>1028</v>
      </c>
      <c r="AI41" s="475">
        <v>-4469.66</v>
      </c>
      <c r="AJ41" s="475">
        <v>-20405.357927999979</v>
      </c>
      <c r="AK41" s="476">
        <v>-16929.178593769262</v>
      </c>
      <c r="AL41" s="477">
        <v>-19203.389098937558</v>
      </c>
      <c r="AM41" s="478">
        <v>-61007.585620706799</v>
      </c>
      <c r="AN41" s="478"/>
      <c r="AO41" s="467"/>
      <c r="AP41" s="479">
        <f t="shared" si="5"/>
        <v>-56537.925620706803</v>
      </c>
      <c r="AQ41" s="467"/>
      <c r="AR41" s="467"/>
      <c r="AS41" s="509">
        <f t="shared" si="6"/>
        <v>-20405.357927999979</v>
      </c>
      <c r="AT41" s="476">
        <v>-16929.178593769262</v>
      </c>
      <c r="AU41" s="477">
        <v>-19203.389098937558</v>
      </c>
      <c r="AV41" s="494">
        <f t="shared" si="7"/>
        <v>-56537.925620706803</v>
      </c>
      <c r="AW41" s="494">
        <f t="shared" si="8"/>
        <v>0</v>
      </c>
      <c r="AX41" s="468"/>
      <c r="AY41" s="589">
        <v>-18209.014024000091</v>
      </c>
      <c r="AZ41" s="510">
        <f t="shared" si="9"/>
        <v>-74746.939644706901</v>
      </c>
      <c r="BA41" s="511">
        <f t="shared" si="10"/>
        <v>0</v>
      </c>
      <c r="BB41" s="460"/>
      <c r="BC41" s="464">
        <f t="shared" si="1"/>
        <v>0</v>
      </c>
    </row>
    <row r="42" spans="1:55" ht="15">
      <c r="A42" s="431">
        <v>36</v>
      </c>
      <c r="B42" s="431">
        <v>211</v>
      </c>
      <c r="C42" s="349" t="s">
        <v>1553</v>
      </c>
      <c r="D42" s="350" t="s">
        <v>1594</v>
      </c>
      <c r="E42" s="379">
        <v>0</v>
      </c>
      <c r="F42" s="373"/>
      <c r="G42" s="377">
        <v>-28700.056000000041</v>
      </c>
      <c r="H42" s="590">
        <v>-63349.340360000147</v>
      </c>
      <c r="I42" s="358">
        <f t="shared" si="2"/>
        <v>-92049.396360000188</v>
      </c>
      <c r="K42" s="66">
        <f t="shared" si="11"/>
        <v>0</v>
      </c>
      <c r="L42" s="66"/>
      <c r="M42" s="431">
        <v>36</v>
      </c>
      <c r="N42" s="431">
        <v>211</v>
      </c>
      <c r="O42" s="443" t="s">
        <v>1553</v>
      </c>
      <c r="P42" s="443" t="s">
        <v>1594</v>
      </c>
      <c r="Q42" s="203">
        <v>-63349.340360000147</v>
      </c>
      <c r="R42" s="457" t="s">
        <v>2509</v>
      </c>
      <c r="S42" s="253"/>
      <c r="T42" s="159">
        <v>36</v>
      </c>
      <c r="U42" s="349" t="s">
        <v>1553</v>
      </c>
      <c r="V42" s="350" t="s">
        <v>1594</v>
      </c>
      <c r="W42" s="379">
        <v>0</v>
      </c>
      <c r="X42" s="373"/>
      <c r="Y42" s="377"/>
      <c r="Z42" s="378">
        <v>-28700.056000000041</v>
      </c>
      <c r="AA42" s="358">
        <f t="shared" si="3"/>
        <v>-28700.056000000041</v>
      </c>
      <c r="AE42" s="159">
        <f t="shared" si="4"/>
        <v>0</v>
      </c>
      <c r="AG42" s="471" t="s">
        <v>1553</v>
      </c>
      <c r="AH42" s="467" t="s">
        <v>1594</v>
      </c>
      <c r="AI42" s="487">
        <v>0</v>
      </c>
      <c r="AJ42" s="488"/>
      <c r="AK42" s="476"/>
      <c r="AL42" s="477">
        <v>-28700.056000000041</v>
      </c>
      <c r="AM42" s="478">
        <v>-28700.056000000041</v>
      </c>
      <c r="AN42" s="478"/>
      <c r="AO42" s="467"/>
      <c r="AP42" s="479">
        <f t="shared" si="5"/>
        <v>-28700.056000000041</v>
      </c>
      <c r="AQ42" s="467"/>
      <c r="AR42" s="467"/>
      <c r="AS42" s="509">
        <f t="shared" si="6"/>
        <v>0</v>
      </c>
      <c r="AT42" s="476"/>
      <c r="AU42" s="477">
        <v>-28700.056000000041</v>
      </c>
      <c r="AV42" s="494">
        <f t="shared" si="7"/>
        <v>-28700.056000000041</v>
      </c>
      <c r="AW42" s="494">
        <f t="shared" si="8"/>
        <v>0</v>
      </c>
      <c r="AX42" s="468"/>
      <c r="AY42" s="589">
        <v>-63349.340360000147</v>
      </c>
      <c r="AZ42" s="510">
        <f t="shared" si="9"/>
        <v>-92049.396360000188</v>
      </c>
      <c r="BA42" s="511">
        <f t="shared" si="10"/>
        <v>0</v>
      </c>
      <c r="BB42" s="460"/>
      <c r="BC42" s="464">
        <f t="shared" si="1"/>
        <v>0</v>
      </c>
    </row>
    <row r="43" spans="1:55" ht="15">
      <c r="A43" s="431">
        <v>37</v>
      </c>
      <c r="B43" s="431">
        <v>95</v>
      </c>
      <c r="C43" t="s">
        <v>334</v>
      </c>
      <c r="D43" t="s">
        <v>904</v>
      </c>
      <c r="E43" s="372">
        <v>-285151.61338900006</v>
      </c>
      <c r="F43" s="372">
        <v>-229921.42109599995</v>
      </c>
      <c r="G43" s="377">
        <v>-212373.66748800001</v>
      </c>
      <c r="H43" s="590">
        <v>-263113.05031999992</v>
      </c>
      <c r="I43" s="358">
        <f t="shared" si="2"/>
        <v>-990559.752293</v>
      </c>
      <c r="K43" s="66">
        <f t="shared" si="11"/>
        <v>0</v>
      </c>
      <c r="L43" s="66"/>
      <c r="M43" s="431">
        <v>37</v>
      </c>
      <c r="N43" s="431">
        <v>95</v>
      </c>
      <c r="O43" s="443" t="s">
        <v>334</v>
      </c>
      <c r="P43" s="443" t="s">
        <v>904</v>
      </c>
      <c r="Q43" s="203">
        <v>-263113.05031999992</v>
      </c>
      <c r="R43" s="457" t="s">
        <v>2509</v>
      </c>
      <c r="S43" s="253"/>
      <c r="T43" s="159">
        <v>37</v>
      </c>
      <c r="U43" t="s">
        <v>334</v>
      </c>
      <c r="V43" t="s">
        <v>904</v>
      </c>
      <c r="W43" s="372">
        <v>-219153.48</v>
      </c>
      <c r="X43" s="372">
        <v>-285151.61338900006</v>
      </c>
      <c r="Y43" s="377">
        <v>-229921.42109599995</v>
      </c>
      <c r="Z43" s="378">
        <v>-212373.66748800001</v>
      </c>
      <c r="AA43" s="358">
        <f t="shared" si="3"/>
        <v>-946600.18197299994</v>
      </c>
      <c r="AE43" s="159">
        <f t="shared" si="4"/>
        <v>0</v>
      </c>
      <c r="AG43" s="471" t="s">
        <v>334</v>
      </c>
      <c r="AH43" s="467" t="s">
        <v>904</v>
      </c>
      <c r="AI43" s="475">
        <v>-219153.48</v>
      </c>
      <c r="AJ43" s="475">
        <v>-285151.61338900006</v>
      </c>
      <c r="AK43" s="476">
        <v>-229921.42109599995</v>
      </c>
      <c r="AL43" s="477">
        <v>-212373.66748800001</v>
      </c>
      <c r="AM43" s="478">
        <v>-946600.18197299994</v>
      </c>
      <c r="AN43" s="478"/>
      <c r="AO43" s="467"/>
      <c r="AP43" s="479">
        <f t="shared" si="5"/>
        <v>-727446.70197300008</v>
      </c>
      <c r="AQ43" s="467"/>
      <c r="AR43" s="467"/>
      <c r="AS43" s="509">
        <f t="shared" si="6"/>
        <v>-285151.61338900006</v>
      </c>
      <c r="AT43" s="476">
        <v>-229921.42109599995</v>
      </c>
      <c r="AU43" s="477">
        <v>-212373.66748800001</v>
      </c>
      <c r="AV43" s="494">
        <f t="shared" si="7"/>
        <v>-727446.70197300008</v>
      </c>
      <c r="AW43" s="494">
        <f t="shared" si="8"/>
        <v>0</v>
      </c>
      <c r="AX43" s="468"/>
      <c r="AY43" s="589">
        <v>-263113.05031999992</v>
      </c>
      <c r="AZ43" s="510">
        <f t="shared" si="9"/>
        <v>-990559.752293</v>
      </c>
      <c r="BA43" s="511">
        <f t="shared" si="10"/>
        <v>0</v>
      </c>
      <c r="BB43" s="460"/>
      <c r="BC43" s="464">
        <f t="shared" si="1"/>
        <v>0</v>
      </c>
    </row>
    <row r="44" spans="1:55" ht="15">
      <c r="A44" s="431">
        <v>38</v>
      </c>
      <c r="B44" s="431">
        <v>6</v>
      </c>
      <c r="C44" t="s">
        <v>173</v>
      </c>
      <c r="D44" t="s">
        <v>832</v>
      </c>
      <c r="E44" s="372">
        <v>-243992.40708726351</v>
      </c>
      <c r="F44" s="372">
        <v>4300.6206054862123</v>
      </c>
      <c r="G44" s="377">
        <v>-83545.67927531607</v>
      </c>
      <c r="H44" s="590">
        <v>-251607.10436</v>
      </c>
      <c r="I44" s="358">
        <f t="shared" si="2"/>
        <v>-574844.57011709339</v>
      </c>
      <c r="K44" s="66">
        <f t="shared" si="11"/>
        <v>0</v>
      </c>
      <c r="L44" s="66"/>
      <c r="M44" s="431">
        <v>38</v>
      </c>
      <c r="N44" s="431">
        <v>6</v>
      </c>
      <c r="O44" s="443" t="s">
        <v>173</v>
      </c>
      <c r="P44" s="443" t="s">
        <v>832</v>
      </c>
      <c r="Q44" s="203">
        <v>-251607.10436</v>
      </c>
      <c r="R44" s="457" t="s">
        <v>2509</v>
      </c>
      <c r="S44" s="253"/>
      <c r="T44" s="159">
        <v>38</v>
      </c>
      <c r="U44" t="s">
        <v>173</v>
      </c>
      <c r="V44" t="s">
        <v>832</v>
      </c>
      <c r="W44" s="372">
        <v>-424904.4</v>
      </c>
      <c r="X44" s="372">
        <v>-243992.40708726351</v>
      </c>
      <c r="Y44" s="377">
        <v>4300.6206054862123</v>
      </c>
      <c r="Z44" s="378">
        <v>-83545.67927531607</v>
      </c>
      <c r="AA44" s="358">
        <f t="shared" si="3"/>
        <v>-748141.86575709342</v>
      </c>
      <c r="AE44" s="159">
        <f t="shared" si="4"/>
        <v>0</v>
      </c>
      <c r="AG44" s="471" t="s">
        <v>173</v>
      </c>
      <c r="AH44" s="467" t="s">
        <v>832</v>
      </c>
      <c r="AI44" s="475">
        <v>-424904.4</v>
      </c>
      <c r="AJ44" s="475">
        <v>-243992.40708726351</v>
      </c>
      <c r="AK44" s="476">
        <v>4300.6206054862123</v>
      </c>
      <c r="AL44" s="477">
        <v>-83545.67927531607</v>
      </c>
      <c r="AM44" s="478">
        <v>-748141.86575709342</v>
      </c>
      <c r="AN44" s="478"/>
      <c r="AO44" s="467"/>
      <c r="AP44" s="479">
        <f t="shared" si="5"/>
        <v>-323237.46575709339</v>
      </c>
      <c r="AQ44" s="467"/>
      <c r="AR44" s="467"/>
      <c r="AS44" s="509">
        <f t="shared" si="6"/>
        <v>-243992.40708726351</v>
      </c>
      <c r="AT44" s="476">
        <v>4300.6206054862123</v>
      </c>
      <c r="AU44" s="477">
        <v>-83545.67927531607</v>
      </c>
      <c r="AV44" s="494">
        <f t="shared" si="7"/>
        <v>-323237.46575709339</v>
      </c>
      <c r="AW44" s="494">
        <f t="shared" si="8"/>
        <v>0</v>
      </c>
      <c r="AX44" s="468"/>
      <c r="AY44" s="589">
        <v>-251607.10436</v>
      </c>
      <c r="AZ44" s="510">
        <f t="shared" si="9"/>
        <v>-574844.57011709339</v>
      </c>
      <c r="BA44" s="511">
        <f t="shared" si="10"/>
        <v>0</v>
      </c>
      <c r="BB44" s="460"/>
      <c r="BC44" s="464">
        <f t="shared" si="1"/>
        <v>0</v>
      </c>
    </row>
    <row r="45" spans="1:55" ht="15">
      <c r="A45" s="431">
        <v>39</v>
      </c>
      <c r="B45" s="431">
        <v>139</v>
      </c>
      <c r="C45" t="s">
        <v>394</v>
      </c>
      <c r="D45" t="s">
        <v>395</v>
      </c>
      <c r="E45" s="372">
        <v>-157286.72141</v>
      </c>
      <c r="F45" s="372">
        <v>-27429.351870000013</v>
      </c>
      <c r="G45" s="377">
        <v>-153057.95072012651</v>
      </c>
      <c r="H45" s="590">
        <v>-154077.69143000009</v>
      </c>
      <c r="I45" s="358">
        <f t="shared" si="2"/>
        <v>-491851.71543012664</v>
      </c>
      <c r="K45" s="66">
        <f t="shared" si="11"/>
        <v>0</v>
      </c>
      <c r="L45" s="66"/>
      <c r="M45" s="431">
        <v>39</v>
      </c>
      <c r="N45" s="431">
        <v>139</v>
      </c>
      <c r="O45" s="443" t="s">
        <v>394</v>
      </c>
      <c r="P45" s="443" t="s">
        <v>395</v>
      </c>
      <c r="Q45" s="203">
        <v>-154077.69143000009</v>
      </c>
      <c r="R45" s="457" t="s">
        <v>2509</v>
      </c>
      <c r="S45" s="253"/>
      <c r="T45" s="159">
        <v>39</v>
      </c>
      <c r="U45" t="s">
        <v>394</v>
      </c>
      <c r="V45" t="s">
        <v>395</v>
      </c>
      <c r="W45" s="372">
        <v>-121144.18</v>
      </c>
      <c r="X45" s="372">
        <v>-157286.72141</v>
      </c>
      <c r="Y45" s="377">
        <v>-27429.351870000013</v>
      </c>
      <c r="Z45" s="378">
        <v>-153057.95072012651</v>
      </c>
      <c r="AA45" s="358">
        <f t="shared" si="3"/>
        <v>-458918.20400012651</v>
      </c>
      <c r="AE45" s="159">
        <f t="shared" si="4"/>
        <v>0</v>
      </c>
      <c r="AG45" s="471" t="s">
        <v>394</v>
      </c>
      <c r="AH45" s="467" t="s">
        <v>395</v>
      </c>
      <c r="AI45" s="475">
        <v>-121144.18</v>
      </c>
      <c r="AJ45" s="475">
        <v>-157286.72141</v>
      </c>
      <c r="AK45" s="476">
        <v>-27429.351870000013</v>
      </c>
      <c r="AL45" s="477">
        <v>-153057.95072012651</v>
      </c>
      <c r="AM45" s="478">
        <v>-458918.20400012651</v>
      </c>
      <c r="AN45" s="478"/>
      <c r="AO45" s="467"/>
      <c r="AP45" s="479">
        <f t="shared" si="5"/>
        <v>-337774.02400012652</v>
      </c>
      <c r="AQ45" s="467"/>
      <c r="AR45" s="467"/>
      <c r="AS45" s="509">
        <f t="shared" si="6"/>
        <v>-157286.72141</v>
      </c>
      <c r="AT45" s="476">
        <v>-27429.351870000013</v>
      </c>
      <c r="AU45" s="477">
        <v>-153057.95072012651</v>
      </c>
      <c r="AV45" s="494">
        <f t="shared" si="7"/>
        <v>-337774.02400012652</v>
      </c>
      <c r="AW45" s="494">
        <f t="shared" si="8"/>
        <v>0</v>
      </c>
      <c r="AX45" s="468"/>
      <c r="AY45" s="589">
        <v>-154077.69143000009</v>
      </c>
      <c r="AZ45" s="510">
        <f t="shared" si="9"/>
        <v>-491851.71543012664</v>
      </c>
      <c r="BA45" s="511">
        <f t="shared" si="10"/>
        <v>0</v>
      </c>
      <c r="BB45" s="460"/>
      <c r="BC45" s="464">
        <f t="shared" si="1"/>
        <v>0</v>
      </c>
    </row>
    <row r="46" spans="1:55" ht="15">
      <c r="A46" s="431">
        <v>40</v>
      </c>
      <c r="B46" s="431">
        <v>204</v>
      </c>
      <c r="C46" t="s">
        <v>521</v>
      </c>
      <c r="D46" t="s">
        <v>990</v>
      </c>
      <c r="E46" s="372">
        <v>-1161984.695860133</v>
      </c>
      <c r="F46" s="372">
        <v>83208.641496433294</v>
      </c>
      <c r="G46" s="377">
        <v>-423141.62518108077</v>
      </c>
      <c r="H46" s="590">
        <v>-509085.7484179996</v>
      </c>
      <c r="I46" s="358">
        <f t="shared" si="2"/>
        <v>-2011003.42796278</v>
      </c>
      <c r="K46" s="66">
        <f t="shared" si="11"/>
        <v>0</v>
      </c>
      <c r="L46" s="66"/>
      <c r="M46" s="431">
        <v>40</v>
      </c>
      <c r="N46" s="431">
        <v>204</v>
      </c>
      <c r="O46" s="443" t="s">
        <v>521</v>
      </c>
      <c r="P46" s="443" t="s">
        <v>990</v>
      </c>
      <c r="Q46" s="203">
        <v>-509085.7484179996</v>
      </c>
      <c r="R46" s="457" t="s">
        <v>2509</v>
      </c>
      <c r="S46" s="253"/>
      <c r="T46" s="159">
        <v>40</v>
      </c>
      <c r="U46" t="s">
        <v>521</v>
      </c>
      <c r="V46" t="s">
        <v>990</v>
      </c>
      <c r="W46" s="372">
        <v>-893526.09</v>
      </c>
      <c r="X46" s="372">
        <v>-1161984.695860133</v>
      </c>
      <c r="Y46" s="377">
        <v>83208.641496433294</v>
      </c>
      <c r="Z46" s="378">
        <v>-423141.62518108077</v>
      </c>
      <c r="AA46" s="358">
        <f t="shared" si="3"/>
        <v>-2395443.7695447803</v>
      </c>
      <c r="AE46" s="159">
        <f t="shared" si="4"/>
        <v>0</v>
      </c>
      <c r="AG46" s="471" t="s">
        <v>521</v>
      </c>
      <c r="AH46" s="467" t="s">
        <v>990</v>
      </c>
      <c r="AI46" s="475">
        <v>-893526.09</v>
      </c>
      <c r="AJ46" s="475">
        <v>-1161984.695860133</v>
      </c>
      <c r="AK46" s="476">
        <v>83208.641496433294</v>
      </c>
      <c r="AL46" s="477">
        <v>-423141.62518108077</v>
      </c>
      <c r="AM46" s="478">
        <v>-2395443.7695447803</v>
      </c>
      <c r="AN46" s="478"/>
      <c r="AO46" s="467"/>
      <c r="AP46" s="479">
        <f t="shared" si="5"/>
        <v>-1501917.6795447804</v>
      </c>
      <c r="AQ46" s="467"/>
      <c r="AR46" s="467"/>
      <c r="AS46" s="509">
        <f t="shared" si="6"/>
        <v>-1161984.695860133</v>
      </c>
      <c r="AT46" s="476">
        <v>83208.641496433294</v>
      </c>
      <c r="AU46" s="477">
        <v>-423141.62518108077</v>
      </c>
      <c r="AV46" s="494">
        <f t="shared" si="7"/>
        <v>-1501917.6795447804</v>
      </c>
      <c r="AW46" s="494">
        <f t="shared" si="8"/>
        <v>0</v>
      </c>
      <c r="AX46" s="468"/>
      <c r="AY46" s="589">
        <v>-509085.7484179996</v>
      </c>
      <c r="AZ46" s="510">
        <f t="shared" si="9"/>
        <v>-2011003.42796278</v>
      </c>
      <c r="BA46" s="511">
        <f t="shared" si="10"/>
        <v>0</v>
      </c>
      <c r="BB46" s="460"/>
      <c r="BC46" s="464">
        <f t="shared" si="1"/>
        <v>0</v>
      </c>
    </row>
    <row r="47" spans="1:55" ht="15">
      <c r="A47" s="431">
        <v>41</v>
      </c>
      <c r="B47" s="431">
        <v>305</v>
      </c>
      <c r="C47" t="s">
        <v>693</v>
      </c>
      <c r="D47" t="s">
        <v>1062</v>
      </c>
      <c r="E47" s="372">
        <v>-32255.719478000014</v>
      </c>
      <c r="F47" s="372">
        <v>0</v>
      </c>
      <c r="G47" s="377">
        <v>-46224.873648999957</v>
      </c>
      <c r="H47" s="590">
        <v>-126386.14013800002</v>
      </c>
      <c r="I47" s="358">
        <f t="shared" si="2"/>
        <v>-204866.73326499999</v>
      </c>
      <c r="K47" s="66">
        <f t="shared" si="11"/>
        <v>0</v>
      </c>
      <c r="L47" s="66"/>
      <c r="M47" s="431">
        <v>41</v>
      </c>
      <c r="N47" s="431">
        <v>305</v>
      </c>
      <c r="O47" s="443" t="s">
        <v>693</v>
      </c>
      <c r="P47" s="443" t="s">
        <v>1062</v>
      </c>
      <c r="Q47" s="203">
        <v>-126386.14013800002</v>
      </c>
      <c r="R47" s="457" t="s">
        <v>2509</v>
      </c>
      <c r="S47" s="253"/>
      <c r="T47" s="159">
        <v>41</v>
      </c>
      <c r="U47" t="s">
        <v>693</v>
      </c>
      <c r="V47" t="s">
        <v>1062</v>
      </c>
      <c r="W47" s="372">
        <v>-22911.58</v>
      </c>
      <c r="X47" s="372">
        <v>-32255.719478000014</v>
      </c>
      <c r="Y47" s="377">
        <v>0</v>
      </c>
      <c r="Z47" s="378">
        <v>-46224.873648999957</v>
      </c>
      <c r="AA47" s="358">
        <f t="shared" si="3"/>
        <v>-101392.17312699997</v>
      </c>
      <c r="AE47" s="159">
        <f t="shared" si="4"/>
        <v>0</v>
      </c>
      <c r="AG47" s="471" t="s">
        <v>693</v>
      </c>
      <c r="AH47" s="467" t="s">
        <v>1062</v>
      </c>
      <c r="AI47" s="475">
        <v>-22911.58</v>
      </c>
      <c r="AJ47" s="475">
        <v>-32255.719478000014</v>
      </c>
      <c r="AK47" s="476">
        <v>0</v>
      </c>
      <c r="AL47" s="477">
        <v>-46224.873648999957</v>
      </c>
      <c r="AM47" s="478">
        <v>-101392.17312699997</v>
      </c>
      <c r="AN47" s="478"/>
      <c r="AO47" s="467"/>
      <c r="AP47" s="479">
        <f t="shared" si="5"/>
        <v>-78480.593126999971</v>
      </c>
      <c r="AQ47" s="467"/>
      <c r="AR47" s="467"/>
      <c r="AS47" s="509">
        <f t="shared" si="6"/>
        <v>-32255.719478000014</v>
      </c>
      <c r="AT47" s="476">
        <v>0</v>
      </c>
      <c r="AU47" s="477">
        <v>-46224.873648999957</v>
      </c>
      <c r="AV47" s="494">
        <f t="shared" si="7"/>
        <v>-78480.593126999971</v>
      </c>
      <c r="AW47" s="494">
        <f t="shared" si="8"/>
        <v>0</v>
      </c>
      <c r="AX47" s="468"/>
      <c r="AY47" s="589">
        <v>-126386.14013800002</v>
      </c>
      <c r="AZ47" s="510">
        <f t="shared" si="9"/>
        <v>-204866.73326499999</v>
      </c>
      <c r="BA47" s="511">
        <f t="shared" si="10"/>
        <v>0</v>
      </c>
      <c r="BB47" s="460"/>
      <c r="BC47" s="464">
        <f t="shared" si="1"/>
        <v>0</v>
      </c>
    </row>
    <row r="48" spans="1:55" ht="15">
      <c r="A48" s="431">
        <v>42</v>
      </c>
      <c r="B48" s="431">
        <v>287</v>
      </c>
      <c r="C48" t="s">
        <v>662</v>
      </c>
      <c r="D48" t="s">
        <v>1048</v>
      </c>
      <c r="E48" s="372">
        <v>-20310.11281900006</v>
      </c>
      <c r="F48" s="372">
        <v>-31512.722603999893</v>
      </c>
      <c r="G48" s="377">
        <v>-56983.848749999946</v>
      </c>
      <c r="H48" s="590">
        <v>-43070.714528000099</v>
      </c>
      <c r="I48" s="358">
        <f t="shared" si="2"/>
        <v>-151877.398701</v>
      </c>
      <c r="K48" s="66">
        <f t="shared" si="11"/>
        <v>0</v>
      </c>
      <c r="L48" s="66"/>
      <c r="M48" s="431">
        <v>42</v>
      </c>
      <c r="N48" s="431">
        <v>287</v>
      </c>
      <c r="O48" s="443" t="s">
        <v>662</v>
      </c>
      <c r="P48" s="443" t="s">
        <v>1048</v>
      </c>
      <c r="Q48" s="203">
        <v>-43070.714528000099</v>
      </c>
      <c r="R48" s="457" t="s">
        <v>2509</v>
      </c>
      <c r="S48" s="253"/>
      <c r="T48" s="159">
        <v>42</v>
      </c>
      <c r="U48" t="s">
        <v>662</v>
      </c>
      <c r="V48" t="s">
        <v>1048</v>
      </c>
      <c r="W48" s="372">
        <v>-183460.52</v>
      </c>
      <c r="X48" s="372">
        <v>-20310.11281900006</v>
      </c>
      <c r="Y48" s="377">
        <v>-31512.722603999893</v>
      </c>
      <c r="Z48" s="378">
        <v>-56983.848749999946</v>
      </c>
      <c r="AA48" s="358">
        <f t="shared" si="3"/>
        <v>-292267.20417299989</v>
      </c>
      <c r="AE48" s="159">
        <f t="shared" si="4"/>
        <v>0</v>
      </c>
      <c r="AG48" s="471" t="s">
        <v>662</v>
      </c>
      <c r="AH48" s="467" t="s">
        <v>1048</v>
      </c>
      <c r="AI48" s="475">
        <v>-183460.52</v>
      </c>
      <c r="AJ48" s="475">
        <v>-20310.11281900006</v>
      </c>
      <c r="AK48" s="476">
        <v>-31512.722603999893</v>
      </c>
      <c r="AL48" s="477">
        <v>-56983.848749999946</v>
      </c>
      <c r="AM48" s="478">
        <v>-292267.20417299989</v>
      </c>
      <c r="AN48" s="478"/>
      <c r="AO48" s="467"/>
      <c r="AP48" s="479">
        <f t="shared" si="5"/>
        <v>-108806.6841729999</v>
      </c>
      <c r="AQ48" s="467"/>
      <c r="AR48" s="467"/>
      <c r="AS48" s="509">
        <f t="shared" si="6"/>
        <v>-20310.11281900006</v>
      </c>
      <c r="AT48" s="476">
        <v>-31512.722603999893</v>
      </c>
      <c r="AU48" s="477">
        <v>-56983.848749999946</v>
      </c>
      <c r="AV48" s="494">
        <f t="shared" si="7"/>
        <v>-108806.6841729999</v>
      </c>
      <c r="AW48" s="494">
        <f t="shared" si="8"/>
        <v>0</v>
      </c>
      <c r="AX48" s="468"/>
      <c r="AY48" s="589">
        <v>-43070.714528000099</v>
      </c>
      <c r="AZ48" s="510">
        <f t="shared" si="9"/>
        <v>-151877.398701</v>
      </c>
      <c r="BA48" s="511">
        <f t="shared" si="10"/>
        <v>0</v>
      </c>
      <c r="BB48" s="460"/>
      <c r="BC48" s="464">
        <f t="shared" si="1"/>
        <v>0</v>
      </c>
    </row>
    <row r="49" spans="1:55" ht="15">
      <c r="A49" s="431">
        <v>43</v>
      </c>
      <c r="B49" s="431">
        <v>309</v>
      </c>
      <c r="C49" t="s">
        <v>701</v>
      </c>
      <c r="D49" t="s">
        <v>1064</v>
      </c>
      <c r="E49" s="372">
        <v>-75401.882950000014</v>
      </c>
      <c r="F49" s="372">
        <v>-65895.340579999989</v>
      </c>
      <c r="G49" s="377">
        <v>-64408.713340000002</v>
      </c>
      <c r="H49" s="590">
        <v>-71250.573984000031</v>
      </c>
      <c r="I49" s="358">
        <f t="shared" si="2"/>
        <v>-276956.51085400005</v>
      </c>
      <c r="K49" s="66">
        <f t="shared" si="11"/>
        <v>0</v>
      </c>
      <c r="L49" s="66"/>
      <c r="M49" s="431">
        <v>43</v>
      </c>
      <c r="N49" s="431">
        <v>309</v>
      </c>
      <c r="O49" s="443" t="s">
        <v>701</v>
      </c>
      <c r="P49" s="443" t="s">
        <v>1064</v>
      </c>
      <c r="Q49" s="203">
        <v>-71250.573984000031</v>
      </c>
      <c r="R49" s="457" t="s">
        <v>2509</v>
      </c>
      <c r="S49" s="253"/>
      <c r="T49" s="159">
        <v>43</v>
      </c>
      <c r="U49" t="s">
        <v>701</v>
      </c>
      <c r="V49" t="s">
        <v>1064</v>
      </c>
      <c r="W49" s="372">
        <v>-74197.66</v>
      </c>
      <c r="X49" s="372">
        <v>-75401.882950000014</v>
      </c>
      <c r="Y49" s="377">
        <v>-65895.340579999989</v>
      </c>
      <c r="Z49" s="378">
        <v>-64408.713340000002</v>
      </c>
      <c r="AA49" s="358">
        <f t="shared" si="3"/>
        <v>-279903.59687000001</v>
      </c>
      <c r="AE49" s="159">
        <f t="shared" si="4"/>
        <v>0</v>
      </c>
      <c r="AG49" s="471" t="s">
        <v>701</v>
      </c>
      <c r="AH49" s="467" t="s">
        <v>1064</v>
      </c>
      <c r="AI49" s="475">
        <v>-74197.66</v>
      </c>
      <c r="AJ49" s="475">
        <v>-75401.882950000014</v>
      </c>
      <c r="AK49" s="476">
        <v>-65895.340579999989</v>
      </c>
      <c r="AL49" s="477">
        <v>-64408.713340000002</v>
      </c>
      <c r="AM49" s="478">
        <v>-279903.59687000001</v>
      </c>
      <c r="AN49" s="478"/>
      <c r="AO49" s="467"/>
      <c r="AP49" s="479">
        <f t="shared" si="5"/>
        <v>-205705.93687000003</v>
      </c>
      <c r="AQ49" s="467"/>
      <c r="AR49" s="467"/>
      <c r="AS49" s="509">
        <f t="shared" si="6"/>
        <v>-75401.882950000014</v>
      </c>
      <c r="AT49" s="476">
        <v>-65895.340579999989</v>
      </c>
      <c r="AU49" s="477">
        <v>-64408.713340000002</v>
      </c>
      <c r="AV49" s="494">
        <f t="shared" si="7"/>
        <v>-205705.93687000003</v>
      </c>
      <c r="AW49" s="494">
        <f t="shared" si="8"/>
        <v>0</v>
      </c>
      <c r="AX49" s="468"/>
      <c r="AY49" s="589">
        <v>-71250.573984000031</v>
      </c>
      <c r="AZ49" s="510">
        <f t="shared" si="9"/>
        <v>-276956.51085400005</v>
      </c>
      <c r="BA49" s="511">
        <f t="shared" si="10"/>
        <v>0</v>
      </c>
      <c r="BB49" s="460"/>
      <c r="BC49" s="464">
        <f t="shared" si="1"/>
        <v>0</v>
      </c>
    </row>
    <row r="50" spans="1:55" ht="15">
      <c r="A50" s="431">
        <v>44</v>
      </c>
      <c r="B50" s="431">
        <v>270</v>
      </c>
      <c r="C50" t="s">
        <v>633</v>
      </c>
      <c r="D50" t="s">
        <v>1681</v>
      </c>
      <c r="E50" s="372">
        <v>-80771.504064000008</v>
      </c>
      <c r="F50" s="372">
        <v>-51633.776908</v>
      </c>
      <c r="G50" s="377">
        <v>-75149.186180000033</v>
      </c>
      <c r="H50" s="590">
        <v>-83499.932319999993</v>
      </c>
      <c r="I50" s="358">
        <f t="shared" si="2"/>
        <v>-291054.39947200008</v>
      </c>
      <c r="K50" s="66">
        <f t="shared" si="11"/>
        <v>0</v>
      </c>
      <c r="L50" s="66"/>
      <c r="M50" s="431">
        <v>44</v>
      </c>
      <c r="N50" s="431">
        <v>270</v>
      </c>
      <c r="O50" s="443" t="s">
        <v>633</v>
      </c>
      <c r="P50" s="443" t="s">
        <v>1681</v>
      </c>
      <c r="Q50" s="203">
        <v>-83499.932319999993</v>
      </c>
      <c r="R50" s="457" t="s">
        <v>2509</v>
      </c>
      <c r="S50" s="253"/>
      <c r="T50" s="159">
        <v>44</v>
      </c>
      <c r="U50" t="s">
        <v>633</v>
      </c>
      <c r="V50" t="s">
        <v>1681</v>
      </c>
      <c r="W50" s="372">
        <v>-104954.41</v>
      </c>
      <c r="X50" s="372">
        <v>-80771.504064000008</v>
      </c>
      <c r="Y50" s="377">
        <v>-51633.776908</v>
      </c>
      <c r="Z50" s="378">
        <v>-75149.186180000033</v>
      </c>
      <c r="AA50" s="358">
        <f t="shared" si="3"/>
        <v>-312508.87715200003</v>
      </c>
      <c r="AE50" s="159">
        <f t="shared" si="4"/>
        <v>0</v>
      </c>
      <c r="AG50" s="471" t="s">
        <v>633</v>
      </c>
      <c r="AH50" s="467" t="s">
        <v>1681</v>
      </c>
      <c r="AI50" s="475">
        <v>-104954.41</v>
      </c>
      <c r="AJ50" s="475">
        <v>-80771.504064000008</v>
      </c>
      <c r="AK50" s="476">
        <v>-51633.776908</v>
      </c>
      <c r="AL50" s="477">
        <v>-75149.186180000033</v>
      </c>
      <c r="AM50" s="478">
        <v>-312508.87715200003</v>
      </c>
      <c r="AN50" s="478"/>
      <c r="AO50" s="467"/>
      <c r="AP50" s="479">
        <f t="shared" si="5"/>
        <v>-207554.46715200006</v>
      </c>
      <c r="AQ50" s="467"/>
      <c r="AR50" s="467"/>
      <c r="AS50" s="509">
        <f t="shared" si="6"/>
        <v>-80771.504064000008</v>
      </c>
      <c r="AT50" s="476">
        <v>-51633.776908</v>
      </c>
      <c r="AU50" s="477">
        <v>-75149.186180000033</v>
      </c>
      <c r="AV50" s="494">
        <f t="shared" si="7"/>
        <v>-207554.46715200006</v>
      </c>
      <c r="AW50" s="494">
        <f t="shared" si="8"/>
        <v>0</v>
      </c>
      <c r="AX50" s="468"/>
      <c r="AY50" s="589">
        <v>-83499.932319999993</v>
      </c>
      <c r="AZ50" s="510">
        <f t="shared" si="9"/>
        <v>-291054.39947200008</v>
      </c>
      <c r="BA50" s="511">
        <f t="shared" si="10"/>
        <v>0</v>
      </c>
      <c r="BB50" s="460"/>
      <c r="BC50" s="464">
        <f t="shared" si="1"/>
        <v>0</v>
      </c>
    </row>
    <row r="51" spans="1:55" ht="15">
      <c r="A51" s="431">
        <v>45</v>
      </c>
      <c r="B51" s="431">
        <v>289</v>
      </c>
      <c r="C51" t="s">
        <v>666</v>
      </c>
      <c r="D51" t="s">
        <v>1682</v>
      </c>
      <c r="E51" s="372">
        <v>-103647.60709200001</v>
      </c>
      <c r="F51" s="372">
        <v>-63366.330780000018</v>
      </c>
      <c r="G51" s="377">
        <v>-16103.028224000052</v>
      </c>
      <c r="H51" s="590">
        <v>-66015.316075000097</v>
      </c>
      <c r="I51" s="358">
        <f t="shared" si="2"/>
        <v>-249132.2821710002</v>
      </c>
      <c r="K51" s="66">
        <f t="shared" si="11"/>
        <v>0</v>
      </c>
      <c r="L51" s="66"/>
      <c r="M51" s="431">
        <v>45</v>
      </c>
      <c r="N51" s="431">
        <v>289</v>
      </c>
      <c r="O51" s="443" t="s">
        <v>666</v>
      </c>
      <c r="P51" s="443" t="s">
        <v>1682</v>
      </c>
      <c r="Q51" s="203">
        <v>-66015.316075000097</v>
      </c>
      <c r="R51" s="457" t="s">
        <v>2509</v>
      </c>
      <c r="S51" s="253"/>
      <c r="T51" s="159">
        <v>45</v>
      </c>
      <c r="U51" t="s">
        <v>666</v>
      </c>
      <c r="V51" t="s">
        <v>1682</v>
      </c>
      <c r="W51" s="372">
        <v>-152854.24</v>
      </c>
      <c r="X51" s="372">
        <v>-103647.60709200001</v>
      </c>
      <c r="Y51" s="377">
        <v>-63366.330780000018</v>
      </c>
      <c r="Z51" s="378">
        <v>-16103.028224000052</v>
      </c>
      <c r="AA51" s="358">
        <f t="shared" si="3"/>
        <v>-335971.2060960001</v>
      </c>
      <c r="AE51" s="159">
        <f t="shared" si="4"/>
        <v>0</v>
      </c>
      <c r="AG51" s="471" t="s">
        <v>666</v>
      </c>
      <c r="AH51" s="467" t="s">
        <v>1682</v>
      </c>
      <c r="AI51" s="475">
        <v>-152854.24</v>
      </c>
      <c r="AJ51" s="475">
        <v>-103647.60709200001</v>
      </c>
      <c r="AK51" s="476">
        <v>-63366.330780000018</v>
      </c>
      <c r="AL51" s="477">
        <v>-16103.028224000052</v>
      </c>
      <c r="AM51" s="478">
        <v>-335971.2060960001</v>
      </c>
      <c r="AN51" s="478"/>
      <c r="AO51" s="467"/>
      <c r="AP51" s="479">
        <f t="shared" si="5"/>
        <v>-183116.96609600011</v>
      </c>
      <c r="AQ51" s="467"/>
      <c r="AR51" s="467"/>
      <c r="AS51" s="509">
        <f t="shared" si="6"/>
        <v>-103647.60709200001</v>
      </c>
      <c r="AT51" s="476">
        <v>-63366.330780000018</v>
      </c>
      <c r="AU51" s="477">
        <v>-16103.028224000052</v>
      </c>
      <c r="AV51" s="494">
        <f t="shared" si="7"/>
        <v>-183116.96609600011</v>
      </c>
      <c r="AW51" s="494">
        <f t="shared" si="8"/>
        <v>0</v>
      </c>
      <c r="AX51" s="468"/>
      <c r="AY51" s="589">
        <v>-66015.316075000097</v>
      </c>
      <c r="AZ51" s="510">
        <f t="shared" si="9"/>
        <v>-249132.2821710002</v>
      </c>
      <c r="BA51" s="511">
        <f t="shared" si="10"/>
        <v>0</v>
      </c>
      <c r="BB51" s="460"/>
      <c r="BC51" s="464">
        <f t="shared" si="1"/>
        <v>0</v>
      </c>
    </row>
    <row r="52" spans="1:55" ht="15">
      <c r="A52" s="431">
        <v>46</v>
      </c>
      <c r="B52" s="431">
        <v>266</v>
      </c>
      <c r="C52" t="s">
        <v>626</v>
      </c>
      <c r="D52" t="s">
        <v>1031</v>
      </c>
      <c r="E52" s="372">
        <v>-250674.77327999996</v>
      </c>
      <c r="F52" s="372">
        <v>-70483.622551999986</v>
      </c>
      <c r="G52" s="377">
        <v>-51927.179503999796</v>
      </c>
      <c r="H52" s="590">
        <v>-216322.87504000007</v>
      </c>
      <c r="I52" s="358">
        <f t="shared" si="2"/>
        <v>-589408.45037599979</v>
      </c>
      <c r="K52" s="66">
        <f t="shared" si="11"/>
        <v>0</v>
      </c>
      <c r="L52" s="66"/>
      <c r="M52" s="431">
        <v>46</v>
      </c>
      <c r="N52" s="431">
        <v>266</v>
      </c>
      <c r="O52" s="443" t="s">
        <v>626</v>
      </c>
      <c r="P52" s="443" t="s">
        <v>1031</v>
      </c>
      <c r="Q52" s="203">
        <v>-216322.87504000007</v>
      </c>
      <c r="R52" s="457" t="s">
        <v>2509</v>
      </c>
      <c r="S52" s="253"/>
      <c r="T52" s="159">
        <v>46</v>
      </c>
      <c r="U52" t="s">
        <v>626</v>
      </c>
      <c r="V52" t="s">
        <v>1031</v>
      </c>
      <c r="W52" s="372">
        <v>-202805.8</v>
      </c>
      <c r="X52" s="372">
        <v>-250674.77327999996</v>
      </c>
      <c r="Y52" s="377">
        <v>-70483.622551999986</v>
      </c>
      <c r="Z52" s="378">
        <v>-51927.179503999796</v>
      </c>
      <c r="AA52" s="358">
        <f t="shared" si="3"/>
        <v>-575891.37533599976</v>
      </c>
      <c r="AE52" s="159">
        <f t="shared" si="4"/>
        <v>0</v>
      </c>
      <c r="AG52" s="471" t="s">
        <v>626</v>
      </c>
      <c r="AH52" s="467" t="s">
        <v>1031</v>
      </c>
      <c r="AI52" s="475">
        <v>-202805.8</v>
      </c>
      <c r="AJ52" s="475">
        <v>-250674.77327999996</v>
      </c>
      <c r="AK52" s="476">
        <v>-70483.622551999986</v>
      </c>
      <c r="AL52" s="477">
        <v>-51927.179503999796</v>
      </c>
      <c r="AM52" s="478">
        <v>-575891.37533599976</v>
      </c>
      <c r="AN52" s="478"/>
      <c r="AO52" s="467"/>
      <c r="AP52" s="479">
        <f t="shared" si="5"/>
        <v>-373085.57533599972</v>
      </c>
      <c r="AQ52" s="467"/>
      <c r="AR52" s="467"/>
      <c r="AS52" s="509">
        <f t="shared" si="6"/>
        <v>-250674.77327999996</v>
      </c>
      <c r="AT52" s="476">
        <v>-70483.622551999986</v>
      </c>
      <c r="AU52" s="477">
        <v>-51927.179503999796</v>
      </c>
      <c r="AV52" s="494">
        <f t="shared" si="7"/>
        <v>-373085.57533599972</v>
      </c>
      <c r="AW52" s="494">
        <f t="shared" si="8"/>
        <v>0</v>
      </c>
      <c r="AX52" s="468"/>
      <c r="AY52" s="589">
        <v>-216322.87504000007</v>
      </c>
      <c r="AZ52" s="510">
        <f t="shared" si="9"/>
        <v>-589408.45037599979</v>
      </c>
      <c r="BA52" s="511">
        <f t="shared" si="10"/>
        <v>0</v>
      </c>
      <c r="BB52" s="460"/>
      <c r="BC52" s="464">
        <f t="shared" si="1"/>
        <v>0</v>
      </c>
    </row>
    <row r="53" spans="1:55" ht="15">
      <c r="A53" s="431">
        <v>47</v>
      </c>
      <c r="B53" s="431">
        <v>218</v>
      </c>
      <c r="C53" t="s">
        <v>543</v>
      </c>
      <c r="D53" t="s">
        <v>997</v>
      </c>
      <c r="E53" s="372">
        <v>-32367.019435000082</v>
      </c>
      <c r="F53" s="372">
        <v>-176086.9775119999</v>
      </c>
      <c r="G53" s="377">
        <v>-120045.13753499997</v>
      </c>
      <c r="H53" s="590">
        <v>-109184.41693099996</v>
      </c>
      <c r="I53" s="358">
        <f t="shared" si="2"/>
        <v>-437683.55141299992</v>
      </c>
      <c r="K53" s="66">
        <f t="shared" si="11"/>
        <v>0</v>
      </c>
      <c r="L53" s="66"/>
      <c r="M53" s="431">
        <v>47</v>
      </c>
      <c r="N53" s="431">
        <v>218</v>
      </c>
      <c r="O53" s="443" t="s">
        <v>543</v>
      </c>
      <c r="P53" s="443" t="s">
        <v>997</v>
      </c>
      <c r="Q53" s="203">
        <v>-109184.41693099996</v>
      </c>
      <c r="R53" s="457" t="s">
        <v>2509</v>
      </c>
      <c r="S53" s="253"/>
      <c r="T53" s="159">
        <v>47</v>
      </c>
      <c r="U53" t="s">
        <v>543</v>
      </c>
      <c r="V53" t="s">
        <v>997</v>
      </c>
      <c r="W53" s="372">
        <v>-83135.990000000005</v>
      </c>
      <c r="X53" s="372">
        <v>-32367.019435000082</v>
      </c>
      <c r="Y53" s="377">
        <v>-176086.9775119999</v>
      </c>
      <c r="Z53" s="378">
        <v>-120045.13753499997</v>
      </c>
      <c r="AA53" s="358">
        <f t="shared" si="3"/>
        <v>-411635.12448199996</v>
      </c>
      <c r="AE53" s="159">
        <f t="shared" si="4"/>
        <v>0</v>
      </c>
      <c r="AG53" s="471" t="s">
        <v>543</v>
      </c>
      <c r="AH53" s="467" t="s">
        <v>997</v>
      </c>
      <c r="AI53" s="475">
        <v>-83135.990000000005</v>
      </c>
      <c r="AJ53" s="475">
        <v>-32367.019435000082</v>
      </c>
      <c r="AK53" s="476">
        <v>-176086.9775119999</v>
      </c>
      <c r="AL53" s="477">
        <v>-120045.13753499997</v>
      </c>
      <c r="AM53" s="478">
        <v>-411635.12448199996</v>
      </c>
      <c r="AN53" s="478"/>
      <c r="AO53" s="467"/>
      <c r="AP53" s="479">
        <f t="shared" si="5"/>
        <v>-328499.13448199996</v>
      </c>
      <c r="AQ53" s="467"/>
      <c r="AR53" s="467"/>
      <c r="AS53" s="509">
        <f t="shared" si="6"/>
        <v>-32367.019435000082</v>
      </c>
      <c r="AT53" s="476">
        <v>-176086.9775119999</v>
      </c>
      <c r="AU53" s="477">
        <v>-120045.13753499997</v>
      </c>
      <c r="AV53" s="494">
        <f t="shared" si="7"/>
        <v>-328499.13448199996</v>
      </c>
      <c r="AW53" s="494">
        <f t="shared" si="8"/>
        <v>0</v>
      </c>
      <c r="AX53" s="468"/>
      <c r="AY53" s="589">
        <v>-109184.41693099996</v>
      </c>
      <c r="AZ53" s="510">
        <f t="shared" si="9"/>
        <v>-437683.55141299992</v>
      </c>
      <c r="BA53" s="511">
        <f t="shared" si="10"/>
        <v>0</v>
      </c>
      <c r="BB53" s="460"/>
      <c r="BC53" s="464">
        <f t="shared" si="1"/>
        <v>0</v>
      </c>
    </row>
    <row r="54" spans="1:55" ht="15">
      <c r="A54" s="431">
        <v>48</v>
      </c>
      <c r="B54" s="431">
        <v>223</v>
      </c>
      <c r="C54" t="s">
        <v>552</v>
      </c>
      <c r="D54" t="s">
        <v>1001</v>
      </c>
      <c r="E54" s="372">
        <v>-56069.170740000023</v>
      </c>
      <c r="F54" s="372">
        <v>-7705.0812720000395</v>
      </c>
      <c r="G54" s="377">
        <v>-39860.299349000001</v>
      </c>
      <c r="H54" s="590">
        <v>-66588.354251999961</v>
      </c>
      <c r="I54" s="358">
        <f t="shared" si="2"/>
        <v>-170222.90561300004</v>
      </c>
      <c r="K54" s="66">
        <f t="shared" si="11"/>
        <v>0</v>
      </c>
      <c r="L54" s="66"/>
      <c r="M54" s="431">
        <v>48</v>
      </c>
      <c r="N54" s="431">
        <v>223</v>
      </c>
      <c r="O54" s="443" t="s">
        <v>552</v>
      </c>
      <c r="P54" s="443" t="s">
        <v>1001</v>
      </c>
      <c r="Q54" s="203">
        <v>-66588.354251999961</v>
      </c>
      <c r="R54" s="457" t="s">
        <v>2509</v>
      </c>
      <c r="S54" s="253"/>
      <c r="T54" s="159">
        <v>48</v>
      </c>
      <c r="U54" t="s">
        <v>552</v>
      </c>
      <c r="V54" t="s">
        <v>1001</v>
      </c>
      <c r="W54" s="372">
        <v>-73004.289999999994</v>
      </c>
      <c r="X54" s="372">
        <v>-56069.170740000023</v>
      </c>
      <c r="Y54" s="377">
        <v>-7705.0812720000395</v>
      </c>
      <c r="Z54" s="378">
        <v>-39860.299349000001</v>
      </c>
      <c r="AA54" s="358">
        <f t="shared" si="3"/>
        <v>-176638.84136100006</v>
      </c>
      <c r="AE54" s="159">
        <f t="shared" si="4"/>
        <v>0</v>
      </c>
      <c r="AG54" s="471" t="s">
        <v>552</v>
      </c>
      <c r="AH54" s="467" t="s">
        <v>1001</v>
      </c>
      <c r="AI54" s="475">
        <v>-73004.289999999994</v>
      </c>
      <c r="AJ54" s="475">
        <v>-56069.170740000023</v>
      </c>
      <c r="AK54" s="476">
        <v>-7705.0812720000395</v>
      </c>
      <c r="AL54" s="477">
        <v>-39860.299349000001</v>
      </c>
      <c r="AM54" s="478">
        <v>-176638.84136100006</v>
      </c>
      <c r="AN54" s="478"/>
      <c r="AO54" s="467"/>
      <c r="AP54" s="479">
        <f t="shared" si="5"/>
        <v>-103634.55136100006</v>
      </c>
      <c r="AQ54" s="467"/>
      <c r="AR54" s="467"/>
      <c r="AS54" s="509">
        <f t="shared" si="6"/>
        <v>-56069.170740000023</v>
      </c>
      <c r="AT54" s="476">
        <v>-7705.0812720000395</v>
      </c>
      <c r="AU54" s="477">
        <v>-39860.299349000001</v>
      </c>
      <c r="AV54" s="494">
        <f t="shared" si="7"/>
        <v>-103634.55136100006</v>
      </c>
      <c r="AW54" s="494">
        <f t="shared" si="8"/>
        <v>0</v>
      </c>
      <c r="AX54" s="468"/>
      <c r="AY54" s="589">
        <v>-66588.354251999961</v>
      </c>
      <c r="AZ54" s="510">
        <f t="shared" si="9"/>
        <v>-170222.90561300004</v>
      </c>
      <c r="BA54" s="511">
        <f t="shared" si="10"/>
        <v>0</v>
      </c>
      <c r="BB54" s="460"/>
      <c r="BC54" s="464">
        <f t="shared" si="1"/>
        <v>0</v>
      </c>
    </row>
    <row r="55" spans="1:55" ht="15">
      <c r="A55" s="431">
        <v>49</v>
      </c>
      <c r="B55" s="431">
        <v>84</v>
      </c>
      <c r="C55" t="s">
        <v>312</v>
      </c>
      <c r="D55" t="s">
        <v>894</v>
      </c>
      <c r="E55" s="372">
        <v>-45048.534979999997</v>
      </c>
      <c r="F55" s="372">
        <v>-68640.378393000006</v>
      </c>
      <c r="G55" s="377">
        <v>-76686.811452000024</v>
      </c>
      <c r="H55" s="590">
        <v>-71131.077519999963</v>
      </c>
      <c r="I55" s="358">
        <f t="shared" si="2"/>
        <v>-261506.802345</v>
      </c>
      <c r="K55" s="66">
        <f t="shared" si="11"/>
        <v>0</v>
      </c>
      <c r="L55" s="66"/>
      <c r="M55" s="431">
        <v>49</v>
      </c>
      <c r="N55" s="431">
        <v>84</v>
      </c>
      <c r="O55" s="443" t="s">
        <v>312</v>
      </c>
      <c r="P55" s="443" t="s">
        <v>894</v>
      </c>
      <c r="Q55" s="203">
        <v>-71131.077519999963</v>
      </c>
      <c r="R55" s="457" t="s">
        <v>2509</v>
      </c>
      <c r="S55" s="253"/>
      <c r="T55" s="159">
        <v>49</v>
      </c>
      <c r="U55" t="s">
        <v>312</v>
      </c>
      <c r="V55" t="s">
        <v>894</v>
      </c>
      <c r="W55" s="372">
        <v>-14523.54</v>
      </c>
      <c r="X55" s="372">
        <v>-45048.534979999997</v>
      </c>
      <c r="Y55" s="377">
        <v>-68640.378393000006</v>
      </c>
      <c r="Z55" s="378">
        <v>-76686.811452000024</v>
      </c>
      <c r="AA55" s="358">
        <f t="shared" si="3"/>
        <v>-204899.26482500002</v>
      </c>
      <c r="AE55" s="159">
        <f t="shared" si="4"/>
        <v>0</v>
      </c>
      <c r="AG55" s="471" t="s">
        <v>312</v>
      </c>
      <c r="AH55" s="467" t="s">
        <v>894</v>
      </c>
      <c r="AI55" s="475">
        <v>-14523.54</v>
      </c>
      <c r="AJ55" s="475">
        <v>-45048.534979999997</v>
      </c>
      <c r="AK55" s="476">
        <v>-68640.378393000006</v>
      </c>
      <c r="AL55" s="477">
        <v>-76686.811452000024</v>
      </c>
      <c r="AM55" s="478">
        <v>-204899.26482500002</v>
      </c>
      <c r="AN55" s="478"/>
      <c r="AO55" s="467"/>
      <c r="AP55" s="479">
        <f t="shared" si="5"/>
        <v>-190375.72482500004</v>
      </c>
      <c r="AQ55" s="467"/>
      <c r="AR55" s="467"/>
      <c r="AS55" s="509">
        <f t="shared" si="6"/>
        <v>-45048.534979999997</v>
      </c>
      <c r="AT55" s="476">
        <v>-68640.378393000006</v>
      </c>
      <c r="AU55" s="477">
        <v>-76686.811452000024</v>
      </c>
      <c r="AV55" s="494">
        <f t="shared" si="7"/>
        <v>-190375.72482500004</v>
      </c>
      <c r="AW55" s="494">
        <f t="shared" si="8"/>
        <v>0</v>
      </c>
      <c r="AX55" s="468"/>
      <c r="AY55" s="589">
        <v>-71131.077519999963</v>
      </c>
      <c r="AZ55" s="510">
        <f t="shared" si="9"/>
        <v>-261506.802345</v>
      </c>
      <c r="BA55" s="511">
        <f t="shared" si="10"/>
        <v>0</v>
      </c>
      <c r="BB55" s="460"/>
      <c r="BC55" s="464">
        <f t="shared" si="1"/>
        <v>0</v>
      </c>
    </row>
    <row r="56" spans="1:55" ht="15">
      <c r="A56" s="431">
        <v>50</v>
      </c>
      <c r="B56" s="431">
        <v>69</v>
      </c>
      <c r="C56" t="s">
        <v>283</v>
      </c>
      <c r="D56" t="s">
        <v>284</v>
      </c>
      <c r="E56" s="372">
        <v>-82055.274049</v>
      </c>
      <c r="F56" s="372">
        <v>-36698.316528000054</v>
      </c>
      <c r="G56" s="377">
        <v>-71602.910422000015</v>
      </c>
      <c r="H56" s="590">
        <v>-44844.183643999975</v>
      </c>
      <c r="I56" s="358">
        <f t="shared" si="2"/>
        <v>-235200.68464300004</v>
      </c>
      <c r="K56" s="66">
        <f t="shared" si="11"/>
        <v>0</v>
      </c>
      <c r="L56" s="66"/>
      <c r="M56" s="431">
        <v>50</v>
      </c>
      <c r="N56" s="431">
        <v>69</v>
      </c>
      <c r="O56" s="443" t="s">
        <v>283</v>
      </c>
      <c r="P56" s="443" t="s">
        <v>284</v>
      </c>
      <c r="Q56" s="203">
        <v>-44844.183643999975</v>
      </c>
      <c r="R56" s="457" t="s">
        <v>2509</v>
      </c>
      <c r="S56" s="253"/>
      <c r="T56" s="159">
        <v>50</v>
      </c>
      <c r="U56" t="s">
        <v>283</v>
      </c>
      <c r="V56" t="s">
        <v>284</v>
      </c>
      <c r="W56" s="372">
        <v>-55592.639999999999</v>
      </c>
      <c r="X56" s="372">
        <v>-82055.274049</v>
      </c>
      <c r="Y56" s="377">
        <v>-36698.316528000054</v>
      </c>
      <c r="Z56" s="378">
        <v>-71602.910422000015</v>
      </c>
      <c r="AA56" s="358">
        <f t="shared" si="3"/>
        <v>-245949.14099900008</v>
      </c>
      <c r="AE56" s="159">
        <f t="shared" si="4"/>
        <v>0</v>
      </c>
      <c r="AG56" s="471" t="s">
        <v>283</v>
      </c>
      <c r="AH56" s="467" t="s">
        <v>284</v>
      </c>
      <c r="AI56" s="475">
        <v>-55592.639999999999</v>
      </c>
      <c r="AJ56" s="475">
        <v>-82055.274049</v>
      </c>
      <c r="AK56" s="476">
        <v>-36698.316528000054</v>
      </c>
      <c r="AL56" s="477">
        <v>-71602.910422000015</v>
      </c>
      <c r="AM56" s="478">
        <v>-245949.14099900008</v>
      </c>
      <c r="AN56" s="478"/>
      <c r="AO56" s="467"/>
      <c r="AP56" s="479">
        <f t="shared" si="5"/>
        <v>-190356.50099900007</v>
      </c>
      <c r="AQ56" s="467"/>
      <c r="AR56" s="467"/>
      <c r="AS56" s="509">
        <f t="shared" si="6"/>
        <v>-82055.274049</v>
      </c>
      <c r="AT56" s="476">
        <v>-36698.316528000054</v>
      </c>
      <c r="AU56" s="477">
        <v>-71602.910422000015</v>
      </c>
      <c r="AV56" s="494">
        <f t="shared" si="7"/>
        <v>-190356.50099900007</v>
      </c>
      <c r="AW56" s="494">
        <f t="shared" si="8"/>
        <v>0</v>
      </c>
      <c r="AX56" s="468"/>
      <c r="AY56" s="589">
        <v>-44844.183643999975</v>
      </c>
      <c r="AZ56" s="510">
        <f t="shared" si="9"/>
        <v>-235200.68464300004</v>
      </c>
      <c r="BA56" s="511">
        <f t="shared" si="10"/>
        <v>0</v>
      </c>
      <c r="BB56" s="460"/>
      <c r="BC56" s="464">
        <f t="shared" si="1"/>
        <v>0</v>
      </c>
    </row>
    <row r="57" spans="1:55" ht="15">
      <c r="A57" s="431">
        <v>51</v>
      </c>
      <c r="B57" s="431">
        <v>90</v>
      </c>
      <c r="C57" t="s">
        <v>324</v>
      </c>
      <c r="D57" t="s">
        <v>900</v>
      </c>
      <c r="E57" s="372">
        <v>0</v>
      </c>
      <c r="F57" s="372">
        <v>-266677.33352499991</v>
      </c>
      <c r="G57" s="377">
        <v>-496556.69308800012</v>
      </c>
      <c r="H57" s="590">
        <v>-333468.20667199988</v>
      </c>
      <c r="I57" s="358">
        <f t="shared" si="2"/>
        <v>-1096702.2332850001</v>
      </c>
      <c r="K57" s="66">
        <f t="shared" si="11"/>
        <v>0</v>
      </c>
      <c r="L57" s="66"/>
      <c r="M57" s="431">
        <v>51</v>
      </c>
      <c r="N57" s="431">
        <v>90</v>
      </c>
      <c r="O57" s="443" t="s">
        <v>324</v>
      </c>
      <c r="P57" s="443" t="s">
        <v>900</v>
      </c>
      <c r="Q57" s="203">
        <v>-333468.20667199988</v>
      </c>
      <c r="R57" s="457" t="s">
        <v>2509</v>
      </c>
      <c r="S57" s="253"/>
      <c r="T57" s="159">
        <v>51</v>
      </c>
      <c r="U57" t="s">
        <v>324</v>
      </c>
      <c r="V57" t="s">
        <v>900</v>
      </c>
      <c r="W57" s="372">
        <v>-497030.45</v>
      </c>
      <c r="X57" s="372">
        <v>44203.198558000113</v>
      </c>
      <c r="Y57" s="377">
        <v>-266677.33352499991</v>
      </c>
      <c r="Z57" s="378">
        <v>-496556.69308800012</v>
      </c>
      <c r="AA57" s="358">
        <f t="shared" si="3"/>
        <v>-1216061.2780549999</v>
      </c>
      <c r="AE57" s="159">
        <f t="shared" si="4"/>
        <v>0</v>
      </c>
      <c r="AG57" s="471" t="s">
        <v>324</v>
      </c>
      <c r="AH57" s="467" t="s">
        <v>900</v>
      </c>
      <c r="AI57" s="480">
        <v>-497030.45</v>
      </c>
      <c r="AJ57" s="480">
        <v>44203.198558000113</v>
      </c>
      <c r="AK57" s="476">
        <v>-266677.33352499991</v>
      </c>
      <c r="AL57" s="477">
        <v>-496556.69308800012</v>
      </c>
      <c r="AM57" s="478">
        <v>-1216061.2780549999</v>
      </c>
      <c r="AN57" s="478"/>
      <c r="AO57" s="467"/>
      <c r="AP57" s="489">
        <f>+AK57+AL57</f>
        <v>-763234.02661300008</v>
      </c>
      <c r="AQ57" s="467"/>
      <c r="AR57" s="467"/>
      <c r="AS57" s="512">
        <v>0</v>
      </c>
      <c r="AT57" s="476">
        <v>-266677.33352499991</v>
      </c>
      <c r="AU57" s="477">
        <v>-496556.69308800012</v>
      </c>
      <c r="AV57" s="494">
        <f t="shared" si="7"/>
        <v>-763234.02661300008</v>
      </c>
      <c r="AW57" s="494">
        <f t="shared" si="8"/>
        <v>0</v>
      </c>
      <c r="AX57" s="468"/>
      <c r="AY57" s="589">
        <v>-333468.20667199988</v>
      </c>
      <c r="AZ57" s="510">
        <f t="shared" si="9"/>
        <v>-1096702.2332850001</v>
      </c>
      <c r="BA57" s="511">
        <f t="shared" si="10"/>
        <v>0</v>
      </c>
      <c r="BB57" s="460"/>
      <c r="BC57" s="464">
        <f t="shared" si="1"/>
        <v>0</v>
      </c>
    </row>
    <row r="58" spans="1:55" ht="15">
      <c r="A58" s="431">
        <v>52</v>
      </c>
      <c r="B58" s="431">
        <v>24</v>
      </c>
      <c r="C58" t="s">
        <v>205</v>
      </c>
      <c r="D58" t="s">
        <v>845</v>
      </c>
      <c r="E58" s="372">
        <v>-87851.174980999975</v>
      </c>
      <c r="F58" s="372">
        <v>-82307.59577999996</v>
      </c>
      <c r="G58" s="377">
        <v>-71300.955516000016</v>
      </c>
      <c r="H58" s="590">
        <v>-73652.494579999999</v>
      </c>
      <c r="I58" s="358">
        <f t="shared" si="2"/>
        <v>-315112.22085699998</v>
      </c>
      <c r="K58" s="66">
        <f t="shared" si="11"/>
        <v>0</v>
      </c>
      <c r="L58" s="66"/>
      <c r="M58" s="431">
        <v>52</v>
      </c>
      <c r="N58" s="431">
        <v>24</v>
      </c>
      <c r="O58" s="443" t="s">
        <v>205</v>
      </c>
      <c r="P58" s="443" t="s">
        <v>845</v>
      </c>
      <c r="Q58" s="203">
        <v>-73652.494579999999</v>
      </c>
      <c r="R58" s="457" t="s">
        <v>2509</v>
      </c>
      <c r="S58" s="253"/>
      <c r="T58" s="159">
        <v>52</v>
      </c>
      <c r="U58" t="s">
        <v>205</v>
      </c>
      <c r="V58" t="s">
        <v>845</v>
      </c>
      <c r="W58" s="372">
        <v>-94316.31</v>
      </c>
      <c r="X58" s="372">
        <v>-87851.174980999975</v>
      </c>
      <c r="Y58" s="377">
        <v>-82307.59577999996</v>
      </c>
      <c r="Z58" s="378">
        <v>-71300.955516000016</v>
      </c>
      <c r="AA58" s="358">
        <f t="shared" si="3"/>
        <v>-335776.03627699998</v>
      </c>
      <c r="AE58" s="159">
        <f t="shared" si="4"/>
        <v>0</v>
      </c>
      <c r="AG58" s="471" t="s">
        <v>205</v>
      </c>
      <c r="AH58" s="467" t="s">
        <v>845</v>
      </c>
      <c r="AI58" s="475">
        <v>-94316.31</v>
      </c>
      <c r="AJ58" s="475">
        <v>-87851.174980999975</v>
      </c>
      <c r="AK58" s="476">
        <v>-82307.59577999996</v>
      </c>
      <c r="AL58" s="477">
        <v>-71300.955516000016</v>
      </c>
      <c r="AM58" s="478">
        <v>-335776.03627699998</v>
      </c>
      <c r="AN58" s="478"/>
      <c r="AO58" s="467"/>
      <c r="AP58" s="479">
        <f t="shared" si="5"/>
        <v>-241459.72627699995</v>
      </c>
      <c r="AQ58" s="467"/>
      <c r="AR58" s="467"/>
      <c r="AS58" s="509">
        <f t="shared" si="6"/>
        <v>-87851.174980999975</v>
      </c>
      <c r="AT58" s="476">
        <v>-82307.59577999996</v>
      </c>
      <c r="AU58" s="477">
        <v>-71300.955516000016</v>
      </c>
      <c r="AV58" s="494">
        <f t="shared" si="7"/>
        <v>-241459.72627699995</v>
      </c>
      <c r="AW58" s="494">
        <f t="shared" si="8"/>
        <v>0</v>
      </c>
      <c r="AX58" s="468"/>
      <c r="AY58" s="589">
        <v>-73652.494579999999</v>
      </c>
      <c r="AZ58" s="510">
        <f t="shared" si="9"/>
        <v>-315112.22085699998</v>
      </c>
      <c r="BA58" s="511">
        <f t="shared" si="10"/>
        <v>0</v>
      </c>
      <c r="BB58" s="460"/>
      <c r="BC58" s="464">
        <f t="shared" si="1"/>
        <v>0</v>
      </c>
    </row>
    <row r="59" spans="1:55" ht="15">
      <c r="A59" s="431">
        <v>53</v>
      </c>
      <c r="B59" s="431">
        <v>166</v>
      </c>
      <c r="C59" t="s">
        <v>448</v>
      </c>
      <c r="D59" t="s">
        <v>953</v>
      </c>
      <c r="E59" s="372">
        <v>-43688.142480000017</v>
      </c>
      <c r="F59" s="372">
        <v>-63594.796249999999</v>
      </c>
      <c r="G59" s="377">
        <v>-72672.349014999985</v>
      </c>
      <c r="H59" s="590">
        <v>-73834.049784000003</v>
      </c>
      <c r="I59" s="358">
        <f t="shared" si="2"/>
        <v>-253789.33752900001</v>
      </c>
      <c r="K59" s="66">
        <f t="shared" si="11"/>
        <v>0</v>
      </c>
      <c r="L59" s="66"/>
      <c r="M59" s="431">
        <v>53</v>
      </c>
      <c r="N59" s="431">
        <v>166</v>
      </c>
      <c r="O59" s="443" t="s">
        <v>448</v>
      </c>
      <c r="P59" s="443" t="s">
        <v>953</v>
      </c>
      <c r="Q59" s="203">
        <v>-73834.049784000003</v>
      </c>
      <c r="R59" s="457" t="s">
        <v>2509</v>
      </c>
      <c r="S59" s="253"/>
      <c r="T59" s="159">
        <v>53</v>
      </c>
      <c r="U59" t="s">
        <v>448</v>
      </c>
      <c r="V59" t="s">
        <v>953</v>
      </c>
      <c r="W59" s="372">
        <v>-59115.23</v>
      </c>
      <c r="X59" s="372">
        <v>-43688.142480000017</v>
      </c>
      <c r="Y59" s="377">
        <v>-63594.796249999999</v>
      </c>
      <c r="Z59" s="378">
        <v>-72672.349014999985</v>
      </c>
      <c r="AA59" s="358">
        <f t="shared" si="3"/>
        <v>-239070.51774500002</v>
      </c>
      <c r="AE59" s="159">
        <f t="shared" si="4"/>
        <v>0</v>
      </c>
      <c r="AG59" s="471" t="s">
        <v>448</v>
      </c>
      <c r="AH59" s="467" t="s">
        <v>953</v>
      </c>
      <c r="AI59" s="475">
        <v>-59115.23</v>
      </c>
      <c r="AJ59" s="475">
        <v>-43688.142480000017</v>
      </c>
      <c r="AK59" s="476">
        <v>-63594.796249999999</v>
      </c>
      <c r="AL59" s="477">
        <v>-72672.349014999985</v>
      </c>
      <c r="AM59" s="478">
        <v>-239070.51774500002</v>
      </c>
      <c r="AN59" s="478"/>
      <c r="AO59" s="467"/>
      <c r="AP59" s="479">
        <f t="shared" si="5"/>
        <v>-179955.28774500001</v>
      </c>
      <c r="AQ59" s="467"/>
      <c r="AR59" s="467"/>
      <c r="AS59" s="509">
        <f t="shared" si="6"/>
        <v>-43688.142480000017</v>
      </c>
      <c r="AT59" s="476">
        <v>-63594.796249999999</v>
      </c>
      <c r="AU59" s="477">
        <v>-72672.349014999985</v>
      </c>
      <c r="AV59" s="494">
        <f t="shared" si="7"/>
        <v>-179955.28774500001</v>
      </c>
      <c r="AW59" s="494">
        <f t="shared" si="8"/>
        <v>0</v>
      </c>
      <c r="AX59" s="468"/>
      <c r="AY59" s="589">
        <v>-73834.049784000003</v>
      </c>
      <c r="AZ59" s="510">
        <f t="shared" si="9"/>
        <v>-253789.33752900001</v>
      </c>
      <c r="BA59" s="511">
        <f t="shared" si="10"/>
        <v>0</v>
      </c>
      <c r="BB59" s="460"/>
      <c r="BC59" s="464">
        <f t="shared" si="1"/>
        <v>0</v>
      </c>
    </row>
    <row r="60" spans="1:55" ht="15">
      <c r="A60" s="431">
        <v>54</v>
      </c>
      <c r="B60" s="431">
        <v>56</v>
      </c>
      <c r="C60" t="s">
        <v>259</v>
      </c>
      <c r="D60" t="s">
        <v>870</v>
      </c>
      <c r="E60" s="372">
        <v>-94350.827174999984</v>
      </c>
      <c r="F60" s="372">
        <v>-61212.27057600001</v>
      </c>
      <c r="G60" s="377">
        <v>-104405.16860999999</v>
      </c>
      <c r="H60" s="590">
        <v>-145927.52961500006</v>
      </c>
      <c r="I60" s="358">
        <f t="shared" si="2"/>
        <v>-405895.79597600002</v>
      </c>
      <c r="K60" s="66">
        <f t="shared" si="11"/>
        <v>0</v>
      </c>
      <c r="L60" s="66"/>
      <c r="M60" s="431">
        <v>54</v>
      </c>
      <c r="N60" s="431">
        <v>56</v>
      </c>
      <c r="O60" s="443" t="s">
        <v>259</v>
      </c>
      <c r="P60" s="443" t="s">
        <v>870</v>
      </c>
      <c r="Q60" s="203">
        <v>-145927.52961500006</v>
      </c>
      <c r="R60" s="457" t="s">
        <v>2509</v>
      </c>
      <c r="S60" s="253"/>
      <c r="T60" s="159">
        <v>54</v>
      </c>
      <c r="U60" t="s">
        <v>259</v>
      </c>
      <c r="V60" t="s">
        <v>870</v>
      </c>
      <c r="W60" s="372">
        <v>-107093.03</v>
      </c>
      <c r="X60" s="372">
        <v>-94350.827174999984</v>
      </c>
      <c r="Y60" s="377">
        <v>-61212.27057600001</v>
      </c>
      <c r="Z60" s="378">
        <v>-104405.16860999999</v>
      </c>
      <c r="AA60" s="358">
        <f t="shared" si="3"/>
        <v>-367061.29636099999</v>
      </c>
      <c r="AE60" s="159">
        <f t="shared" si="4"/>
        <v>0</v>
      </c>
      <c r="AG60" s="471" t="s">
        <v>259</v>
      </c>
      <c r="AH60" s="467" t="s">
        <v>870</v>
      </c>
      <c r="AI60" s="475">
        <v>-107093.03</v>
      </c>
      <c r="AJ60" s="475">
        <v>-94350.827174999984</v>
      </c>
      <c r="AK60" s="476">
        <v>-61212.27057600001</v>
      </c>
      <c r="AL60" s="477">
        <v>-104405.16860999999</v>
      </c>
      <c r="AM60" s="478">
        <v>-367061.29636099999</v>
      </c>
      <c r="AN60" s="478"/>
      <c r="AO60" s="467"/>
      <c r="AP60" s="479">
        <f t="shared" si="5"/>
        <v>-259968.26636099999</v>
      </c>
      <c r="AQ60" s="467"/>
      <c r="AR60" s="467"/>
      <c r="AS60" s="509">
        <f t="shared" si="6"/>
        <v>-94350.827174999984</v>
      </c>
      <c r="AT60" s="476">
        <v>-61212.27057600001</v>
      </c>
      <c r="AU60" s="477">
        <v>-104405.16860999999</v>
      </c>
      <c r="AV60" s="494">
        <f t="shared" si="7"/>
        <v>-259968.26636099999</v>
      </c>
      <c r="AW60" s="494">
        <f t="shared" si="8"/>
        <v>0</v>
      </c>
      <c r="AX60" s="468"/>
      <c r="AY60" s="589">
        <v>-145927.52961500006</v>
      </c>
      <c r="AZ60" s="510">
        <f t="shared" si="9"/>
        <v>-405895.79597600002</v>
      </c>
      <c r="BA60" s="511">
        <f t="shared" si="10"/>
        <v>0</v>
      </c>
      <c r="BB60" s="460"/>
      <c r="BC60" s="464">
        <f t="shared" si="1"/>
        <v>0</v>
      </c>
    </row>
    <row r="61" spans="1:55" ht="15">
      <c r="A61" s="431">
        <v>55</v>
      </c>
      <c r="B61" s="431">
        <v>194</v>
      </c>
      <c r="C61" t="s">
        <v>501</v>
      </c>
      <c r="D61" t="s">
        <v>980</v>
      </c>
      <c r="E61" s="372">
        <v>-79639.347268000012</v>
      </c>
      <c r="F61" s="372">
        <v>-83731.017324000015</v>
      </c>
      <c r="G61" s="377">
        <v>-25371.245986000009</v>
      </c>
      <c r="H61" s="590">
        <v>-59065.188206000021</v>
      </c>
      <c r="I61" s="358">
        <f t="shared" si="2"/>
        <v>-247806.79878400004</v>
      </c>
      <c r="K61" s="66">
        <f t="shared" si="11"/>
        <v>0</v>
      </c>
      <c r="L61" s="66"/>
      <c r="M61" s="431">
        <v>55</v>
      </c>
      <c r="N61" s="431">
        <v>194</v>
      </c>
      <c r="O61" s="443" t="s">
        <v>501</v>
      </c>
      <c r="P61" s="443" t="s">
        <v>980</v>
      </c>
      <c r="Q61" s="203">
        <v>-59065.188206000021</v>
      </c>
      <c r="R61" s="457" t="s">
        <v>2509</v>
      </c>
      <c r="S61" s="253"/>
      <c r="T61" s="159">
        <v>55</v>
      </c>
      <c r="U61" t="s">
        <v>501</v>
      </c>
      <c r="V61" t="s">
        <v>980</v>
      </c>
      <c r="W61" s="372">
        <v>-55917.57</v>
      </c>
      <c r="X61" s="372">
        <v>-79639.347268000012</v>
      </c>
      <c r="Y61" s="377">
        <v>-83731.017324000015</v>
      </c>
      <c r="Z61" s="378">
        <v>-25371.245986000009</v>
      </c>
      <c r="AA61" s="358">
        <f t="shared" si="3"/>
        <v>-244659.18057800003</v>
      </c>
      <c r="AE61" s="159">
        <f t="shared" si="4"/>
        <v>0</v>
      </c>
      <c r="AG61" s="471" t="s">
        <v>501</v>
      </c>
      <c r="AH61" s="467" t="s">
        <v>980</v>
      </c>
      <c r="AI61" s="475">
        <v>-55917.57</v>
      </c>
      <c r="AJ61" s="475">
        <v>-79639.347268000012</v>
      </c>
      <c r="AK61" s="476">
        <v>-83731.017324000015</v>
      </c>
      <c r="AL61" s="477">
        <v>-25371.245986000009</v>
      </c>
      <c r="AM61" s="478">
        <v>-244659.18057800003</v>
      </c>
      <c r="AN61" s="478"/>
      <c r="AO61" s="467"/>
      <c r="AP61" s="479">
        <f t="shared" si="5"/>
        <v>-188741.61057800002</v>
      </c>
      <c r="AQ61" s="467"/>
      <c r="AR61" s="467"/>
      <c r="AS61" s="509">
        <f t="shared" si="6"/>
        <v>-79639.347268000012</v>
      </c>
      <c r="AT61" s="476">
        <v>-83731.017324000015</v>
      </c>
      <c r="AU61" s="477">
        <v>-25371.245986000009</v>
      </c>
      <c r="AV61" s="494">
        <f t="shared" si="7"/>
        <v>-188741.61057800002</v>
      </c>
      <c r="AW61" s="494">
        <f t="shared" si="8"/>
        <v>0</v>
      </c>
      <c r="AX61" s="468"/>
      <c r="AY61" s="589">
        <v>-59065.188206000021</v>
      </c>
      <c r="AZ61" s="510">
        <f t="shared" si="9"/>
        <v>-247806.79878400004</v>
      </c>
      <c r="BA61" s="511">
        <f t="shared" si="10"/>
        <v>0</v>
      </c>
      <c r="BB61" s="460"/>
      <c r="BC61" s="464">
        <f t="shared" si="1"/>
        <v>0</v>
      </c>
    </row>
    <row r="62" spans="1:55" ht="15">
      <c r="A62" s="431">
        <v>56</v>
      </c>
      <c r="B62" s="431">
        <v>134</v>
      </c>
      <c r="C62" s="347" t="s">
        <v>384</v>
      </c>
      <c r="D62" s="348" t="s">
        <v>385</v>
      </c>
      <c r="E62" s="380">
        <v>0</v>
      </c>
      <c r="F62" s="371"/>
      <c r="G62" s="377"/>
      <c r="H62" s="590">
        <v>0</v>
      </c>
      <c r="I62" s="358">
        <f t="shared" si="2"/>
        <v>0</v>
      </c>
      <c r="K62" s="66">
        <f t="shared" si="11"/>
        <v>0</v>
      </c>
      <c r="L62" s="66"/>
      <c r="M62" s="431">
        <v>56</v>
      </c>
      <c r="N62" s="431">
        <v>134</v>
      </c>
      <c r="O62" s="447" t="s">
        <v>384</v>
      </c>
      <c r="P62" s="446" t="s">
        <v>2375</v>
      </c>
      <c r="Q62" s="203">
        <v>0</v>
      </c>
      <c r="R62" s="457" t="s">
        <v>2509</v>
      </c>
      <c r="S62" s="253"/>
      <c r="T62" s="159">
        <v>56</v>
      </c>
      <c r="U62" s="347" t="s">
        <v>384</v>
      </c>
      <c r="V62" s="348" t="s">
        <v>385</v>
      </c>
      <c r="W62" s="380">
        <v>0</v>
      </c>
      <c r="X62" s="371"/>
      <c r="Y62" s="377"/>
      <c r="Z62" s="378"/>
      <c r="AA62" s="358">
        <f t="shared" si="3"/>
        <v>0</v>
      </c>
      <c r="AE62" s="159">
        <f t="shared" si="4"/>
        <v>0</v>
      </c>
      <c r="AG62" s="471" t="s">
        <v>384</v>
      </c>
      <c r="AH62" s="467" t="s">
        <v>385</v>
      </c>
      <c r="AI62" s="484">
        <v>0</v>
      </c>
      <c r="AJ62" s="485"/>
      <c r="AK62" s="476"/>
      <c r="AL62" s="477"/>
      <c r="AM62" s="478">
        <v>0</v>
      </c>
      <c r="AN62" s="478"/>
      <c r="AO62" s="467"/>
      <c r="AP62" s="479">
        <f t="shared" si="5"/>
        <v>0</v>
      </c>
      <c r="AQ62" s="467"/>
      <c r="AR62" s="467"/>
      <c r="AS62" s="509">
        <f t="shared" si="6"/>
        <v>0</v>
      </c>
      <c r="AT62" s="476"/>
      <c r="AU62" s="477"/>
      <c r="AV62" s="494">
        <f t="shared" si="7"/>
        <v>0</v>
      </c>
      <c r="AW62" s="494">
        <f t="shared" si="8"/>
        <v>0</v>
      </c>
      <c r="AX62" s="468"/>
      <c r="AY62" s="589">
        <v>0</v>
      </c>
      <c r="AZ62" s="510">
        <f t="shared" si="9"/>
        <v>0</v>
      </c>
      <c r="BA62" s="511">
        <f t="shared" si="10"/>
        <v>0</v>
      </c>
      <c r="BB62" s="460"/>
      <c r="BC62" s="464">
        <f t="shared" si="1"/>
        <v>0</v>
      </c>
    </row>
    <row r="63" spans="1:55" ht="15">
      <c r="A63" s="431">
        <v>57</v>
      </c>
      <c r="B63" s="431">
        <v>241</v>
      </c>
      <c r="C63" t="s">
        <v>586</v>
      </c>
      <c r="D63" t="s">
        <v>1015</v>
      </c>
      <c r="E63" s="372">
        <v>-46922.007001999969</v>
      </c>
      <c r="F63" s="372">
        <v>-38158.24188799999</v>
      </c>
      <c r="G63" s="377">
        <v>-130053.48798673521</v>
      </c>
      <c r="H63" s="590">
        <v>-114149.5358619999</v>
      </c>
      <c r="I63" s="358">
        <f t="shared" si="2"/>
        <v>-329283.27273873508</v>
      </c>
      <c r="K63" s="66">
        <f t="shared" si="11"/>
        <v>0</v>
      </c>
      <c r="L63" s="66"/>
      <c r="M63" s="431">
        <v>57</v>
      </c>
      <c r="N63" s="431">
        <v>241</v>
      </c>
      <c r="O63" s="443" t="s">
        <v>586</v>
      </c>
      <c r="P63" s="443" t="s">
        <v>1015</v>
      </c>
      <c r="Q63" s="203">
        <v>-114149.5358619999</v>
      </c>
      <c r="R63" s="457" t="s">
        <v>2509</v>
      </c>
      <c r="S63" s="253"/>
      <c r="T63" s="159">
        <v>57</v>
      </c>
      <c r="U63" t="s">
        <v>586</v>
      </c>
      <c r="V63" t="s">
        <v>1015</v>
      </c>
      <c r="W63" s="372">
        <v>-54191.839999999997</v>
      </c>
      <c r="X63" s="372">
        <v>-46922.007001999969</v>
      </c>
      <c r="Y63" s="377">
        <v>-38158.24188799999</v>
      </c>
      <c r="Z63" s="378">
        <v>-130053.48798673521</v>
      </c>
      <c r="AA63" s="358">
        <f t="shared" si="3"/>
        <v>-269325.5768767352</v>
      </c>
      <c r="AE63" s="159">
        <f t="shared" si="4"/>
        <v>0</v>
      </c>
      <c r="AG63" s="471" t="s">
        <v>586</v>
      </c>
      <c r="AH63" s="467" t="s">
        <v>1015</v>
      </c>
      <c r="AI63" s="475">
        <v>-54191.839999999997</v>
      </c>
      <c r="AJ63" s="475">
        <v>-46922.007001999969</v>
      </c>
      <c r="AK63" s="476">
        <v>-38158.24188799999</v>
      </c>
      <c r="AL63" s="477">
        <v>-130053.48798673521</v>
      </c>
      <c r="AM63" s="478">
        <v>-269325.5768767352</v>
      </c>
      <c r="AN63" s="478"/>
      <c r="AO63" s="467"/>
      <c r="AP63" s="479">
        <f t="shared" si="5"/>
        <v>-215133.73687673517</v>
      </c>
      <c r="AQ63" s="467"/>
      <c r="AR63" s="467"/>
      <c r="AS63" s="509">
        <f t="shared" si="6"/>
        <v>-46922.007001999969</v>
      </c>
      <c r="AT63" s="476">
        <v>-38158.24188799999</v>
      </c>
      <c r="AU63" s="477">
        <v>-130053.48798673521</v>
      </c>
      <c r="AV63" s="494">
        <f t="shared" si="7"/>
        <v>-215133.73687673517</v>
      </c>
      <c r="AW63" s="494">
        <f t="shared" si="8"/>
        <v>0</v>
      </c>
      <c r="AX63" s="468"/>
      <c r="AY63" s="589">
        <v>-114149.5358619999</v>
      </c>
      <c r="AZ63" s="510">
        <f t="shared" si="9"/>
        <v>-329283.27273873508</v>
      </c>
      <c r="BA63" s="511">
        <f t="shared" si="10"/>
        <v>0</v>
      </c>
      <c r="BB63" s="460"/>
      <c r="BC63" s="464">
        <f t="shared" si="1"/>
        <v>0</v>
      </c>
    </row>
    <row r="64" spans="1:55" ht="15">
      <c r="A64" s="431">
        <v>58</v>
      </c>
      <c r="B64" s="431">
        <v>170</v>
      </c>
      <c r="C64" t="s">
        <v>456</v>
      </c>
      <c r="D64" t="s">
        <v>957</v>
      </c>
      <c r="E64" s="372">
        <v>0</v>
      </c>
      <c r="F64" s="372">
        <v>0</v>
      </c>
      <c r="G64" s="377">
        <v>-61998.234067999896</v>
      </c>
      <c r="H64" s="590">
        <v>-15647.534125000006</v>
      </c>
      <c r="I64" s="358">
        <f t="shared" si="2"/>
        <v>-77645.768192999909</v>
      </c>
      <c r="K64" s="66">
        <f t="shared" si="11"/>
        <v>0</v>
      </c>
      <c r="L64" s="66"/>
      <c r="M64" s="431">
        <v>58</v>
      </c>
      <c r="N64" s="431">
        <v>170</v>
      </c>
      <c r="O64" s="443" t="s">
        <v>456</v>
      </c>
      <c r="P64" s="443" t="s">
        <v>957</v>
      </c>
      <c r="Q64" s="203">
        <v>-15647.534125000006</v>
      </c>
      <c r="R64" s="457" t="s">
        <v>2509</v>
      </c>
      <c r="S64" s="253"/>
      <c r="T64" s="159">
        <v>58</v>
      </c>
      <c r="U64" t="s">
        <v>456</v>
      </c>
      <c r="V64" t="s">
        <v>957</v>
      </c>
      <c r="W64" s="372">
        <v>-95831.63</v>
      </c>
      <c r="X64" s="372">
        <v>0</v>
      </c>
      <c r="Y64" s="377">
        <v>0</v>
      </c>
      <c r="Z64" s="378">
        <v>-61998.234067999896</v>
      </c>
      <c r="AA64" s="358">
        <f t="shared" si="3"/>
        <v>-157829.86406799991</v>
      </c>
      <c r="AE64" s="159">
        <f t="shared" si="4"/>
        <v>0</v>
      </c>
      <c r="AG64" s="471" t="s">
        <v>456</v>
      </c>
      <c r="AH64" s="467" t="s">
        <v>957</v>
      </c>
      <c r="AI64" s="475">
        <v>-95831.63</v>
      </c>
      <c r="AJ64" s="475">
        <v>0</v>
      </c>
      <c r="AK64" s="476">
        <v>0</v>
      </c>
      <c r="AL64" s="477">
        <v>-61998.234067999896</v>
      </c>
      <c r="AM64" s="478">
        <v>-157829.86406799991</v>
      </c>
      <c r="AN64" s="478"/>
      <c r="AO64" s="467"/>
      <c r="AP64" s="479">
        <f t="shared" si="5"/>
        <v>-61998.234067999896</v>
      </c>
      <c r="AQ64" s="467"/>
      <c r="AR64" s="467"/>
      <c r="AS64" s="509">
        <f t="shared" si="6"/>
        <v>0</v>
      </c>
      <c r="AT64" s="476">
        <v>0</v>
      </c>
      <c r="AU64" s="477">
        <v>-61998.234067999896</v>
      </c>
      <c r="AV64" s="494">
        <f t="shared" si="7"/>
        <v>-61998.234067999896</v>
      </c>
      <c r="AW64" s="494">
        <f t="shared" si="8"/>
        <v>0</v>
      </c>
      <c r="AX64" s="468"/>
      <c r="AY64" s="589">
        <v>-15647.534125000006</v>
      </c>
      <c r="AZ64" s="510">
        <f t="shared" si="9"/>
        <v>-77645.768192999909</v>
      </c>
      <c r="BA64" s="511">
        <f t="shared" si="10"/>
        <v>0</v>
      </c>
      <c r="BB64" s="460"/>
      <c r="BC64" s="464">
        <f t="shared" si="1"/>
        <v>0</v>
      </c>
    </row>
    <row r="65" spans="1:55" ht="15">
      <c r="A65" s="431">
        <v>59</v>
      </c>
      <c r="B65" s="431">
        <v>41</v>
      </c>
      <c r="C65" t="s">
        <v>229</v>
      </c>
      <c r="D65" t="s">
        <v>856</v>
      </c>
      <c r="E65" s="372">
        <v>-72005.365409999999</v>
      </c>
      <c r="F65" s="372">
        <v>-71530.904385000002</v>
      </c>
      <c r="G65" s="377">
        <v>-85886.329729999998</v>
      </c>
      <c r="H65" s="590">
        <v>-88425.917358000006</v>
      </c>
      <c r="I65" s="358">
        <f t="shared" si="2"/>
        <v>-317848.51688300003</v>
      </c>
      <c r="K65" s="66">
        <f t="shared" si="11"/>
        <v>0</v>
      </c>
      <c r="L65" s="66"/>
      <c r="M65" s="431">
        <v>59</v>
      </c>
      <c r="N65" s="431">
        <v>41</v>
      </c>
      <c r="O65" s="443" t="s">
        <v>229</v>
      </c>
      <c r="P65" s="443" t="s">
        <v>856</v>
      </c>
      <c r="Q65" s="203">
        <v>-88425.917358000006</v>
      </c>
      <c r="R65" s="457" t="s">
        <v>2509</v>
      </c>
      <c r="S65" s="253"/>
      <c r="T65" s="159">
        <v>59</v>
      </c>
      <c r="U65" t="s">
        <v>229</v>
      </c>
      <c r="V65" t="s">
        <v>856</v>
      </c>
      <c r="W65" s="372">
        <v>-77398.2</v>
      </c>
      <c r="X65" s="372">
        <v>-72005.365409999999</v>
      </c>
      <c r="Y65" s="377">
        <v>-71530.904385000002</v>
      </c>
      <c r="Z65" s="378">
        <v>-85886.329729999998</v>
      </c>
      <c r="AA65" s="358">
        <f t="shared" si="3"/>
        <v>-306820.79952499998</v>
      </c>
      <c r="AE65" s="159">
        <f t="shared" si="4"/>
        <v>0</v>
      </c>
      <c r="AG65" s="471" t="s">
        <v>229</v>
      </c>
      <c r="AH65" s="467" t="s">
        <v>856</v>
      </c>
      <c r="AI65" s="475">
        <v>-77398.2</v>
      </c>
      <c r="AJ65" s="475">
        <v>-72005.365409999999</v>
      </c>
      <c r="AK65" s="476">
        <v>-71530.904385000002</v>
      </c>
      <c r="AL65" s="477">
        <v>-85886.329729999998</v>
      </c>
      <c r="AM65" s="478">
        <v>-306820.79952499998</v>
      </c>
      <c r="AN65" s="478"/>
      <c r="AO65" s="467"/>
      <c r="AP65" s="479">
        <f t="shared" si="5"/>
        <v>-229422.599525</v>
      </c>
      <c r="AQ65" s="467"/>
      <c r="AR65" s="467"/>
      <c r="AS65" s="509">
        <f t="shared" si="6"/>
        <v>-72005.365409999999</v>
      </c>
      <c r="AT65" s="476">
        <v>-71530.904385000002</v>
      </c>
      <c r="AU65" s="477">
        <v>-85886.329729999998</v>
      </c>
      <c r="AV65" s="494">
        <f t="shared" si="7"/>
        <v>-229422.599525</v>
      </c>
      <c r="AW65" s="494">
        <f t="shared" si="8"/>
        <v>0</v>
      </c>
      <c r="AX65" s="468"/>
      <c r="AY65" s="589">
        <v>-88425.917358000006</v>
      </c>
      <c r="AZ65" s="510">
        <f t="shared" si="9"/>
        <v>-317848.51688300003</v>
      </c>
      <c r="BA65" s="511">
        <f t="shared" si="10"/>
        <v>0</v>
      </c>
      <c r="BB65" s="460"/>
      <c r="BC65" s="464">
        <f t="shared" si="1"/>
        <v>0</v>
      </c>
    </row>
    <row r="66" spans="1:55" ht="15">
      <c r="A66" s="431">
        <v>60</v>
      </c>
      <c r="B66" s="431">
        <v>256</v>
      </c>
      <c r="C66" t="s">
        <v>614</v>
      </c>
      <c r="D66" t="s">
        <v>1025</v>
      </c>
      <c r="E66" s="372">
        <v>-94560.841037000035</v>
      </c>
      <c r="F66" s="372">
        <v>59965.175989999872</v>
      </c>
      <c r="G66" s="377">
        <v>42506.891979000196</v>
      </c>
      <c r="H66" s="590">
        <v>124018.47572799982</v>
      </c>
      <c r="I66" s="358">
        <f t="shared" si="2"/>
        <v>131929.70265999984</v>
      </c>
      <c r="K66" s="66">
        <f t="shared" si="11"/>
        <v>0</v>
      </c>
      <c r="L66" s="66"/>
      <c r="M66" s="431">
        <v>60</v>
      </c>
      <c r="N66" s="431">
        <v>256</v>
      </c>
      <c r="O66" s="443" t="s">
        <v>614</v>
      </c>
      <c r="P66" s="443" t="s">
        <v>1025</v>
      </c>
      <c r="Q66" s="203">
        <v>124018.47572799982</v>
      </c>
      <c r="R66" s="457" t="s">
        <v>2509</v>
      </c>
      <c r="S66" s="253"/>
      <c r="T66" s="159">
        <v>60</v>
      </c>
      <c r="U66" t="s">
        <v>614</v>
      </c>
      <c r="V66" t="s">
        <v>1025</v>
      </c>
      <c r="W66" s="372">
        <v>-138048.32000000001</v>
      </c>
      <c r="X66" s="372">
        <v>-94560.841037000035</v>
      </c>
      <c r="Y66" s="377">
        <v>59965.175989999872</v>
      </c>
      <c r="Z66" s="378">
        <v>42506.891979000196</v>
      </c>
      <c r="AA66" s="358">
        <f t="shared" si="3"/>
        <v>-130137.09306799997</v>
      </c>
      <c r="AE66" s="159">
        <f t="shared" si="4"/>
        <v>0</v>
      </c>
      <c r="AG66" s="471" t="s">
        <v>614</v>
      </c>
      <c r="AH66" s="467" t="s">
        <v>1025</v>
      </c>
      <c r="AI66" s="475">
        <v>-138048.32000000001</v>
      </c>
      <c r="AJ66" s="475">
        <v>-94560.841037000035</v>
      </c>
      <c r="AK66" s="476">
        <v>59965.175989999872</v>
      </c>
      <c r="AL66" s="477">
        <v>42506.891979000196</v>
      </c>
      <c r="AM66" s="478">
        <v>-130137.09306799997</v>
      </c>
      <c r="AN66" s="478"/>
      <c r="AO66" s="467"/>
      <c r="AP66" s="479">
        <f t="shared" si="5"/>
        <v>7911.2269320000341</v>
      </c>
      <c r="AQ66" s="467"/>
      <c r="AR66" s="467"/>
      <c r="AS66" s="509">
        <f t="shared" si="6"/>
        <v>-94560.841037000035</v>
      </c>
      <c r="AT66" s="476">
        <v>59965.175989999872</v>
      </c>
      <c r="AU66" s="477">
        <v>42506.891979000196</v>
      </c>
      <c r="AV66" s="494">
        <f t="shared" si="7"/>
        <v>7911.2269320000341</v>
      </c>
      <c r="AW66" s="494">
        <f t="shared" si="8"/>
        <v>0</v>
      </c>
      <c r="AX66" s="468"/>
      <c r="AY66" s="589">
        <v>124018.47572799982</v>
      </c>
      <c r="AZ66" s="510">
        <f t="shared" si="9"/>
        <v>131929.70265999984</v>
      </c>
      <c r="BA66" s="511">
        <f t="shared" si="10"/>
        <v>0</v>
      </c>
      <c r="BB66" s="460"/>
      <c r="BC66" s="464">
        <f t="shared" si="1"/>
        <v>0</v>
      </c>
    </row>
    <row r="67" spans="1:55" ht="15">
      <c r="A67" s="431">
        <v>61</v>
      </c>
      <c r="B67" s="431">
        <v>202</v>
      </c>
      <c r="C67" t="s">
        <v>517</v>
      </c>
      <c r="D67" t="s">
        <v>988</v>
      </c>
      <c r="E67" s="372">
        <v>-21493.775479999986</v>
      </c>
      <c r="F67" s="372">
        <v>8697.6772240000937</v>
      </c>
      <c r="G67" s="377">
        <v>-70688.591385999927</v>
      </c>
      <c r="H67" s="590">
        <v>-159606.51664000016</v>
      </c>
      <c r="I67" s="358">
        <f t="shared" si="2"/>
        <v>-243091.206282</v>
      </c>
      <c r="K67" s="66">
        <f t="shared" si="11"/>
        <v>0</v>
      </c>
      <c r="L67" s="66"/>
      <c r="M67" s="431">
        <v>61</v>
      </c>
      <c r="N67" s="431">
        <v>202</v>
      </c>
      <c r="O67" s="443" t="s">
        <v>517</v>
      </c>
      <c r="P67" s="443" t="s">
        <v>988</v>
      </c>
      <c r="Q67" s="203">
        <v>-159606.51664000016</v>
      </c>
      <c r="R67" s="457" t="s">
        <v>2509</v>
      </c>
      <c r="S67" s="253"/>
      <c r="T67" s="159">
        <v>61</v>
      </c>
      <c r="U67" t="s">
        <v>517</v>
      </c>
      <c r="V67" t="s">
        <v>988</v>
      </c>
      <c r="W67" s="372">
        <v>-58310.36</v>
      </c>
      <c r="X67" s="372">
        <v>-21493.775479999986</v>
      </c>
      <c r="Y67" s="377">
        <v>8697.6772240000937</v>
      </c>
      <c r="Z67" s="378">
        <v>-70688.591385999927</v>
      </c>
      <c r="AA67" s="358">
        <f t="shared" si="3"/>
        <v>-141795.04964199982</v>
      </c>
      <c r="AE67" s="159">
        <f t="shared" si="4"/>
        <v>0</v>
      </c>
      <c r="AG67" s="471" t="s">
        <v>517</v>
      </c>
      <c r="AH67" s="467" t="s">
        <v>988</v>
      </c>
      <c r="AI67" s="475">
        <v>-58310.36</v>
      </c>
      <c r="AJ67" s="475">
        <v>-21493.775479999986</v>
      </c>
      <c r="AK67" s="476">
        <v>8697.6772240000937</v>
      </c>
      <c r="AL67" s="477">
        <v>-70688.591385999927</v>
      </c>
      <c r="AM67" s="478">
        <v>-141795.04964199982</v>
      </c>
      <c r="AN67" s="478"/>
      <c r="AO67" s="467"/>
      <c r="AP67" s="479">
        <f t="shared" si="5"/>
        <v>-83484.689641999823</v>
      </c>
      <c r="AQ67" s="467"/>
      <c r="AR67" s="467"/>
      <c r="AS67" s="509">
        <f t="shared" si="6"/>
        <v>-21493.775479999986</v>
      </c>
      <c r="AT67" s="476">
        <v>8697.6772240000937</v>
      </c>
      <c r="AU67" s="477">
        <v>-70688.591385999927</v>
      </c>
      <c r="AV67" s="494">
        <f t="shared" si="7"/>
        <v>-83484.689641999823</v>
      </c>
      <c r="AW67" s="494">
        <f t="shared" si="8"/>
        <v>0</v>
      </c>
      <c r="AX67" s="468"/>
      <c r="AY67" s="589">
        <v>-159606.51664000016</v>
      </c>
      <c r="AZ67" s="510">
        <f t="shared" si="9"/>
        <v>-243091.206282</v>
      </c>
      <c r="BA67" s="511">
        <f t="shared" si="10"/>
        <v>0</v>
      </c>
      <c r="BB67" s="460"/>
      <c r="BC67" s="464">
        <f t="shared" si="1"/>
        <v>0</v>
      </c>
    </row>
    <row r="68" spans="1:55" ht="15">
      <c r="A68" s="431">
        <v>62</v>
      </c>
      <c r="B68" s="431">
        <v>285</v>
      </c>
      <c r="C68" t="s">
        <v>658</v>
      </c>
      <c r="D68" t="s">
        <v>1046</v>
      </c>
      <c r="E68" s="372">
        <v>-52168.308032000001</v>
      </c>
      <c r="F68" s="372">
        <v>-57052.240794999991</v>
      </c>
      <c r="G68" s="377">
        <v>-61832.173638999986</v>
      </c>
      <c r="H68" s="590">
        <v>-43856.619194999992</v>
      </c>
      <c r="I68" s="358">
        <f t="shared" si="2"/>
        <v>-214909.34166099998</v>
      </c>
      <c r="K68" s="66">
        <f t="shared" si="11"/>
        <v>0</v>
      </c>
      <c r="L68" s="66"/>
      <c r="M68" s="431">
        <v>62</v>
      </c>
      <c r="N68" s="431">
        <v>285</v>
      </c>
      <c r="O68" s="443" t="s">
        <v>658</v>
      </c>
      <c r="P68" s="443" t="s">
        <v>1046</v>
      </c>
      <c r="Q68" s="203">
        <v>-43856.619194999992</v>
      </c>
      <c r="R68" s="457" t="s">
        <v>2509</v>
      </c>
      <c r="S68" s="253"/>
      <c r="T68" s="159">
        <v>62</v>
      </c>
      <c r="U68" t="s">
        <v>658</v>
      </c>
      <c r="V68" t="s">
        <v>1046</v>
      </c>
      <c r="W68" s="372">
        <v>-56142.83</v>
      </c>
      <c r="X68" s="372">
        <v>-52168.308032000001</v>
      </c>
      <c r="Y68" s="377">
        <v>-57052.240794999991</v>
      </c>
      <c r="Z68" s="378">
        <v>-61832.173638999986</v>
      </c>
      <c r="AA68" s="358">
        <f t="shared" si="3"/>
        <v>-227195.55246599996</v>
      </c>
      <c r="AE68" s="159">
        <f t="shared" si="4"/>
        <v>0</v>
      </c>
      <c r="AG68" s="471" t="s">
        <v>658</v>
      </c>
      <c r="AH68" s="467" t="s">
        <v>1046</v>
      </c>
      <c r="AI68" s="475">
        <v>-56142.83</v>
      </c>
      <c r="AJ68" s="475">
        <v>-52168.308032000001</v>
      </c>
      <c r="AK68" s="476">
        <v>-57052.240794999991</v>
      </c>
      <c r="AL68" s="477">
        <v>-61832.173638999986</v>
      </c>
      <c r="AM68" s="478">
        <v>-227195.55246599996</v>
      </c>
      <c r="AN68" s="478"/>
      <c r="AO68" s="467"/>
      <c r="AP68" s="479">
        <f t="shared" si="5"/>
        <v>-171052.72246599998</v>
      </c>
      <c r="AQ68" s="467"/>
      <c r="AR68" s="467"/>
      <c r="AS68" s="509">
        <f t="shared" si="6"/>
        <v>-52168.308032000001</v>
      </c>
      <c r="AT68" s="476">
        <v>-57052.240794999991</v>
      </c>
      <c r="AU68" s="477">
        <v>-61832.173638999986</v>
      </c>
      <c r="AV68" s="494">
        <f t="shared" si="7"/>
        <v>-171052.72246599998</v>
      </c>
      <c r="AW68" s="494">
        <f t="shared" si="8"/>
        <v>0</v>
      </c>
      <c r="AX68" s="468"/>
      <c r="AY68" s="589">
        <v>-43856.619194999992</v>
      </c>
      <c r="AZ68" s="510">
        <f t="shared" si="9"/>
        <v>-214909.34166099998</v>
      </c>
      <c r="BA68" s="511">
        <f t="shared" si="10"/>
        <v>0</v>
      </c>
      <c r="BB68" s="460"/>
      <c r="BC68" s="464">
        <f t="shared" si="1"/>
        <v>0</v>
      </c>
    </row>
    <row r="69" spans="1:55" ht="15">
      <c r="A69" s="431">
        <v>63</v>
      </c>
      <c r="B69" s="431">
        <v>253</v>
      </c>
      <c r="C69" t="s">
        <v>610</v>
      </c>
      <c r="D69" t="s">
        <v>1676</v>
      </c>
      <c r="E69" s="372">
        <v>-527263.52337600011</v>
      </c>
      <c r="F69" s="372">
        <v>-249327.71759000001</v>
      </c>
      <c r="G69" s="377">
        <v>-540544.20715799951</v>
      </c>
      <c r="H69" s="590">
        <v>-428772.27604499971</v>
      </c>
      <c r="I69" s="358">
        <f>SUM(E69:H69)</f>
        <v>-1745907.7241689994</v>
      </c>
      <c r="K69" s="66">
        <f t="shared" ref="K69:K132" si="12">+O69-C69</f>
        <v>0</v>
      </c>
      <c r="L69" s="66"/>
      <c r="M69" s="431">
        <v>63</v>
      </c>
      <c r="N69" s="431">
        <v>253</v>
      </c>
      <c r="O69" s="443" t="s">
        <v>610</v>
      </c>
      <c r="P69" s="443" t="s">
        <v>1676</v>
      </c>
      <c r="Q69" s="203">
        <v>-428772.27604499971</v>
      </c>
      <c r="R69" s="457" t="s">
        <v>2509</v>
      </c>
      <c r="S69" s="253"/>
      <c r="T69" s="159">
        <v>64</v>
      </c>
      <c r="U69" t="s">
        <v>610</v>
      </c>
      <c r="V69" t="s">
        <v>1676</v>
      </c>
      <c r="W69" s="372">
        <v>-565023.54</v>
      </c>
      <c r="X69" s="372">
        <v>-527263.52337600011</v>
      </c>
      <c r="Y69" s="377">
        <v>-249327.71759000001</v>
      </c>
      <c r="Z69" s="378">
        <v>-540544.20715799951</v>
      </c>
      <c r="AA69" s="358">
        <f>SUM(W69:Z69)</f>
        <v>-1882158.9881239997</v>
      </c>
      <c r="AE69" s="159">
        <f>+AG69-U69</f>
        <v>0</v>
      </c>
      <c r="AG69" s="471" t="s">
        <v>610</v>
      </c>
      <c r="AH69" s="467" t="s">
        <v>1676</v>
      </c>
      <c r="AI69" s="475">
        <v>-565023.54</v>
      </c>
      <c r="AJ69" s="475">
        <v>-527263.52337600011</v>
      </c>
      <c r="AK69" s="476">
        <v>-249327.71759000001</v>
      </c>
      <c r="AL69" s="477">
        <v>-540544.20715799951</v>
      </c>
      <c r="AM69" s="478">
        <v>-1882158.9881239997</v>
      </c>
      <c r="AN69" s="478"/>
      <c r="AO69" s="467"/>
      <c r="AP69" s="479">
        <f>SUM(AJ69:AL69)</f>
        <v>-1317135.4481239996</v>
      </c>
      <c r="AQ69" s="467"/>
      <c r="AR69" s="467"/>
      <c r="AS69" s="509">
        <f>+AJ69</f>
        <v>-527263.52337600011</v>
      </c>
      <c r="AT69" s="476">
        <v>-249327.71759000001</v>
      </c>
      <c r="AU69" s="477">
        <v>-540544.20715799951</v>
      </c>
      <c r="AV69" s="494">
        <f>SUM(AS69:AU69)</f>
        <v>-1317135.4481239996</v>
      </c>
      <c r="AW69" s="494">
        <f>+AV69-AP69</f>
        <v>0</v>
      </c>
      <c r="AX69" s="468"/>
      <c r="AY69" s="589">
        <v>-428772.27604499971</v>
      </c>
      <c r="AZ69" s="510">
        <f>+AY69+AV69</f>
        <v>-1745907.7241689994</v>
      </c>
      <c r="BA69" s="511">
        <f>+AZ69-I69</f>
        <v>0</v>
      </c>
      <c r="BB69" s="460"/>
      <c r="BC69" s="464">
        <f t="shared" si="1"/>
        <v>0</v>
      </c>
    </row>
    <row r="70" spans="1:55" ht="15">
      <c r="A70" s="431">
        <v>64</v>
      </c>
      <c r="B70" s="431">
        <v>317</v>
      </c>
      <c r="C70" t="s">
        <v>717</v>
      </c>
      <c r="D70" t="s">
        <v>1683</v>
      </c>
      <c r="E70" s="372">
        <v>6893.4048280001152</v>
      </c>
      <c r="F70" s="372">
        <v>356303.8603800002</v>
      </c>
      <c r="G70" s="377">
        <v>265580.61288600031</v>
      </c>
      <c r="H70" s="590">
        <v>-74753.052525000181</v>
      </c>
      <c r="I70" s="358">
        <f t="shared" si="2"/>
        <v>554024.82556900044</v>
      </c>
      <c r="K70" s="66">
        <f t="shared" si="12"/>
        <v>0</v>
      </c>
      <c r="L70" s="66"/>
      <c r="M70" s="431">
        <v>64</v>
      </c>
      <c r="N70" s="431">
        <v>317</v>
      </c>
      <c r="O70" s="443" t="s">
        <v>717</v>
      </c>
      <c r="P70" s="443" t="s">
        <v>1683</v>
      </c>
      <c r="Q70" s="203">
        <v>-74753.052525000181</v>
      </c>
      <c r="R70" s="457" t="s">
        <v>2509</v>
      </c>
      <c r="S70" s="253"/>
      <c r="T70" s="159">
        <v>63</v>
      </c>
      <c r="U70" t="s">
        <v>717</v>
      </c>
      <c r="V70" t="s">
        <v>1683</v>
      </c>
      <c r="W70" s="372">
        <v>76178.62999999999</v>
      </c>
      <c r="X70" s="372">
        <v>-69285.225171999875</v>
      </c>
      <c r="Y70" s="377">
        <v>356303.8603800002</v>
      </c>
      <c r="Z70" s="378">
        <v>265580.61288600031</v>
      </c>
      <c r="AA70" s="358">
        <f t="shared" si="3"/>
        <v>628777.87809400063</v>
      </c>
      <c r="AE70" s="159">
        <f t="shared" si="4"/>
        <v>0</v>
      </c>
      <c r="AG70" s="471" t="s">
        <v>717</v>
      </c>
      <c r="AH70" s="467" t="s">
        <v>1683</v>
      </c>
      <c r="AI70" s="480">
        <v>76178.62999999999</v>
      </c>
      <c r="AJ70" s="480">
        <v>-69285.225171999875</v>
      </c>
      <c r="AK70" s="476">
        <v>356303.8603800002</v>
      </c>
      <c r="AL70" s="477">
        <v>265580.61288600031</v>
      </c>
      <c r="AM70" s="478">
        <v>628777.87809400063</v>
      </c>
      <c r="AN70" s="478"/>
      <c r="AO70" s="467"/>
      <c r="AP70" s="479">
        <f t="shared" si="5"/>
        <v>552599.24809400062</v>
      </c>
      <c r="AQ70" s="467"/>
      <c r="AR70" s="467"/>
      <c r="AS70" s="512">
        <f>+AI70+AJ70</f>
        <v>6893.4048280001152</v>
      </c>
      <c r="AT70" s="476">
        <v>356303.8603800002</v>
      </c>
      <c r="AU70" s="477">
        <v>265580.61288600031</v>
      </c>
      <c r="AV70" s="494">
        <f t="shared" si="7"/>
        <v>628777.87809400063</v>
      </c>
      <c r="AW70" s="513">
        <f>+AV70-AM70</f>
        <v>0</v>
      </c>
      <c r="AX70" s="468"/>
      <c r="AY70" s="589">
        <v>-74753.052525000181</v>
      </c>
      <c r="AZ70" s="510">
        <f t="shared" si="9"/>
        <v>554024.82556900044</v>
      </c>
      <c r="BA70" s="511">
        <f t="shared" si="10"/>
        <v>0</v>
      </c>
      <c r="BB70" s="460"/>
      <c r="BC70" s="464">
        <f t="shared" si="1"/>
        <v>0</v>
      </c>
    </row>
    <row r="71" spans="1:55" ht="15">
      <c r="A71" s="431">
        <v>65</v>
      </c>
      <c r="B71" s="431">
        <v>52</v>
      </c>
      <c r="C71" t="s">
        <v>251</v>
      </c>
      <c r="D71" t="s">
        <v>866</v>
      </c>
      <c r="E71" s="372">
        <v>161844.95286399976</v>
      </c>
      <c r="F71" s="372">
        <v>409327.07482199976</v>
      </c>
      <c r="G71" s="377">
        <v>458825.5099319999</v>
      </c>
      <c r="H71" s="590">
        <v>63734.2022119998</v>
      </c>
      <c r="I71" s="358">
        <f t="shared" si="2"/>
        <v>1093731.7398299992</v>
      </c>
      <c r="K71" s="66">
        <f t="shared" si="12"/>
        <v>0</v>
      </c>
      <c r="L71" s="66"/>
      <c r="M71" s="431">
        <v>65</v>
      </c>
      <c r="N71" s="431">
        <v>52</v>
      </c>
      <c r="O71" s="443" t="s">
        <v>251</v>
      </c>
      <c r="P71" s="443" t="s">
        <v>866</v>
      </c>
      <c r="Q71" s="203">
        <v>63734.2022119998</v>
      </c>
      <c r="R71" s="457" t="s">
        <v>2509</v>
      </c>
      <c r="S71" s="253"/>
      <c r="T71" s="159">
        <v>65</v>
      </c>
      <c r="U71" t="s">
        <v>251</v>
      </c>
      <c r="V71" t="s">
        <v>866</v>
      </c>
      <c r="W71" s="372">
        <v>-64868.430000000008</v>
      </c>
      <c r="X71" s="372">
        <v>226713.38286399975</v>
      </c>
      <c r="Y71" s="377">
        <v>409327.07482199976</v>
      </c>
      <c r="Z71" s="378">
        <v>458825.5099319999</v>
      </c>
      <c r="AA71" s="358">
        <f t="shared" si="3"/>
        <v>1029997.5376179994</v>
      </c>
      <c r="AE71" s="159">
        <f t="shared" si="4"/>
        <v>0</v>
      </c>
      <c r="AG71" s="471" t="s">
        <v>251</v>
      </c>
      <c r="AH71" s="467" t="s">
        <v>866</v>
      </c>
      <c r="AI71" s="480">
        <v>-64868.430000000008</v>
      </c>
      <c r="AJ71" s="480">
        <v>226713.38286399975</v>
      </c>
      <c r="AK71" s="476">
        <v>409327.07482199976</v>
      </c>
      <c r="AL71" s="477">
        <v>458825.5099319999</v>
      </c>
      <c r="AM71" s="478">
        <v>1029997.5376179994</v>
      </c>
      <c r="AN71" s="478"/>
      <c r="AO71" s="467"/>
      <c r="AP71" s="479">
        <f t="shared" si="5"/>
        <v>1094865.9676179995</v>
      </c>
      <c r="AQ71" s="467"/>
      <c r="AR71" s="467"/>
      <c r="AS71" s="512">
        <f>+AI71+AJ71</f>
        <v>161844.95286399976</v>
      </c>
      <c r="AT71" s="476">
        <v>409327.07482199976</v>
      </c>
      <c r="AU71" s="477">
        <v>458825.5099319999</v>
      </c>
      <c r="AV71" s="494">
        <f t="shared" si="7"/>
        <v>1029997.5376179994</v>
      </c>
      <c r="AW71" s="513">
        <f>+AV71-AM71</f>
        <v>0</v>
      </c>
      <c r="AX71" s="468"/>
      <c r="AY71" s="589">
        <v>63734.2022119998</v>
      </c>
      <c r="AZ71" s="510">
        <f t="shared" si="9"/>
        <v>1093731.7398299992</v>
      </c>
      <c r="BA71" s="511">
        <f t="shared" si="10"/>
        <v>0</v>
      </c>
      <c r="BB71" s="460"/>
      <c r="BC71" s="464">
        <f t="shared" ref="BC71:BC134" si="13">+O71-C71</f>
        <v>0</v>
      </c>
    </row>
    <row r="72" spans="1:55" ht="15">
      <c r="A72" s="431">
        <v>66</v>
      </c>
      <c r="B72" s="431">
        <v>135</v>
      </c>
      <c r="C72" t="s">
        <v>386</v>
      </c>
      <c r="D72" t="s">
        <v>929</v>
      </c>
      <c r="E72" s="372">
        <v>-91070.628255000018</v>
      </c>
      <c r="F72" s="372">
        <v>-74203.950406000018</v>
      </c>
      <c r="G72" s="377">
        <v>-103075.77296400002</v>
      </c>
      <c r="H72" s="590">
        <v>-129646.62784</v>
      </c>
      <c r="I72" s="358">
        <f t="shared" ref="I72:I136" si="14">SUM(E72:H72)</f>
        <v>-397996.9794650001</v>
      </c>
      <c r="K72" s="66">
        <f t="shared" si="12"/>
        <v>0</v>
      </c>
      <c r="L72" s="66"/>
      <c r="M72" s="431">
        <v>66</v>
      </c>
      <c r="N72" s="431">
        <v>135</v>
      </c>
      <c r="O72" s="443" t="s">
        <v>386</v>
      </c>
      <c r="P72" s="443" t="s">
        <v>929</v>
      </c>
      <c r="Q72" s="203">
        <v>-129646.62784</v>
      </c>
      <c r="R72" s="457" t="s">
        <v>2509</v>
      </c>
      <c r="S72" s="253"/>
      <c r="T72" s="159">
        <v>66</v>
      </c>
      <c r="U72" t="s">
        <v>386</v>
      </c>
      <c r="V72" t="s">
        <v>929</v>
      </c>
      <c r="W72" s="372">
        <v>-42305.71</v>
      </c>
      <c r="X72" s="372">
        <v>-91070.628255000018</v>
      </c>
      <c r="Y72" s="377">
        <v>-74203.950406000018</v>
      </c>
      <c r="Z72" s="378">
        <v>-103075.77296400002</v>
      </c>
      <c r="AA72" s="358">
        <f t="shared" ref="AA72:AA136" si="15">SUM(W72:Z72)</f>
        <v>-310656.06162500003</v>
      </c>
      <c r="AE72" s="159">
        <f t="shared" ref="AE72:AE136" si="16">+AG72-U72</f>
        <v>0</v>
      </c>
      <c r="AG72" s="471" t="s">
        <v>386</v>
      </c>
      <c r="AH72" s="467" t="s">
        <v>929</v>
      </c>
      <c r="AI72" s="475">
        <v>-42305.71</v>
      </c>
      <c r="AJ72" s="475">
        <v>-91070.628255000018</v>
      </c>
      <c r="AK72" s="476">
        <v>-74203.950406000018</v>
      </c>
      <c r="AL72" s="477">
        <v>-103075.77296400002</v>
      </c>
      <c r="AM72" s="478">
        <v>-310656.06162500003</v>
      </c>
      <c r="AN72" s="478"/>
      <c r="AO72" s="467"/>
      <c r="AP72" s="479">
        <f t="shared" ref="AP72:AP136" si="17">SUM(AJ72:AL72)</f>
        <v>-268350.35162500007</v>
      </c>
      <c r="AQ72" s="467"/>
      <c r="AR72" s="467"/>
      <c r="AS72" s="509">
        <f t="shared" ref="AS72:AS136" si="18">+AJ72</f>
        <v>-91070.628255000018</v>
      </c>
      <c r="AT72" s="476">
        <v>-74203.950406000018</v>
      </c>
      <c r="AU72" s="477">
        <v>-103075.77296400002</v>
      </c>
      <c r="AV72" s="494">
        <f t="shared" ref="AV72:AV136" si="19">SUM(AS72:AU72)</f>
        <v>-268350.35162500007</v>
      </c>
      <c r="AW72" s="494">
        <f t="shared" ref="AW72:AW136" si="20">+AV72-AP72</f>
        <v>0</v>
      </c>
      <c r="AX72" s="468"/>
      <c r="AY72" s="589">
        <v>-129646.62784</v>
      </c>
      <c r="AZ72" s="510">
        <f t="shared" ref="AZ72:AZ136" si="21">+AY72+AV72</f>
        <v>-397996.9794650001</v>
      </c>
      <c r="BA72" s="511">
        <f t="shared" ref="BA72:BA136" si="22">+AZ72-I72</f>
        <v>0</v>
      </c>
      <c r="BB72" s="460"/>
      <c r="BC72" s="464">
        <f t="shared" si="13"/>
        <v>0</v>
      </c>
    </row>
    <row r="73" spans="1:55" ht="15">
      <c r="A73" s="431">
        <v>67</v>
      </c>
      <c r="B73" s="431">
        <v>208</v>
      </c>
      <c r="C73" t="s">
        <v>529</v>
      </c>
      <c r="D73" t="s">
        <v>994</v>
      </c>
      <c r="E73" s="372">
        <v>-295439.02390500013</v>
      </c>
      <c r="F73" s="372">
        <v>0</v>
      </c>
      <c r="G73" s="377">
        <v>-202296.40927800027</v>
      </c>
      <c r="H73" s="590">
        <v>-264817.83240400022</v>
      </c>
      <c r="I73" s="358">
        <f t="shared" si="14"/>
        <v>-762553.26558700064</v>
      </c>
      <c r="K73" s="66">
        <f t="shared" si="12"/>
        <v>0</v>
      </c>
      <c r="L73" s="66"/>
      <c r="M73" s="431">
        <v>67</v>
      </c>
      <c r="N73" s="431">
        <v>208</v>
      </c>
      <c r="O73" s="443" t="s">
        <v>529</v>
      </c>
      <c r="P73" s="443" t="s">
        <v>994</v>
      </c>
      <c r="Q73" s="203">
        <v>-264817.83240400022</v>
      </c>
      <c r="R73" s="457" t="s">
        <v>2509</v>
      </c>
      <c r="S73" s="253"/>
      <c r="T73" s="159">
        <v>67</v>
      </c>
      <c r="U73" t="s">
        <v>529</v>
      </c>
      <c r="V73" t="s">
        <v>994</v>
      </c>
      <c r="W73" s="372">
        <v>-288414.36</v>
      </c>
      <c r="X73" s="372">
        <v>-295439.02390500013</v>
      </c>
      <c r="Y73" s="377">
        <v>0</v>
      </c>
      <c r="Z73" s="378">
        <v>-202296.40927800027</v>
      </c>
      <c r="AA73" s="358">
        <f t="shared" si="15"/>
        <v>-786149.79318300029</v>
      </c>
      <c r="AE73" s="159">
        <f t="shared" si="16"/>
        <v>0</v>
      </c>
      <c r="AG73" s="471" t="s">
        <v>529</v>
      </c>
      <c r="AH73" s="467" t="s">
        <v>994</v>
      </c>
      <c r="AI73" s="475">
        <v>-288414.36</v>
      </c>
      <c r="AJ73" s="475">
        <v>-295439.02390500013</v>
      </c>
      <c r="AK73" s="476">
        <v>0</v>
      </c>
      <c r="AL73" s="477">
        <v>-202296.40927800027</v>
      </c>
      <c r="AM73" s="478">
        <v>-786149.79318300029</v>
      </c>
      <c r="AN73" s="478"/>
      <c r="AO73" s="467"/>
      <c r="AP73" s="479">
        <f t="shared" si="17"/>
        <v>-497735.43318300042</v>
      </c>
      <c r="AQ73" s="467"/>
      <c r="AR73" s="467"/>
      <c r="AS73" s="509">
        <f t="shared" si="18"/>
        <v>-295439.02390500013</v>
      </c>
      <c r="AT73" s="476">
        <v>0</v>
      </c>
      <c r="AU73" s="477">
        <v>-202296.40927800027</v>
      </c>
      <c r="AV73" s="494">
        <f t="shared" si="19"/>
        <v>-497735.43318300042</v>
      </c>
      <c r="AW73" s="494">
        <f t="shared" si="20"/>
        <v>0</v>
      </c>
      <c r="AX73" s="468"/>
      <c r="AY73" s="589">
        <v>-264817.83240400022</v>
      </c>
      <c r="AZ73" s="510">
        <f t="shared" si="21"/>
        <v>-762553.26558700064</v>
      </c>
      <c r="BA73" s="511">
        <f t="shared" si="22"/>
        <v>0</v>
      </c>
      <c r="BB73" s="460"/>
      <c r="BC73" s="464">
        <f t="shared" si="13"/>
        <v>0</v>
      </c>
    </row>
    <row r="74" spans="1:55" ht="15">
      <c r="A74" s="431">
        <v>68</v>
      </c>
      <c r="B74" s="431">
        <v>233</v>
      </c>
      <c r="C74" t="s">
        <v>570</v>
      </c>
      <c r="D74" t="s">
        <v>1007</v>
      </c>
      <c r="E74" s="372">
        <v>978308.41199521767</v>
      </c>
      <c r="F74" s="372">
        <v>523812.57699058764</v>
      </c>
      <c r="G74" s="377">
        <v>-978477.92092972063</v>
      </c>
      <c r="H74" s="590">
        <v>-545869.59021199867</v>
      </c>
      <c r="I74" s="358">
        <f t="shared" si="14"/>
        <v>-22226.52215591399</v>
      </c>
      <c r="K74" s="66">
        <f t="shared" si="12"/>
        <v>0</v>
      </c>
      <c r="L74" s="66"/>
      <c r="M74" s="431">
        <v>68</v>
      </c>
      <c r="N74" s="431">
        <v>233</v>
      </c>
      <c r="O74" s="443" t="s">
        <v>570</v>
      </c>
      <c r="P74" s="443" t="s">
        <v>1007</v>
      </c>
      <c r="Q74" s="203">
        <v>-545869.59021199867</v>
      </c>
      <c r="R74" s="457" t="s">
        <v>2509</v>
      </c>
      <c r="S74" s="253"/>
      <c r="T74" s="159">
        <v>68</v>
      </c>
      <c r="U74" t="s">
        <v>570</v>
      </c>
      <c r="V74" t="s">
        <v>1007</v>
      </c>
      <c r="W74" s="372">
        <v>-777524.5</v>
      </c>
      <c r="X74" s="372">
        <v>1755832.9119952177</v>
      </c>
      <c r="Y74" s="377">
        <v>523812.57699058764</v>
      </c>
      <c r="Z74" s="378">
        <v>-978477.92092972063</v>
      </c>
      <c r="AA74" s="358">
        <f t="shared" si="15"/>
        <v>523643.06805608468</v>
      </c>
      <c r="AE74" s="159">
        <f t="shared" si="16"/>
        <v>0</v>
      </c>
      <c r="AG74" s="471" t="s">
        <v>570</v>
      </c>
      <c r="AH74" s="467" t="s">
        <v>1007</v>
      </c>
      <c r="AI74" s="480">
        <v>-777524.5</v>
      </c>
      <c r="AJ74" s="480">
        <v>1755832.9119952177</v>
      </c>
      <c r="AK74" s="476">
        <v>523812.57699058764</v>
      </c>
      <c r="AL74" s="477">
        <v>-978477.92092972063</v>
      </c>
      <c r="AM74" s="478">
        <v>523643.06805608468</v>
      </c>
      <c r="AN74" s="478"/>
      <c r="AO74" s="467"/>
      <c r="AP74" s="479">
        <f t="shared" si="17"/>
        <v>1301167.5680560847</v>
      </c>
      <c r="AQ74" s="467"/>
      <c r="AR74" s="467"/>
      <c r="AS74" s="512">
        <f>+AI74+AJ74</f>
        <v>978308.41199521767</v>
      </c>
      <c r="AT74" s="476">
        <v>523812.57699058764</v>
      </c>
      <c r="AU74" s="477">
        <v>-978477.92092972063</v>
      </c>
      <c r="AV74" s="494">
        <f t="shared" si="19"/>
        <v>523643.06805608468</v>
      </c>
      <c r="AW74" s="513">
        <f>+AV74-AM74</f>
        <v>0</v>
      </c>
      <c r="AX74" s="468"/>
      <c r="AY74" s="589">
        <v>-545869.59021199867</v>
      </c>
      <c r="AZ74" s="510">
        <f t="shared" si="21"/>
        <v>-22226.52215591399</v>
      </c>
      <c r="BA74" s="511">
        <f t="shared" si="22"/>
        <v>0</v>
      </c>
      <c r="BB74" s="460"/>
      <c r="BC74" s="464">
        <f t="shared" si="13"/>
        <v>0</v>
      </c>
    </row>
    <row r="75" spans="1:55" ht="15">
      <c r="A75" s="431">
        <v>69</v>
      </c>
      <c r="B75" s="431">
        <v>137</v>
      </c>
      <c r="C75" t="s">
        <v>390</v>
      </c>
      <c r="D75" t="s">
        <v>931</v>
      </c>
      <c r="E75" s="372">
        <v>-38741.518719795131</v>
      </c>
      <c r="F75" s="372">
        <v>52414.101944951835</v>
      </c>
      <c r="G75" s="377">
        <v>-77123.049743249547</v>
      </c>
      <c r="H75" s="590">
        <v>43929.50055300002</v>
      </c>
      <c r="I75" s="358">
        <f t="shared" si="14"/>
        <v>-19520.965965092822</v>
      </c>
      <c r="K75" s="66">
        <f t="shared" si="12"/>
        <v>0</v>
      </c>
      <c r="L75" s="66"/>
      <c r="M75" s="431">
        <v>69</v>
      </c>
      <c r="N75" s="431">
        <v>137</v>
      </c>
      <c r="O75" s="443" t="s">
        <v>390</v>
      </c>
      <c r="P75" s="443" t="s">
        <v>931</v>
      </c>
      <c r="Q75" s="203">
        <v>43929.50055300002</v>
      </c>
      <c r="R75" s="457" t="s">
        <v>2509</v>
      </c>
      <c r="S75" s="253"/>
      <c r="T75" s="159">
        <v>69</v>
      </c>
      <c r="U75" t="s">
        <v>390</v>
      </c>
      <c r="V75" t="s">
        <v>931</v>
      </c>
      <c r="W75" s="372">
        <v>9511.2199999999993</v>
      </c>
      <c r="X75" s="372">
        <v>-48252.738719795132</v>
      </c>
      <c r="Y75" s="377">
        <v>52414.101944951835</v>
      </c>
      <c r="Z75" s="378">
        <v>-77123.049743249547</v>
      </c>
      <c r="AA75" s="358">
        <f t="shared" si="15"/>
        <v>-63450.466518092842</v>
      </c>
      <c r="AE75" s="159">
        <f t="shared" si="16"/>
        <v>0</v>
      </c>
      <c r="AG75" s="471" t="s">
        <v>390</v>
      </c>
      <c r="AH75" s="467" t="s">
        <v>931</v>
      </c>
      <c r="AI75" s="480">
        <v>9511.2199999999993</v>
      </c>
      <c r="AJ75" s="480">
        <v>-48252.738719795132</v>
      </c>
      <c r="AK75" s="476">
        <v>52414.101944951835</v>
      </c>
      <c r="AL75" s="477">
        <v>-77123.049743249547</v>
      </c>
      <c r="AM75" s="478">
        <v>-63450.466518092842</v>
      </c>
      <c r="AN75" s="478"/>
      <c r="AO75" s="467"/>
      <c r="AP75" s="479">
        <f t="shared" si="17"/>
        <v>-72961.686518092843</v>
      </c>
      <c r="AQ75" s="467"/>
      <c r="AR75" s="467"/>
      <c r="AS75" s="512">
        <f>+AI75+AJ75</f>
        <v>-38741.518719795131</v>
      </c>
      <c r="AT75" s="476">
        <v>52414.101944951835</v>
      </c>
      <c r="AU75" s="477">
        <v>-77123.049743249547</v>
      </c>
      <c r="AV75" s="494">
        <f t="shared" si="19"/>
        <v>-63450.466518092842</v>
      </c>
      <c r="AW75" s="513">
        <f>+AV75-AM75</f>
        <v>0</v>
      </c>
      <c r="AX75" s="468"/>
      <c r="AY75" s="589">
        <v>43929.50055300002</v>
      </c>
      <c r="AZ75" s="510">
        <f t="shared" si="21"/>
        <v>-19520.965965092822</v>
      </c>
      <c r="BA75" s="511">
        <f t="shared" si="22"/>
        <v>0</v>
      </c>
      <c r="BB75" s="460"/>
      <c r="BC75" s="464">
        <f t="shared" si="13"/>
        <v>0</v>
      </c>
    </row>
    <row r="76" spans="1:55" ht="15">
      <c r="A76" s="431">
        <v>70</v>
      </c>
      <c r="B76" s="431">
        <v>81</v>
      </c>
      <c r="C76" t="s">
        <v>307</v>
      </c>
      <c r="D76" t="s">
        <v>891</v>
      </c>
      <c r="E76" s="372">
        <v>-142355.23251517868</v>
      </c>
      <c r="F76" s="372">
        <v>-15025.011113419896</v>
      </c>
      <c r="G76" s="377">
        <v>-20128.557756209877</v>
      </c>
      <c r="H76" s="590">
        <v>-54377.327210000018</v>
      </c>
      <c r="I76" s="358">
        <f t="shared" si="14"/>
        <v>-231886.12859480846</v>
      </c>
      <c r="K76" s="66">
        <f t="shared" si="12"/>
        <v>0</v>
      </c>
      <c r="L76" s="66"/>
      <c r="M76" s="431">
        <v>70</v>
      </c>
      <c r="N76" s="431">
        <v>81</v>
      </c>
      <c r="O76" s="443" t="s">
        <v>307</v>
      </c>
      <c r="P76" s="443" t="s">
        <v>891</v>
      </c>
      <c r="Q76" s="203">
        <v>-54377.327210000018</v>
      </c>
      <c r="R76" s="457" t="s">
        <v>2509</v>
      </c>
      <c r="S76" s="253"/>
      <c r="T76" s="159">
        <v>70</v>
      </c>
      <c r="U76" t="s">
        <v>307</v>
      </c>
      <c r="V76" t="s">
        <v>891</v>
      </c>
      <c r="W76" s="372">
        <v>-333734.62</v>
      </c>
      <c r="X76" s="372">
        <v>-142355.23251517868</v>
      </c>
      <c r="Y76" s="377">
        <v>-15025.011113419896</v>
      </c>
      <c r="Z76" s="378">
        <v>-20128.557756209877</v>
      </c>
      <c r="AA76" s="358">
        <f t="shared" si="15"/>
        <v>-511243.42138480843</v>
      </c>
      <c r="AE76" s="159">
        <f t="shared" si="16"/>
        <v>0</v>
      </c>
      <c r="AG76" s="471" t="s">
        <v>307</v>
      </c>
      <c r="AH76" s="467" t="s">
        <v>891</v>
      </c>
      <c r="AI76" s="475">
        <v>-333734.62</v>
      </c>
      <c r="AJ76" s="475">
        <v>-142355.23251517868</v>
      </c>
      <c r="AK76" s="476">
        <v>-15025.011113419896</v>
      </c>
      <c r="AL76" s="477">
        <v>-20128.557756209877</v>
      </c>
      <c r="AM76" s="478">
        <v>-511243.42138480843</v>
      </c>
      <c r="AN76" s="478"/>
      <c r="AO76" s="467"/>
      <c r="AP76" s="479">
        <f t="shared" si="17"/>
        <v>-177508.80138480844</v>
      </c>
      <c r="AQ76" s="467"/>
      <c r="AR76" s="467"/>
      <c r="AS76" s="509">
        <f t="shared" si="18"/>
        <v>-142355.23251517868</v>
      </c>
      <c r="AT76" s="476">
        <v>-15025.011113419896</v>
      </c>
      <c r="AU76" s="477">
        <v>-20128.557756209877</v>
      </c>
      <c r="AV76" s="494">
        <f t="shared" si="19"/>
        <v>-177508.80138480844</v>
      </c>
      <c r="AW76" s="494">
        <f t="shared" si="20"/>
        <v>0</v>
      </c>
      <c r="AX76" s="468"/>
      <c r="AY76" s="589">
        <v>-54377.327210000018</v>
      </c>
      <c r="AZ76" s="510">
        <f t="shared" si="21"/>
        <v>-231886.12859480846</v>
      </c>
      <c r="BA76" s="511">
        <f t="shared" si="22"/>
        <v>0</v>
      </c>
      <c r="BB76" s="460"/>
      <c r="BC76" s="464">
        <f t="shared" si="13"/>
        <v>0</v>
      </c>
    </row>
    <row r="77" spans="1:55" ht="15">
      <c r="A77" s="431">
        <v>71</v>
      </c>
      <c r="B77" s="431">
        <v>310</v>
      </c>
      <c r="C77" t="s">
        <v>703</v>
      </c>
      <c r="D77" t="s">
        <v>1065</v>
      </c>
      <c r="E77" s="372">
        <v>-81402.685756999999</v>
      </c>
      <c r="F77" s="372">
        <v>-103242.74523499999</v>
      </c>
      <c r="G77" s="377">
        <v>-68648.084632000013</v>
      </c>
      <c r="H77" s="590">
        <v>-48289.12004899999</v>
      </c>
      <c r="I77" s="358">
        <f t="shared" si="14"/>
        <v>-301582.63567300001</v>
      </c>
      <c r="K77" s="66">
        <f t="shared" si="12"/>
        <v>0</v>
      </c>
      <c r="L77" s="66"/>
      <c r="M77" s="431">
        <v>71</v>
      </c>
      <c r="N77" s="431">
        <v>310</v>
      </c>
      <c r="O77" s="443" t="s">
        <v>703</v>
      </c>
      <c r="P77" s="443" t="s">
        <v>1065</v>
      </c>
      <c r="Q77" s="203">
        <v>-48289.12004899999</v>
      </c>
      <c r="R77" s="457" t="s">
        <v>2509</v>
      </c>
      <c r="S77" s="253"/>
      <c r="T77" s="159">
        <v>71</v>
      </c>
      <c r="U77" t="s">
        <v>703</v>
      </c>
      <c r="V77" t="s">
        <v>1065</v>
      </c>
      <c r="W77" s="372">
        <v>-72047.850000000006</v>
      </c>
      <c r="X77" s="372">
        <v>-81402.685756999999</v>
      </c>
      <c r="Y77" s="377">
        <v>-103242.74523499999</v>
      </c>
      <c r="Z77" s="378">
        <v>-68648.084632000013</v>
      </c>
      <c r="AA77" s="358">
        <f t="shared" si="15"/>
        <v>-325341.36562400003</v>
      </c>
      <c r="AE77" s="159">
        <f t="shared" si="16"/>
        <v>0</v>
      </c>
      <c r="AG77" s="471" t="s">
        <v>703</v>
      </c>
      <c r="AH77" s="467" t="s">
        <v>1065</v>
      </c>
      <c r="AI77" s="475">
        <v>-72047.850000000006</v>
      </c>
      <c r="AJ77" s="475">
        <v>-81402.685756999999</v>
      </c>
      <c r="AK77" s="476">
        <v>-103242.74523499999</v>
      </c>
      <c r="AL77" s="477">
        <v>-68648.084632000013</v>
      </c>
      <c r="AM77" s="478">
        <v>-325341.36562400003</v>
      </c>
      <c r="AN77" s="478"/>
      <c r="AO77" s="467"/>
      <c r="AP77" s="479">
        <f t="shared" si="17"/>
        <v>-253293.51562399999</v>
      </c>
      <c r="AQ77" s="467"/>
      <c r="AR77" s="467"/>
      <c r="AS77" s="509">
        <f t="shared" si="18"/>
        <v>-81402.685756999999</v>
      </c>
      <c r="AT77" s="476">
        <v>-103242.74523499999</v>
      </c>
      <c r="AU77" s="477">
        <v>-68648.084632000013</v>
      </c>
      <c r="AV77" s="494">
        <f t="shared" si="19"/>
        <v>-253293.51562399999</v>
      </c>
      <c r="AW77" s="494">
        <f t="shared" si="20"/>
        <v>0</v>
      </c>
      <c r="AX77" s="468"/>
      <c r="AY77" s="589">
        <v>-48289.12004899999</v>
      </c>
      <c r="AZ77" s="510">
        <f t="shared" si="21"/>
        <v>-301582.63567300001</v>
      </c>
      <c r="BA77" s="511">
        <f t="shared" si="22"/>
        <v>0</v>
      </c>
      <c r="BB77" s="460"/>
      <c r="BC77" s="464">
        <f t="shared" si="13"/>
        <v>0</v>
      </c>
    </row>
    <row r="78" spans="1:55" ht="15">
      <c r="A78" s="431">
        <v>72</v>
      </c>
      <c r="B78" s="431">
        <v>16</v>
      </c>
      <c r="C78" t="s">
        <v>193</v>
      </c>
      <c r="D78" t="s">
        <v>839</v>
      </c>
      <c r="E78" s="372">
        <v>-112984.52140799999</v>
      </c>
      <c r="F78" s="372">
        <v>-79643.244383000012</v>
      </c>
      <c r="G78" s="377">
        <v>-72715.815179999918</v>
      </c>
      <c r="H78" s="590">
        <v>-74369.393591999949</v>
      </c>
      <c r="I78" s="358">
        <f t="shared" si="14"/>
        <v>-339712.97456299985</v>
      </c>
      <c r="K78" s="66">
        <f t="shared" si="12"/>
        <v>0</v>
      </c>
      <c r="L78" s="66"/>
      <c r="M78" s="431">
        <v>72</v>
      </c>
      <c r="N78" s="431">
        <v>16</v>
      </c>
      <c r="O78" s="443" t="s">
        <v>193</v>
      </c>
      <c r="P78" s="443" t="s">
        <v>839</v>
      </c>
      <c r="Q78" s="203">
        <v>-74369.393591999949</v>
      </c>
      <c r="R78" s="457" t="s">
        <v>2509</v>
      </c>
      <c r="S78" s="253"/>
      <c r="T78" s="159">
        <v>72</v>
      </c>
      <c r="U78" t="s">
        <v>193</v>
      </c>
      <c r="V78" t="s">
        <v>839</v>
      </c>
      <c r="W78" s="372">
        <v>-106913.2</v>
      </c>
      <c r="X78" s="372">
        <v>-112984.52140799999</v>
      </c>
      <c r="Y78" s="377">
        <v>-79643.244383000012</v>
      </c>
      <c r="Z78" s="378">
        <v>-72715.815179999918</v>
      </c>
      <c r="AA78" s="358">
        <f t="shared" si="15"/>
        <v>-372256.78097099991</v>
      </c>
      <c r="AE78" s="159">
        <f t="shared" si="16"/>
        <v>0</v>
      </c>
      <c r="AG78" s="471" t="s">
        <v>193</v>
      </c>
      <c r="AH78" s="467" t="s">
        <v>839</v>
      </c>
      <c r="AI78" s="475">
        <v>-106913.2</v>
      </c>
      <c r="AJ78" s="475">
        <v>-112984.52140799999</v>
      </c>
      <c r="AK78" s="476">
        <v>-79643.244383000012</v>
      </c>
      <c r="AL78" s="477">
        <v>-72715.815179999918</v>
      </c>
      <c r="AM78" s="478">
        <v>-372256.78097099991</v>
      </c>
      <c r="AN78" s="478"/>
      <c r="AO78" s="467"/>
      <c r="AP78" s="479">
        <f t="shared" si="17"/>
        <v>-265343.5809709999</v>
      </c>
      <c r="AQ78" s="467"/>
      <c r="AR78" s="467"/>
      <c r="AS78" s="509">
        <f t="shared" si="18"/>
        <v>-112984.52140799999</v>
      </c>
      <c r="AT78" s="476">
        <v>-79643.244383000012</v>
      </c>
      <c r="AU78" s="477">
        <v>-72715.815179999918</v>
      </c>
      <c r="AV78" s="494">
        <f t="shared" si="19"/>
        <v>-265343.5809709999</v>
      </c>
      <c r="AW78" s="494">
        <f t="shared" si="20"/>
        <v>0</v>
      </c>
      <c r="AX78" s="468"/>
      <c r="AY78" s="589">
        <v>-74369.393591999949</v>
      </c>
      <c r="AZ78" s="510">
        <f t="shared" si="21"/>
        <v>-339712.97456299985</v>
      </c>
      <c r="BA78" s="511">
        <f t="shared" si="22"/>
        <v>0</v>
      </c>
      <c r="BB78" s="460"/>
      <c r="BC78" s="464">
        <f t="shared" si="13"/>
        <v>0</v>
      </c>
    </row>
    <row r="79" spans="1:55" ht="15">
      <c r="A79" s="431">
        <v>73</v>
      </c>
      <c r="B79" s="431">
        <v>99</v>
      </c>
      <c r="C79" t="s">
        <v>342</v>
      </c>
      <c r="D79" t="s">
        <v>908</v>
      </c>
      <c r="E79" s="372">
        <v>-1123538.293666519</v>
      </c>
      <c r="F79" s="372">
        <v>-533475.28559715115</v>
      </c>
      <c r="G79" s="377">
        <v>-1072104.7135292429</v>
      </c>
      <c r="H79" s="590">
        <v>-1255839.0468160002</v>
      </c>
      <c r="I79" s="358">
        <f t="shared" si="14"/>
        <v>-3984957.3396089133</v>
      </c>
      <c r="K79" s="66">
        <f t="shared" si="12"/>
        <v>0</v>
      </c>
      <c r="L79" s="66"/>
      <c r="M79" s="431">
        <v>73</v>
      </c>
      <c r="N79" s="431">
        <v>99</v>
      </c>
      <c r="O79" s="443" t="s">
        <v>342</v>
      </c>
      <c r="P79" s="443" t="s">
        <v>908</v>
      </c>
      <c r="Q79" s="203">
        <v>-1255839.0468160002</v>
      </c>
      <c r="R79" s="457" t="s">
        <v>2509</v>
      </c>
      <c r="S79" s="253"/>
      <c r="T79" s="159">
        <v>73</v>
      </c>
      <c r="U79" t="s">
        <v>342</v>
      </c>
      <c r="V79" t="s">
        <v>908</v>
      </c>
      <c r="W79" s="372">
        <v>-1011003.05</v>
      </c>
      <c r="X79" s="372">
        <v>-1123538.293666519</v>
      </c>
      <c r="Y79" s="377">
        <v>-533475.28559715115</v>
      </c>
      <c r="Z79" s="378">
        <v>-1072104.7135292429</v>
      </c>
      <c r="AA79" s="358">
        <f t="shared" si="15"/>
        <v>-3740121.3427929133</v>
      </c>
      <c r="AE79" s="159">
        <f t="shared" si="16"/>
        <v>0</v>
      </c>
      <c r="AG79" s="471" t="s">
        <v>342</v>
      </c>
      <c r="AH79" s="467" t="s">
        <v>908</v>
      </c>
      <c r="AI79" s="475">
        <v>-1011003.05</v>
      </c>
      <c r="AJ79" s="475">
        <v>-1123538.293666519</v>
      </c>
      <c r="AK79" s="476">
        <v>-533475.28559715115</v>
      </c>
      <c r="AL79" s="477">
        <v>-1072104.7135292429</v>
      </c>
      <c r="AM79" s="478">
        <v>-3740121.3427929133</v>
      </c>
      <c r="AN79" s="478"/>
      <c r="AO79" s="467"/>
      <c r="AP79" s="479">
        <f t="shared" si="17"/>
        <v>-2729118.292792913</v>
      </c>
      <c r="AQ79" s="467"/>
      <c r="AR79" s="467"/>
      <c r="AS79" s="509">
        <f t="shared" si="18"/>
        <v>-1123538.293666519</v>
      </c>
      <c r="AT79" s="476">
        <v>-533475.28559715115</v>
      </c>
      <c r="AU79" s="477">
        <v>-1072104.7135292429</v>
      </c>
      <c r="AV79" s="494">
        <f t="shared" si="19"/>
        <v>-2729118.292792913</v>
      </c>
      <c r="AW79" s="494">
        <f t="shared" si="20"/>
        <v>0</v>
      </c>
      <c r="AX79" s="468"/>
      <c r="AY79" s="589">
        <v>-1255839.0468160002</v>
      </c>
      <c r="AZ79" s="510">
        <f t="shared" si="21"/>
        <v>-3984957.3396089133</v>
      </c>
      <c r="BA79" s="511">
        <f t="shared" si="22"/>
        <v>0</v>
      </c>
      <c r="BB79" s="460"/>
      <c r="BC79" s="464">
        <f t="shared" si="13"/>
        <v>0</v>
      </c>
    </row>
    <row r="80" spans="1:55" ht="15">
      <c r="A80" s="431">
        <v>74</v>
      </c>
      <c r="B80" s="431">
        <v>73</v>
      </c>
      <c r="C80" t="s">
        <v>291</v>
      </c>
      <c r="D80" t="s">
        <v>884</v>
      </c>
      <c r="E80" s="372">
        <v>0</v>
      </c>
      <c r="F80" s="372">
        <v>-9811.4784850000869</v>
      </c>
      <c r="G80" s="378">
        <v>105807.42</v>
      </c>
      <c r="H80" s="590">
        <v>147503.89845600026</v>
      </c>
      <c r="I80" s="358">
        <f t="shared" si="14"/>
        <v>243499.83997100015</v>
      </c>
      <c r="K80" s="66">
        <f t="shared" si="12"/>
        <v>0</v>
      </c>
      <c r="L80" s="66"/>
      <c r="M80" s="431">
        <v>74</v>
      </c>
      <c r="N80" s="431">
        <v>73</v>
      </c>
      <c r="O80" s="443" t="s">
        <v>291</v>
      </c>
      <c r="P80" s="443" t="s">
        <v>884</v>
      </c>
      <c r="Q80" s="203">
        <v>147503.89845600026</v>
      </c>
      <c r="R80" s="457" t="s">
        <v>2509</v>
      </c>
      <c r="S80" s="253"/>
      <c r="T80" s="159">
        <v>74</v>
      </c>
      <c r="U80" t="s">
        <v>291</v>
      </c>
      <c r="V80" t="s">
        <v>884</v>
      </c>
      <c r="W80" s="372">
        <v>-142465.21</v>
      </c>
      <c r="X80" s="372">
        <v>0</v>
      </c>
      <c r="Y80" s="377">
        <v>-9811.4784850000869</v>
      </c>
      <c r="Z80" s="378">
        <v>248272.6302880001</v>
      </c>
      <c r="AA80" s="358">
        <f t="shared" si="15"/>
        <v>95995.941803000023</v>
      </c>
      <c r="AE80" s="159">
        <f t="shared" si="16"/>
        <v>0</v>
      </c>
      <c r="AG80" s="471" t="s">
        <v>291</v>
      </c>
      <c r="AH80" s="467" t="s">
        <v>884</v>
      </c>
      <c r="AI80" s="480">
        <v>-142465.21</v>
      </c>
      <c r="AJ80" s="475">
        <v>0</v>
      </c>
      <c r="AK80" s="476">
        <v>-9811.4784850000869</v>
      </c>
      <c r="AL80" s="482">
        <v>248272.6302880001</v>
      </c>
      <c r="AM80" s="478">
        <v>95995.941803000023</v>
      </c>
      <c r="AN80" s="483">
        <f>+AI80+AL80</f>
        <v>105807.42028800011</v>
      </c>
      <c r="AO80" s="467"/>
      <c r="AP80" s="479">
        <f t="shared" si="17"/>
        <v>238461.15180300002</v>
      </c>
      <c r="AQ80" s="467"/>
      <c r="AR80" s="467"/>
      <c r="AS80" s="509">
        <f t="shared" si="18"/>
        <v>0</v>
      </c>
      <c r="AT80" s="476">
        <v>-9811.4784850000869</v>
      </c>
      <c r="AU80" s="482">
        <v>105807.42</v>
      </c>
      <c r="AV80" s="494">
        <f t="shared" si="19"/>
        <v>95995.941514999911</v>
      </c>
      <c r="AW80" s="513">
        <f>+AV80-AM80</f>
        <v>-2.8800011205021292E-4</v>
      </c>
      <c r="AX80" s="468"/>
      <c r="AY80" s="589">
        <v>147503.89845600026</v>
      </c>
      <c r="AZ80" s="510">
        <f t="shared" si="21"/>
        <v>243499.83997100015</v>
      </c>
      <c r="BA80" s="511">
        <f t="shared" si="22"/>
        <v>0</v>
      </c>
      <c r="BB80" s="460"/>
      <c r="BC80" s="464">
        <f t="shared" si="13"/>
        <v>0</v>
      </c>
    </row>
    <row r="81" spans="1:55" ht="15">
      <c r="A81" s="431">
        <v>75</v>
      </c>
      <c r="B81" s="431">
        <v>38</v>
      </c>
      <c r="C81" s="351" t="s">
        <v>1542</v>
      </c>
      <c r="D81" s="352" t="s">
        <v>1633</v>
      </c>
      <c r="E81" s="374">
        <v>0</v>
      </c>
      <c r="F81" s="374"/>
      <c r="G81" s="377"/>
      <c r="H81" s="590">
        <v>0</v>
      </c>
      <c r="I81" s="358">
        <f t="shared" si="14"/>
        <v>0</v>
      </c>
      <c r="K81" s="66">
        <f t="shared" si="12"/>
        <v>0</v>
      </c>
      <c r="L81" s="66"/>
      <c r="M81" s="431">
        <v>75</v>
      </c>
      <c r="N81" s="431">
        <v>38</v>
      </c>
      <c r="O81" s="450" t="s">
        <v>1542</v>
      </c>
      <c r="P81" s="451" t="s">
        <v>1633</v>
      </c>
      <c r="Q81" s="203">
        <v>0</v>
      </c>
      <c r="R81" s="457" t="s">
        <v>2509</v>
      </c>
      <c r="S81" s="253"/>
      <c r="T81" s="159">
        <v>75</v>
      </c>
      <c r="U81" s="351" t="s">
        <v>1542</v>
      </c>
      <c r="V81" s="352" t="s">
        <v>1633</v>
      </c>
      <c r="W81" s="374">
        <v>0</v>
      </c>
      <c r="X81" s="374"/>
      <c r="Y81" s="377"/>
      <c r="Z81" s="378"/>
      <c r="AA81" s="358">
        <f t="shared" si="15"/>
        <v>0</v>
      </c>
      <c r="AE81" s="159">
        <f t="shared" si="16"/>
        <v>0</v>
      </c>
      <c r="AG81" s="471" t="s">
        <v>1542</v>
      </c>
      <c r="AH81" s="467" t="s">
        <v>1633</v>
      </c>
      <c r="AI81" s="490">
        <v>0</v>
      </c>
      <c r="AJ81" s="490"/>
      <c r="AK81" s="476"/>
      <c r="AL81" s="477"/>
      <c r="AM81" s="478">
        <v>0</v>
      </c>
      <c r="AN81" s="478"/>
      <c r="AO81" s="467"/>
      <c r="AP81" s="479">
        <f t="shared" si="17"/>
        <v>0</v>
      </c>
      <c r="AQ81" s="467"/>
      <c r="AR81" s="467"/>
      <c r="AS81" s="509">
        <f t="shared" si="18"/>
        <v>0</v>
      </c>
      <c r="AT81" s="476"/>
      <c r="AU81" s="477"/>
      <c r="AV81" s="494">
        <f t="shared" si="19"/>
        <v>0</v>
      </c>
      <c r="AW81" s="494">
        <f t="shared" si="20"/>
        <v>0</v>
      </c>
      <c r="AX81" s="468"/>
      <c r="AY81" s="589">
        <v>0</v>
      </c>
      <c r="AZ81" s="510">
        <f t="shared" si="21"/>
        <v>0</v>
      </c>
      <c r="BA81" s="511">
        <f t="shared" si="22"/>
        <v>0</v>
      </c>
      <c r="BB81" s="460"/>
      <c r="BC81" s="464">
        <f t="shared" si="13"/>
        <v>0</v>
      </c>
    </row>
    <row r="82" spans="1:55" ht="15">
      <c r="A82" s="431">
        <v>76</v>
      </c>
      <c r="B82" s="431">
        <v>258</v>
      </c>
      <c r="C82" s="352" t="s">
        <v>766</v>
      </c>
      <c r="D82" s="352" t="s">
        <v>1634</v>
      </c>
      <c r="E82" s="374">
        <v>0</v>
      </c>
      <c r="F82" s="374"/>
      <c r="G82" s="377"/>
      <c r="H82" s="590">
        <v>0</v>
      </c>
      <c r="I82" s="358">
        <f t="shared" si="14"/>
        <v>0</v>
      </c>
      <c r="K82" s="66">
        <f t="shared" si="12"/>
        <v>0</v>
      </c>
      <c r="L82" s="66"/>
      <c r="M82" s="431">
        <v>76</v>
      </c>
      <c r="N82" s="431">
        <v>258</v>
      </c>
      <c r="O82" s="452" t="s">
        <v>766</v>
      </c>
      <c r="P82" s="451" t="s">
        <v>1634</v>
      </c>
      <c r="Q82" s="203">
        <v>0</v>
      </c>
      <c r="R82" s="457" t="s">
        <v>2509</v>
      </c>
      <c r="S82" s="253"/>
      <c r="T82" s="159">
        <v>76</v>
      </c>
      <c r="U82" s="352" t="s">
        <v>766</v>
      </c>
      <c r="V82" s="352" t="s">
        <v>1634</v>
      </c>
      <c r="W82" s="374">
        <v>0</v>
      </c>
      <c r="X82" s="374"/>
      <c r="Y82" s="377"/>
      <c r="Z82" s="378"/>
      <c r="AA82" s="358">
        <f t="shared" si="15"/>
        <v>0</v>
      </c>
      <c r="AE82" s="159">
        <f t="shared" si="16"/>
        <v>0</v>
      </c>
      <c r="AG82" s="471" t="s">
        <v>766</v>
      </c>
      <c r="AH82" s="467" t="s">
        <v>1634</v>
      </c>
      <c r="AI82" s="490">
        <v>0</v>
      </c>
      <c r="AJ82" s="490"/>
      <c r="AK82" s="476"/>
      <c r="AL82" s="477"/>
      <c r="AM82" s="478">
        <v>0</v>
      </c>
      <c r="AN82" s="478"/>
      <c r="AO82" s="467"/>
      <c r="AP82" s="479">
        <f t="shared" si="17"/>
        <v>0</v>
      </c>
      <c r="AQ82" s="467"/>
      <c r="AR82" s="467"/>
      <c r="AS82" s="509">
        <f t="shared" si="18"/>
        <v>0</v>
      </c>
      <c r="AT82" s="476"/>
      <c r="AU82" s="477"/>
      <c r="AV82" s="494">
        <f t="shared" si="19"/>
        <v>0</v>
      </c>
      <c r="AW82" s="494">
        <f t="shared" si="20"/>
        <v>0</v>
      </c>
      <c r="AX82" s="468"/>
      <c r="AY82" s="589">
        <v>0</v>
      </c>
      <c r="AZ82" s="510">
        <f t="shared" si="21"/>
        <v>0</v>
      </c>
      <c r="BA82" s="511">
        <f t="shared" si="22"/>
        <v>0</v>
      </c>
      <c r="BB82" s="460"/>
      <c r="BC82" s="464">
        <f t="shared" si="13"/>
        <v>0</v>
      </c>
    </row>
    <row r="83" spans="1:55" ht="15">
      <c r="A83" s="431">
        <v>77</v>
      </c>
      <c r="B83" s="431">
        <v>329</v>
      </c>
      <c r="C83" s="351" t="s">
        <v>768</v>
      </c>
      <c r="D83" s="352" t="s">
        <v>1635</v>
      </c>
      <c r="E83" s="374">
        <v>0</v>
      </c>
      <c r="F83" s="374"/>
      <c r="G83" s="377"/>
      <c r="H83" s="590">
        <v>0</v>
      </c>
      <c r="I83" s="358">
        <f t="shared" si="14"/>
        <v>0</v>
      </c>
      <c r="K83" s="66">
        <f t="shared" si="12"/>
        <v>0</v>
      </c>
      <c r="L83" s="66"/>
      <c r="M83" s="431">
        <v>77</v>
      </c>
      <c r="N83" s="431">
        <v>329</v>
      </c>
      <c r="O83" s="450" t="s">
        <v>768</v>
      </c>
      <c r="P83" s="451" t="s">
        <v>1635</v>
      </c>
      <c r="Q83" s="203">
        <v>0</v>
      </c>
      <c r="R83" s="457" t="s">
        <v>2509</v>
      </c>
      <c r="S83" s="253"/>
      <c r="T83" s="159">
        <v>77</v>
      </c>
      <c r="U83" s="351" t="s">
        <v>768</v>
      </c>
      <c r="V83" s="352" t="s">
        <v>1635</v>
      </c>
      <c r="W83" s="374">
        <v>0</v>
      </c>
      <c r="X83" s="374"/>
      <c r="Y83" s="377"/>
      <c r="Z83" s="378"/>
      <c r="AA83" s="358">
        <f t="shared" si="15"/>
        <v>0</v>
      </c>
      <c r="AE83" s="159">
        <f t="shared" si="16"/>
        <v>0</v>
      </c>
      <c r="AG83" s="471" t="s">
        <v>768</v>
      </c>
      <c r="AH83" s="467" t="s">
        <v>1635</v>
      </c>
      <c r="AI83" s="490">
        <v>0</v>
      </c>
      <c r="AJ83" s="490"/>
      <c r="AK83" s="476"/>
      <c r="AL83" s="477"/>
      <c r="AM83" s="478">
        <v>0</v>
      </c>
      <c r="AN83" s="478"/>
      <c r="AO83" s="467"/>
      <c r="AP83" s="479">
        <f t="shared" si="17"/>
        <v>0</v>
      </c>
      <c r="AQ83" s="467"/>
      <c r="AR83" s="467"/>
      <c r="AS83" s="509">
        <f t="shared" si="18"/>
        <v>0</v>
      </c>
      <c r="AT83" s="476"/>
      <c r="AU83" s="477"/>
      <c r="AV83" s="494">
        <f t="shared" si="19"/>
        <v>0</v>
      </c>
      <c r="AW83" s="494">
        <f t="shared" si="20"/>
        <v>0</v>
      </c>
      <c r="AX83" s="468"/>
      <c r="AY83" s="589">
        <v>0</v>
      </c>
      <c r="AZ83" s="510">
        <f t="shared" si="21"/>
        <v>0</v>
      </c>
      <c r="BA83" s="511">
        <f t="shared" si="22"/>
        <v>0</v>
      </c>
      <c r="BB83" s="460"/>
      <c r="BC83" s="464">
        <f t="shared" si="13"/>
        <v>0</v>
      </c>
    </row>
    <row r="84" spans="1:55" ht="15">
      <c r="A84" s="431">
        <v>78</v>
      </c>
      <c r="B84" s="431">
        <v>39</v>
      </c>
      <c r="C84" s="351" t="s">
        <v>761</v>
      </c>
      <c r="D84" s="352" t="s">
        <v>1636</v>
      </c>
      <c r="E84" s="374">
        <v>0</v>
      </c>
      <c r="F84" s="374"/>
      <c r="G84" s="377"/>
      <c r="H84" s="590">
        <v>0</v>
      </c>
      <c r="I84" s="358">
        <f t="shared" si="14"/>
        <v>0</v>
      </c>
      <c r="K84" s="66">
        <f t="shared" si="12"/>
        <v>0</v>
      </c>
      <c r="L84" s="66"/>
      <c r="M84" s="431">
        <v>78</v>
      </c>
      <c r="N84" s="431">
        <v>39</v>
      </c>
      <c r="O84" s="450" t="s">
        <v>761</v>
      </c>
      <c r="P84" s="451" t="s">
        <v>1636</v>
      </c>
      <c r="Q84" s="203">
        <v>0</v>
      </c>
      <c r="R84" s="457" t="s">
        <v>2509</v>
      </c>
      <c r="S84" s="253"/>
      <c r="T84" s="159">
        <v>78</v>
      </c>
      <c r="U84" s="351" t="s">
        <v>761</v>
      </c>
      <c r="V84" s="352" t="s">
        <v>1636</v>
      </c>
      <c r="W84" s="374">
        <v>0</v>
      </c>
      <c r="X84" s="374"/>
      <c r="Y84" s="377"/>
      <c r="Z84" s="378"/>
      <c r="AA84" s="358">
        <f t="shared" si="15"/>
        <v>0</v>
      </c>
      <c r="AE84" s="159">
        <f t="shared" si="16"/>
        <v>0</v>
      </c>
      <c r="AG84" s="471" t="s">
        <v>761</v>
      </c>
      <c r="AH84" s="467" t="s">
        <v>1636</v>
      </c>
      <c r="AI84" s="490">
        <v>0</v>
      </c>
      <c r="AJ84" s="490"/>
      <c r="AK84" s="476"/>
      <c r="AL84" s="477"/>
      <c r="AM84" s="478">
        <v>0</v>
      </c>
      <c r="AN84" s="478"/>
      <c r="AO84" s="467"/>
      <c r="AP84" s="479">
        <f t="shared" si="17"/>
        <v>0</v>
      </c>
      <c r="AQ84" s="467"/>
      <c r="AR84" s="467"/>
      <c r="AS84" s="509">
        <f t="shared" si="18"/>
        <v>0</v>
      </c>
      <c r="AT84" s="476"/>
      <c r="AU84" s="477"/>
      <c r="AV84" s="494">
        <f t="shared" si="19"/>
        <v>0</v>
      </c>
      <c r="AW84" s="494">
        <f t="shared" si="20"/>
        <v>0</v>
      </c>
      <c r="AX84" s="468"/>
      <c r="AY84" s="589">
        <v>0</v>
      </c>
      <c r="AZ84" s="510">
        <f t="shared" si="21"/>
        <v>0</v>
      </c>
      <c r="BA84" s="511">
        <f t="shared" si="22"/>
        <v>0</v>
      </c>
      <c r="BB84" s="460"/>
      <c r="BC84" s="464">
        <f t="shared" si="13"/>
        <v>0</v>
      </c>
    </row>
    <row r="85" spans="1:55" ht="15">
      <c r="A85" s="431">
        <v>79</v>
      </c>
      <c r="B85" s="431">
        <v>282</v>
      </c>
      <c r="C85" s="352" t="s">
        <v>767</v>
      </c>
      <c r="D85" s="352" t="s">
        <v>1637</v>
      </c>
      <c r="E85" s="374">
        <v>0</v>
      </c>
      <c r="F85" s="374"/>
      <c r="G85" s="377"/>
      <c r="H85" s="590">
        <v>0</v>
      </c>
      <c r="I85" s="358">
        <f t="shared" si="14"/>
        <v>0</v>
      </c>
      <c r="K85" s="66">
        <f t="shared" si="12"/>
        <v>0</v>
      </c>
      <c r="L85" s="66"/>
      <c r="M85" s="431">
        <v>79</v>
      </c>
      <c r="N85" s="431">
        <v>282</v>
      </c>
      <c r="O85" s="452" t="s">
        <v>767</v>
      </c>
      <c r="P85" s="451" t="s">
        <v>1637</v>
      </c>
      <c r="Q85" s="203">
        <v>0</v>
      </c>
      <c r="R85" s="457" t="s">
        <v>2509</v>
      </c>
      <c r="S85" s="253"/>
      <c r="T85" s="159">
        <v>79</v>
      </c>
      <c r="U85" s="352" t="s">
        <v>767</v>
      </c>
      <c r="V85" s="352" t="s">
        <v>1637</v>
      </c>
      <c r="W85" s="374">
        <v>0</v>
      </c>
      <c r="X85" s="374"/>
      <c r="Y85" s="377"/>
      <c r="Z85" s="378"/>
      <c r="AA85" s="358">
        <f t="shared" si="15"/>
        <v>0</v>
      </c>
      <c r="AE85" s="159">
        <f t="shared" si="16"/>
        <v>0</v>
      </c>
      <c r="AG85" s="471" t="s">
        <v>767</v>
      </c>
      <c r="AH85" s="467" t="s">
        <v>1637</v>
      </c>
      <c r="AI85" s="490">
        <v>0</v>
      </c>
      <c r="AJ85" s="490"/>
      <c r="AK85" s="476"/>
      <c r="AL85" s="477"/>
      <c r="AM85" s="478">
        <v>0</v>
      </c>
      <c r="AN85" s="478"/>
      <c r="AO85" s="467"/>
      <c r="AP85" s="479">
        <f t="shared" si="17"/>
        <v>0</v>
      </c>
      <c r="AQ85" s="467"/>
      <c r="AR85" s="467"/>
      <c r="AS85" s="509">
        <f t="shared" si="18"/>
        <v>0</v>
      </c>
      <c r="AT85" s="476"/>
      <c r="AU85" s="477"/>
      <c r="AV85" s="494">
        <f t="shared" si="19"/>
        <v>0</v>
      </c>
      <c r="AW85" s="494">
        <f t="shared" si="20"/>
        <v>0</v>
      </c>
      <c r="AX85" s="468"/>
      <c r="AY85" s="589">
        <v>0</v>
      </c>
      <c r="AZ85" s="510">
        <f t="shared" si="21"/>
        <v>0</v>
      </c>
      <c r="BA85" s="511">
        <f t="shared" si="22"/>
        <v>0</v>
      </c>
      <c r="BB85" s="460"/>
      <c r="BC85" s="464">
        <f t="shared" si="13"/>
        <v>0</v>
      </c>
    </row>
    <row r="86" spans="1:55" ht="15">
      <c r="A86" s="431">
        <v>80</v>
      </c>
      <c r="B86" s="431">
        <v>131</v>
      </c>
      <c r="C86" s="351" t="s">
        <v>764</v>
      </c>
      <c r="D86" s="352" t="s">
        <v>1653</v>
      </c>
      <c r="E86" s="374">
        <v>0</v>
      </c>
      <c r="F86" s="374"/>
      <c r="G86" s="377"/>
      <c r="H86" s="590">
        <v>0</v>
      </c>
      <c r="I86" s="358">
        <f t="shared" si="14"/>
        <v>0</v>
      </c>
      <c r="K86" s="66">
        <f t="shared" si="12"/>
        <v>0</v>
      </c>
      <c r="L86" s="66"/>
      <c r="M86" s="431">
        <v>80</v>
      </c>
      <c r="N86" s="431">
        <v>131</v>
      </c>
      <c r="O86" s="432" t="s">
        <v>764</v>
      </c>
      <c r="P86" s="433" t="s">
        <v>1653</v>
      </c>
      <c r="Q86" s="203">
        <v>0</v>
      </c>
      <c r="R86" s="457" t="s">
        <v>2509</v>
      </c>
      <c r="S86" s="253"/>
      <c r="T86" s="159">
        <v>80</v>
      </c>
      <c r="U86" s="351" t="s">
        <v>764</v>
      </c>
      <c r="V86" s="352" t="s">
        <v>1653</v>
      </c>
      <c r="W86" s="374">
        <v>0</v>
      </c>
      <c r="X86" s="374"/>
      <c r="Y86" s="377"/>
      <c r="Z86" s="378"/>
      <c r="AA86" s="358">
        <f t="shared" si="15"/>
        <v>0</v>
      </c>
      <c r="AE86" s="159">
        <f t="shared" si="16"/>
        <v>0</v>
      </c>
      <c r="AG86" s="471" t="s">
        <v>764</v>
      </c>
      <c r="AH86" s="467" t="s">
        <v>1653</v>
      </c>
      <c r="AI86" s="490">
        <v>0</v>
      </c>
      <c r="AJ86" s="490"/>
      <c r="AK86" s="476"/>
      <c r="AL86" s="477"/>
      <c r="AM86" s="478">
        <v>0</v>
      </c>
      <c r="AN86" s="478"/>
      <c r="AO86" s="467"/>
      <c r="AP86" s="479">
        <f t="shared" si="17"/>
        <v>0</v>
      </c>
      <c r="AQ86" s="467"/>
      <c r="AR86" s="467"/>
      <c r="AS86" s="509">
        <f t="shared" si="18"/>
        <v>0</v>
      </c>
      <c r="AT86" s="476"/>
      <c r="AU86" s="477"/>
      <c r="AV86" s="494">
        <f t="shared" si="19"/>
        <v>0</v>
      </c>
      <c r="AW86" s="494">
        <f t="shared" si="20"/>
        <v>0</v>
      </c>
      <c r="AX86" s="468"/>
      <c r="AY86" s="589">
        <v>0</v>
      </c>
      <c r="AZ86" s="510">
        <f t="shared" si="21"/>
        <v>0</v>
      </c>
      <c r="BA86" s="511">
        <f t="shared" si="22"/>
        <v>0</v>
      </c>
      <c r="BB86" s="460"/>
      <c r="BC86" s="464">
        <f t="shared" si="13"/>
        <v>0</v>
      </c>
    </row>
    <row r="87" spans="1:55" ht="15">
      <c r="A87" s="431">
        <v>81</v>
      </c>
      <c r="B87" s="431">
        <v>116</v>
      </c>
      <c r="C87" s="351" t="s">
        <v>763</v>
      </c>
      <c r="D87" s="352" t="s">
        <v>1654</v>
      </c>
      <c r="E87" s="374">
        <v>0</v>
      </c>
      <c r="F87" s="374"/>
      <c r="G87" s="377"/>
      <c r="H87" s="590">
        <v>0</v>
      </c>
      <c r="I87" s="358">
        <f t="shared" si="14"/>
        <v>0</v>
      </c>
      <c r="K87" s="66">
        <f t="shared" si="12"/>
        <v>0</v>
      </c>
      <c r="L87" s="66"/>
      <c r="M87" s="431">
        <v>81</v>
      </c>
      <c r="N87" s="431">
        <v>116</v>
      </c>
      <c r="O87" s="450" t="s">
        <v>763</v>
      </c>
      <c r="P87" s="451" t="s">
        <v>1654</v>
      </c>
      <c r="Q87" s="203">
        <v>0</v>
      </c>
      <c r="R87" s="457" t="s">
        <v>2509</v>
      </c>
      <c r="S87" s="253"/>
      <c r="T87" s="159">
        <v>81</v>
      </c>
      <c r="U87" s="351" t="s">
        <v>763</v>
      </c>
      <c r="V87" s="352" t="s">
        <v>1654</v>
      </c>
      <c r="W87" s="374">
        <v>0</v>
      </c>
      <c r="X87" s="374"/>
      <c r="Y87" s="377"/>
      <c r="Z87" s="378"/>
      <c r="AA87" s="358">
        <f t="shared" si="15"/>
        <v>0</v>
      </c>
      <c r="AE87" s="159">
        <f t="shared" si="16"/>
        <v>0</v>
      </c>
      <c r="AG87" s="471" t="s">
        <v>763</v>
      </c>
      <c r="AH87" s="467" t="s">
        <v>1654</v>
      </c>
      <c r="AI87" s="490">
        <v>0</v>
      </c>
      <c r="AJ87" s="490"/>
      <c r="AK87" s="476"/>
      <c r="AL87" s="477"/>
      <c r="AM87" s="478">
        <v>0</v>
      </c>
      <c r="AN87" s="478"/>
      <c r="AO87" s="467"/>
      <c r="AP87" s="479">
        <f t="shared" si="17"/>
        <v>0</v>
      </c>
      <c r="AQ87" s="467"/>
      <c r="AR87" s="467"/>
      <c r="AS87" s="509">
        <f t="shared" si="18"/>
        <v>0</v>
      </c>
      <c r="AT87" s="476"/>
      <c r="AU87" s="477"/>
      <c r="AV87" s="494">
        <f t="shared" si="19"/>
        <v>0</v>
      </c>
      <c r="AW87" s="494">
        <f t="shared" si="20"/>
        <v>0</v>
      </c>
      <c r="AX87" s="468"/>
      <c r="AY87" s="589">
        <v>0</v>
      </c>
      <c r="AZ87" s="510">
        <f t="shared" si="21"/>
        <v>0</v>
      </c>
      <c r="BA87" s="511">
        <f t="shared" si="22"/>
        <v>0</v>
      </c>
      <c r="BB87" s="460"/>
      <c r="BC87" s="464">
        <f t="shared" si="13"/>
        <v>0</v>
      </c>
    </row>
    <row r="88" spans="1:55" ht="15">
      <c r="A88" s="431">
        <v>82</v>
      </c>
      <c r="B88" s="431">
        <v>64</v>
      </c>
      <c r="C88" s="351" t="s">
        <v>762</v>
      </c>
      <c r="D88" s="352" t="s">
        <v>1638</v>
      </c>
      <c r="E88" s="374">
        <v>0</v>
      </c>
      <c r="F88" s="374"/>
      <c r="G88" s="377"/>
      <c r="H88" s="590">
        <v>0</v>
      </c>
      <c r="I88" s="358">
        <f t="shared" si="14"/>
        <v>0</v>
      </c>
      <c r="K88" s="66">
        <f t="shared" si="12"/>
        <v>0</v>
      </c>
      <c r="L88" s="66"/>
      <c r="M88" s="431">
        <v>82</v>
      </c>
      <c r="N88" s="431">
        <v>64</v>
      </c>
      <c r="O88" s="450" t="s">
        <v>762</v>
      </c>
      <c r="P88" s="451" t="s">
        <v>1638</v>
      </c>
      <c r="Q88" s="203">
        <v>0</v>
      </c>
      <c r="R88" s="457" t="s">
        <v>2509</v>
      </c>
      <c r="S88" s="253"/>
      <c r="T88" s="159">
        <v>82</v>
      </c>
      <c r="U88" s="351" t="s">
        <v>762</v>
      </c>
      <c r="V88" s="352" t="s">
        <v>1638</v>
      </c>
      <c r="W88" s="374">
        <v>0</v>
      </c>
      <c r="X88" s="374"/>
      <c r="Y88" s="377"/>
      <c r="Z88" s="378"/>
      <c r="AA88" s="358">
        <f t="shared" si="15"/>
        <v>0</v>
      </c>
      <c r="AE88" s="159">
        <f t="shared" si="16"/>
        <v>0</v>
      </c>
      <c r="AG88" s="471" t="s">
        <v>762</v>
      </c>
      <c r="AH88" s="467" t="s">
        <v>1638</v>
      </c>
      <c r="AI88" s="490">
        <v>0</v>
      </c>
      <c r="AJ88" s="490"/>
      <c r="AK88" s="476"/>
      <c r="AL88" s="477"/>
      <c r="AM88" s="478">
        <v>0</v>
      </c>
      <c r="AN88" s="478"/>
      <c r="AO88" s="467"/>
      <c r="AP88" s="479">
        <f t="shared" si="17"/>
        <v>0</v>
      </c>
      <c r="AQ88" s="467"/>
      <c r="AR88" s="467"/>
      <c r="AS88" s="509">
        <f t="shared" si="18"/>
        <v>0</v>
      </c>
      <c r="AT88" s="476"/>
      <c r="AU88" s="477"/>
      <c r="AV88" s="494">
        <f t="shared" si="19"/>
        <v>0</v>
      </c>
      <c r="AW88" s="494">
        <f t="shared" si="20"/>
        <v>0</v>
      </c>
      <c r="AX88" s="468"/>
      <c r="AY88" s="589">
        <v>0</v>
      </c>
      <c r="AZ88" s="510">
        <f t="shared" si="21"/>
        <v>0</v>
      </c>
      <c r="BA88" s="511">
        <f t="shared" si="22"/>
        <v>0</v>
      </c>
      <c r="BB88" s="460"/>
      <c r="BC88" s="464">
        <f t="shared" si="13"/>
        <v>0</v>
      </c>
    </row>
    <row r="89" spans="1:55" ht="15">
      <c r="A89" s="431">
        <v>83</v>
      </c>
      <c r="B89" s="431">
        <v>21</v>
      </c>
      <c r="C89" s="351" t="s">
        <v>760</v>
      </c>
      <c r="D89" s="352" t="s">
        <v>1651</v>
      </c>
      <c r="E89" s="374">
        <v>0</v>
      </c>
      <c r="F89" s="374"/>
      <c r="G89" s="377"/>
      <c r="H89" s="590">
        <v>0</v>
      </c>
      <c r="I89" s="358">
        <f t="shared" si="14"/>
        <v>0</v>
      </c>
      <c r="K89" s="66">
        <f t="shared" si="12"/>
        <v>0</v>
      </c>
      <c r="L89" s="66"/>
      <c r="M89" s="431">
        <v>83</v>
      </c>
      <c r="N89" s="431">
        <v>21</v>
      </c>
      <c r="O89" s="450" t="s">
        <v>760</v>
      </c>
      <c r="P89" s="451" t="s">
        <v>1651</v>
      </c>
      <c r="Q89" s="203">
        <v>0</v>
      </c>
      <c r="R89" s="457" t="s">
        <v>2509</v>
      </c>
      <c r="S89" s="253"/>
      <c r="T89" s="159">
        <v>83</v>
      </c>
      <c r="U89" s="351" t="s">
        <v>760</v>
      </c>
      <c r="V89" s="352" t="s">
        <v>1651</v>
      </c>
      <c r="W89" s="374">
        <v>0</v>
      </c>
      <c r="X89" s="374"/>
      <c r="Y89" s="377"/>
      <c r="Z89" s="378"/>
      <c r="AA89" s="358">
        <f t="shared" si="15"/>
        <v>0</v>
      </c>
      <c r="AE89" s="159">
        <f t="shared" si="16"/>
        <v>0</v>
      </c>
      <c r="AG89" s="471" t="s">
        <v>760</v>
      </c>
      <c r="AH89" s="467" t="s">
        <v>1651</v>
      </c>
      <c r="AI89" s="490">
        <v>0</v>
      </c>
      <c r="AJ89" s="490"/>
      <c r="AK89" s="476"/>
      <c r="AL89" s="477"/>
      <c r="AM89" s="478">
        <v>0</v>
      </c>
      <c r="AN89" s="478"/>
      <c r="AO89" s="467"/>
      <c r="AP89" s="479">
        <f t="shared" si="17"/>
        <v>0</v>
      </c>
      <c r="AQ89" s="467"/>
      <c r="AR89" s="467"/>
      <c r="AS89" s="509">
        <f t="shared" si="18"/>
        <v>0</v>
      </c>
      <c r="AT89" s="476"/>
      <c r="AU89" s="477"/>
      <c r="AV89" s="494">
        <f t="shared" si="19"/>
        <v>0</v>
      </c>
      <c r="AW89" s="494">
        <f t="shared" si="20"/>
        <v>0</v>
      </c>
      <c r="AX89" s="468"/>
      <c r="AY89" s="589">
        <v>0</v>
      </c>
      <c r="AZ89" s="510">
        <f t="shared" si="21"/>
        <v>0</v>
      </c>
      <c r="BA89" s="511">
        <f t="shared" si="22"/>
        <v>0</v>
      </c>
      <c r="BB89" s="460"/>
      <c r="BC89" s="464">
        <f t="shared" si="13"/>
        <v>0</v>
      </c>
    </row>
    <row r="90" spans="1:55" ht="15">
      <c r="A90" s="431">
        <v>84</v>
      </c>
      <c r="B90" s="431">
        <v>225</v>
      </c>
      <c r="C90" s="352" t="s">
        <v>765</v>
      </c>
      <c r="D90" s="352" t="s">
        <v>1652</v>
      </c>
      <c r="E90" s="374">
        <v>0</v>
      </c>
      <c r="F90" s="374"/>
      <c r="G90" s="377"/>
      <c r="H90" s="590">
        <v>0</v>
      </c>
      <c r="I90" s="358">
        <f t="shared" si="14"/>
        <v>0</v>
      </c>
      <c r="K90" s="66">
        <f t="shared" si="12"/>
        <v>0</v>
      </c>
      <c r="L90" s="66"/>
      <c r="M90" s="431">
        <v>84</v>
      </c>
      <c r="N90" s="431">
        <v>225</v>
      </c>
      <c r="O90" s="452" t="s">
        <v>765</v>
      </c>
      <c r="P90" s="451" t="s">
        <v>1652</v>
      </c>
      <c r="Q90" s="203">
        <v>0</v>
      </c>
      <c r="R90" s="457" t="s">
        <v>2509</v>
      </c>
      <c r="S90" s="253"/>
      <c r="T90" s="159">
        <v>84</v>
      </c>
      <c r="U90" s="352" t="s">
        <v>765</v>
      </c>
      <c r="V90" s="352" t="s">
        <v>1652</v>
      </c>
      <c r="W90" s="374">
        <v>0</v>
      </c>
      <c r="X90" s="374"/>
      <c r="Y90" s="377"/>
      <c r="Z90" s="378"/>
      <c r="AA90" s="358">
        <f t="shared" si="15"/>
        <v>0</v>
      </c>
      <c r="AE90" s="159">
        <f t="shared" si="16"/>
        <v>0</v>
      </c>
      <c r="AG90" s="471" t="s">
        <v>765</v>
      </c>
      <c r="AH90" s="467" t="s">
        <v>1652</v>
      </c>
      <c r="AI90" s="490">
        <v>0</v>
      </c>
      <c r="AJ90" s="490"/>
      <c r="AK90" s="476"/>
      <c r="AL90" s="477"/>
      <c r="AM90" s="478">
        <v>0</v>
      </c>
      <c r="AN90" s="478"/>
      <c r="AO90" s="467"/>
      <c r="AP90" s="479">
        <f t="shared" si="17"/>
        <v>0</v>
      </c>
      <c r="AQ90" s="467"/>
      <c r="AR90" s="467"/>
      <c r="AS90" s="509">
        <f t="shared" si="18"/>
        <v>0</v>
      </c>
      <c r="AT90" s="476"/>
      <c r="AU90" s="477"/>
      <c r="AV90" s="494">
        <f t="shared" si="19"/>
        <v>0</v>
      </c>
      <c r="AW90" s="494">
        <f t="shared" si="20"/>
        <v>0</v>
      </c>
      <c r="AX90" s="468"/>
      <c r="AY90" s="589">
        <v>0</v>
      </c>
      <c r="AZ90" s="510">
        <f t="shared" si="21"/>
        <v>0</v>
      </c>
      <c r="BA90" s="511">
        <f t="shared" si="22"/>
        <v>0</v>
      </c>
      <c r="BB90" s="460"/>
      <c r="BC90" s="464">
        <f t="shared" si="13"/>
        <v>0</v>
      </c>
    </row>
    <row r="91" spans="1:55" ht="15">
      <c r="A91" s="431">
        <v>85</v>
      </c>
      <c r="B91" s="431">
        <v>151</v>
      </c>
      <c r="C91" s="347" t="s">
        <v>418</v>
      </c>
      <c r="D91" s="348" t="s">
        <v>419</v>
      </c>
      <c r="E91" s="380">
        <v>0</v>
      </c>
      <c r="F91" s="371"/>
      <c r="G91" s="377"/>
      <c r="H91" s="590">
        <v>-75851.735488000006</v>
      </c>
      <c r="I91" s="358">
        <f t="shared" si="14"/>
        <v>-75851.735488000006</v>
      </c>
      <c r="K91" s="66">
        <f t="shared" si="12"/>
        <v>0</v>
      </c>
      <c r="L91" s="66"/>
      <c r="M91" s="431">
        <v>85</v>
      </c>
      <c r="N91" s="431">
        <v>151</v>
      </c>
      <c r="O91" s="445" t="s">
        <v>418</v>
      </c>
      <c r="P91" s="446" t="s">
        <v>2380</v>
      </c>
      <c r="Q91" s="203">
        <v>-75851.735488000006</v>
      </c>
      <c r="R91" s="457" t="s">
        <v>2509</v>
      </c>
      <c r="S91" s="253"/>
      <c r="T91" s="159">
        <v>85</v>
      </c>
      <c r="U91" s="347" t="s">
        <v>418</v>
      </c>
      <c r="V91" s="348" t="s">
        <v>419</v>
      </c>
      <c r="W91" s="380">
        <v>0</v>
      </c>
      <c r="X91" s="371"/>
      <c r="Y91" s="377"/>
      <c r="Z91" s="378"/>
      <c r="AA91" s="358">
        <f t="shared" si="15"/>
        <v>0</v>
      </c>
      <c r="AE91" s="159">
        <f t="shared" si="16"/>
        <v>0</v>
      </c>
      <c r="AG91" s="471" t="s">
        <v>418</v>
      </c>
      <c r="AH91" s="467" t="s">
        <v>419</v>
      </c>
      <c r="AI91" s="484">
        <v>0</v>
      </c>
      <c r="AJ91" s="485"/>
      <c r="AK91" s="476"/>
      <c r="AL91" s="477"/>
      <c r="AM91" s="478">
        <v>0</v>
      </c>
      <c r="AN91" s="478"/>
      <c r="AO91" s="467"/>
      <c r="AP91" s="479">
        <f t="shared" si="17"/>
        <v>0</v>
      </c>
      <c r="AQ91" s="467"/>
      <c r="AR91" s="467"/>
      <c r="AS91" s="509">
        <f t="shared" si="18"/>
        <v>0</v>
      </c>
      <c r="AT91" s="476"/>
      <c r="AU91" s="477"/>
      <c r="AV91" s="494">
        <f t="shared" si="19"/>
        <v>0</v>
      </c>
      <c r="AW91" s="494">
        <f t="shared" si="20"/>
        <v>0</v>
      </c>
      <c r="AX91" s="468"/>
      <c r="AY91" s="589">
        <v>-75851.735488000006</v>
      </c>
      <c r="AZ91" s="510">
        <f t="shared" si="21"/>
        <v>-75851.735488000006</v>
      </c>
      <c r="BA91" s="511">
        <f t="shared" si="22"/>
        <v>0</v>
      </c>
      <c r="BB91" s="460"/>
      <c r="BC91" s="464">
        <f t="shared" si="13"/>
        <v>0</v>
      </c>
    </row>
    <row r="92" spans="1:55" ht="15">
      <c r="A92" s="431">
        <v>86</v>
      </c>
      <c r="B92" s="431">
        <v>230</v>
      </c>
      <c r="C92" t="s">
        <v>564</v>
      </c>
      <c r="D92" t="s">
        <v>1004</v>
      </c>
      <c r="E92" s="372">
        <v>0</v>
      </c>
      <c r="F92" s="372">
        <v>571216.72645321838</v>
      </c>
      <c r="G92" s="377">
        <v>771852.65427968744</v>
      </c>
      <c r="H92" s="590">
        <v>666226.69187200069</v>
      </c>
      <c r="I92" s="358">
        <f t="shared" si="14"/>
        <v>2009296.0726049065</v>
      </c>
      <c r="K92" s="66">
        <f t="shared" si="12"/>
        <v>0</v>
      </c>
      <c r="L92" s="66"/>
      <c r="M92" s="431">
        <v>86</v>
      </c>
      <c r="N92" s="431">
        <v>230</v>
      </c>
      <c r="O92" s="443" t="s">
        <v>564</v>
      </c>
      <c r="P92" s="443" t="s">
        <v>1004</v>
      </c>
      <c r="Q92" s="203">
        <v>666226.69187200069</v>
      </c>
      <c r="R92" s="457" t="s">
        <v>2509</v>
      </c>
      <c r="S92" s="253"/>
      <c r="T92" s="159">
        <v>86</v>
      </c>
      <c r="U92" t="s">
        <v>564</v>
      </c>
      <c r="V92" t="s">
        <v>1004</v>
      </c>
      <c r="W92" s="372">
        <v>-786196.24999999348</v>
      </c>
      <c r="X92" s="372">
        <v>591928.76838976401</v>
      </c>
      <c r="Y92" s="377">
        <v>765484.20806344785</v>
      </c>
      <c r="Z92" s="378">
        <v>771852.65427968744</v>
      </c>
      <c r="AA92" s="358">
        <f t="shared" si="15"/>
        <v>1343069.3807329058</v>
      </c>
      <c r="AE92" s="159">
        <f t="shared" si="16"/>
        <v>0</v>
      </c>
      <c r="AG92" s="471" t="s">
        <v>564</v>
      </c>
      <c r="AH92" s="467" t="s">
        <v>1004</v>
      </c>
      <c r="AI92" s="491">
        <v>-786196.24999999348</v>
      </c>
      <c r="AJ92" s="491">
        <v>591928.76838976401</v>
      </c>
      <c r="AK92" s="481">
        <v>765484.20806344785</v>
      </c>
      <c r="AL92" s="477">
        <v>771852.65427968744</v>
      </c>
      <c r="AM92" s="478">
        <v>1343069.3807329058</v>
      </c>
      <c r="AN92" s="483">
        <f>+AK92+AJ92+AI92</f>
        <v>571216.72645321838</v>
      </c>
      <c r="AO92" s="467"/>
      <c r="AP92" s="492">
        <f>+AL92+AN92</f>
        <v>1343069.3807329058</v>
      </c>
      <c r="AQ92" s="467"/>
      <c r="AR92" s="467"/>
      <c r="AS92" s="515">
        <v>0</v>
      </c>
      <c r="AT92" s="498">
        <v>571216.72645321838</v>
      </c>
      <c r="AU92" s="477">
        <v>771852.65427968744</v>
      </c>
      <c r="AV92" s="494">
        <f t="shared" si="19"/>
        <v>1343069.3807329058</v>
      </c>
      <c r="AW92" s="513">
        <f>+AV92-AM92</f>
        <v>0</v>
      </c>
      <c r="AX92" s="468"/>
      <c r="AY92" s="589">
        <v>666226.69187200069</v>
      </c>
      <c r="AZ92" s="510">
        <f t="shared" si="21"/>
        <v>2009296.0726049065</v>
      </c>
      <c r="BA92" s="511">
        <f t="shared" si="22"/>
        <v>0</v>
      </c>
      <c r="BB92" s="460"/>
      <c r="BC92" s="464">
        <f t="shared" si="13"/>
        <v>0</v>
      </c>
    </row>
    <row r="93" spans="1:55" ht="15">
      <c r="A93" s="431">
        <v>87</v>
      </c>
      <c r="B93" s="431">
        <v>34</v>
      </c>
      <c r="C93" t="s">
        <v>222</v>
      </c>
      <c r="D93" t="s">
        <v>1664</v>
      </c>
      <c r="E93" s="372">
        <v>2943664.6124969423</v>
      </c>
      <c r="F93" s="372">
        <v>2130043.7948592007</v>
      </c>
      <c r="G93" s="377">
        <v>2407816.8173231459</v>
      </c>
      <c r="H93" s="590">
        <v>1715344.3316560034</v>
      </c>
      <c r="I93" s="358">
        <f t="shared" si="14"/>
        <v>9196869.5563352928</v>
      </c>
      <c r="K93" s="66">
        <f t="shared" si="12"/>
        <v>0</v>
      </c>
      <c r="L93" s="66"/>
      <c r="M93" s="431">
        <v>87</v>
      </c>
      <c r="N93" s="431">
        <v>34</v>
      </c>
      <c r="O93" s="443" t="s">
        <v>222</v>
      </c>
      <c r="P93" s="443" t="s">
        <v>1664</v>
      </c>
      <c r="Q93" s="203">
        <v>1715344.3316560034</v>
      </c>
      <c r="R93" s="457" t="s">
        <v>2509</v>
      </c>
      <c r="S93" s="253"/>
      <c r="T93" s="159">
        <v>87</v>
      </c>
      <c r="U93" t="s">
        <v>222</v>
      </c>
      <c r="V93" t="s">
        <v>1664</v>
      </c>
      <c r="W93" s="372">
        <v>1507961.0800000075</v>
      </c>
      <c r="X93" s="372">
        <v>1435703.5324969348</v>
      </c>
      <c r="Y93" s="377">
        <v>2130043.7948592007</v>
      </c>
      <c r="Z93" s="378">
        <v>2407816.8173231459</v>
      </c>
      <c r="AA93" s="358">
        <f t="shared" si="15"/>
        <v>7481525.2246792894</v>
      </c>
      <c r="AE93" s="159">
        <f t="shared" si="16"/>
        <v>0</v>
      </c>
      <c r="AG93" s="471" t="s">
        <v>222</v>
      </c>
      <c r="AH93" s="467" t="s">
        <v>1664</v>
      </c>
      <c r="AI93" s="480">
        <v>1507961.0800000075</v>
      </c>
      <c r="AJ93" s="480">
        <v>1435703.5324969348</v>
      </c>
      <c r="AK93" s="476">
        <v>2130043.7948592007</v>
      </c>
      <c r="AL93" s="477">
        <v>2407816.8173231459</v>
      </c>
      <c r="AM93" s="478">
        <v>7481525.2246792894</v>
      </c>
      <c r="AN93" s="478"/>
      <c r="AO93" s="467"/>
      <c r="AP93" s="479">
        <f t="shared" si="17"/>
        <v>5973564.1446792819</v>
      </c>
      <c r="AQ93" s="467"/>
      <c r="AR93" s="467"/>
      <c r="AS93" s="512">
        <f>+AI93+AJ93</f>
        <v>2943664.6124969423</v>
      </c>
      <c r="AT93" s="476">
        <v>2130043.7948592007</v>
      </c>
      <c r="AU93" s="477">
        <v>2407816.8173231459</v>
      </c>
      <c r="AV93" s="494">
        <f t="shared" si="19"/>
        <v>7481525.2246792894</v>
      </c>
      <c r="AW93" s="513">
        <f>+AV93-AM93</f>
        <v>0</v>
      </c>
      <c r="AX93" s="468"/>
      <c r="AY93" s="589">
        <v>1715344.3316560034</v>
      </c>
      <c r="AZ93" s="510">
        <f t="shared" si="21"/>
        <v>9196869.5563352928</v>
      </c>
      <c r="BA93" s="511">
        <f t="shared" si="22"/>
        <v>0</v>
      </c>
      <c r="BB93" s="460"/>
      <c r="BC93" s="464">
        <f t="shared" si="13"/>
        <v>0</v>
      </c>
    </row>
    <row r="94" spans="1:55" ht="15">
      <c r="A94" s="431">
        <v>88</v>
      </c>
      <c r="B94" s="431">
        <v>269</v>
      </c>
      <c r="C94" t="s">
        <v>632</v>
      </c>
      <c r="D94" t="s">
        <v>1680</v>
      </c>
      <c r="E94" s="372">
        <v>-34518.222080000007</v>
      </c>
      <c r="F94" s="372">
        <v>-44272.216110000008</v>
      </c>
      <c r="G94" s="377">
        <v>-52726.874000000003</v>
      </c>
      <c r="H94" s="590">
        <v>-57684.187912000016</v>
      </c>
      <c r="I94" s="358">
        <f t="shared" si="14"/>
        <v>-189201.50010200005</v>
      </c>
      <c r="K94" s="66">
        <f t="shared" si="12"/>
        <v>0</v>
      </c>
      <c r="L94" s="66"/>
      <c r="M94" s="431">
        <v>88</v>
      </c>
      <c r="N94" s="431">
        <v>269</v>
      </c>
      <c r="O94" s="443" t="s">
        <v>632</v>
      </c>
      <c r="P94" s="443" t="s">
        <v>1680</v>
      </c>
      <c r="Q94" s="203">
        <v>-57684.187912000016</v>
      </c>
      <c r="R94" s="457" t="s">
        <v>2509</v>
      </c>
      <c r="S94" s="253"/>
      <c r="T94" s="159">
        <v>88</v>
      </c>
      <c r="U94" t="s">
        <v>632</v>
      </c>
      <c r="V94" t="s">
        <v>1680</v>
      </c>
      <c r="W94" s="372">
        <v>-38494.370000000003</v>
      </c>
      <c r="X94" s="372">
        <v>-34518.222080000007</v>
      </c>
      <c r="Y94" s="377">
        <v>-44272.216110000008</v>
      </c>
      <c r="Z94" s="378">
        <v>-52726.874000000003</v>
      </c>
      <c r="AA94" s="358">
        <f t="shared" si="15"/>
        <v>-170011.68219000002</v>
      </c>
      <c r="AE94" s="159">
        <f t="shared" si="16"/>
        <v>0</v>
      </c>
      <c r="AG94" s="471" t="s">
        <v>632</v>
      </c>
      <c r="AH94" s="467" t="s">
        <v>1680</v>
      </c>
      <c r="AI94" s="475">
        <v>-38494.370000000003</v>
      </c>
      <c r="AJ94" s="475">
        <v>-34518.222080000007</v>
      </c>
      <c r="AK94" s="476">
        <v>-44272.216110000008</v>
      </c>
      <c r="AL94" s="477">
        <v>-52726.874000000003</v>
      </c>
      <c r="AM94" s="478">
        <v>-170011.68219000002</v>
      </c>
      <c r="AN94" s="478"/>
      <c r="AO94" s="467"/>
      <c r="AP94" s="479">
        <f t="shared" si="17"/>
        <v>-131517.31219000003</v>
      </c>
      <c r="AQ94" s="467"/>
      <c r="AR94" s="467"/>
      <c r="AS94" s="509">
        <f t="shared" si="18"/>
        <v>-34518.222080000007</v>
      </c>
      <c r="AT94" s="476">
        <v>-44272.216110000008</v>
      </c>
      <c r="AU94" s="477">
        <v>-52726.874000000003</v>
      </c>
      <c r="AV94" s="494">
        <f t="shared" si="19"/>
        <v>-131517.31219000003</v>
      </c>
      <c r="AW94" s="494">
        <f t="shared" si="20"/>
        <v>0</v>
      </c>
      <c r="AX94" s="468"/>
      <c r="AY94" s="589">
        <v>-57684.187912000016</v>
      </c>
      <c r="AZ94" s="510">
        <f t="shared" si="21"/>
        <v>-189201.50010200005</v>
      </c>
      <c r="BA94" s="511">
        <f t="shared" si="22"/>
        <v>0</v>
      </c>
      <c r="BB94" s="460"/>
      <c r="BC94" s="464">
        <f t="shared" si="13"/>
        <v>0</v>
      </c>
    </row>
    <row r="95" spans="1:55" ht="15">
      <c r="A95" s="431">
        <v>89</v>
      </c>
      <c r="B95" s="431">
        <v>98</v>
      </c>
      <c r="C95" t="s">
        <v>340</v>
      </c>
      <c r="D95" t="s">
        <v>907</v>
      </c>
      <c r="E95" s="372">
        <v>-1230473.9446492705</v>
      </c>
      <c r="F95" s="372">
        <v>222717.69202448404</v>
      </c>
      <c r="G95" s="377">
        <v>-927085.10050530208</v>
      </c>
      <c r="H95" s="590">
        <v>-1352024.3216799982</v>
      </c>
      <c r="I95" s="358">
        <f t="shared" si="14"/>
        <v>-3286865.6748100868</v>
      </c>
      <c r="K95" s="66">
        <f t="shared" si="12"/>
        <v>0</v>
      </c>
      <c r="L95" s="66"/>
      <c r="M95" s="431">
        <v>89</v>
      </c>
      <c r="N95" s="431">
        <v>98</v>
      </c>
      <c r="O95" s="443" t="s">
        <v>340</v>
      </c>
      <c r="P95" s="443" t="s">
        <v>907</v>
      </c>
      <c r="Q95" s="203">
        <v>-1352024.3216799982</v>
      </c>
      <c r="R95" s="457" t="s">
        <v>2509</v>
      </c>
      <c r="S95" s="253"/>
      <c r="T95" s="159">
        <v>89</v>
      </c>
      <c r="U95" t="s">
        <v>340</v>
      </c>
      <c r="V95" t="s">
        <v>907</v>
      </c>
      <c r="W95" s="372">
        <v>-1322250.3899999999</v>
      </c>
      <c r="X95" s="372">
        <v>-1230473.9446492705</v>
      </c>
      <c r="Y95" s="377">
        <v>222717.69202448404</v>
      </c>
      <c r="Z95" s="378">
        <v>-927085.10050530208</v>
      </c>
      <c r="AA95" s="358">
        <f t="shared" si="15"/>
        <v>-3257091.7431300883</v>
      </c>
      <c r="AE95" s="159">
        <f t="shared" si="16"/>
        <v>0</v>
      </c>
      <c r="AG95" s="471" t="s">
        <v>340</v>
      </c>
      <c r="AH95" s="467" t="s">
        <v>907</v>
      </c>
      <c r="AI95" s="475">
        <v>-1322250.3899999999</v>
      </c>
      <c r="AJ95" s="475">
        <v>-1230473.9446492705</v>
      </c>
      <c r="AK95" s="476">
        <v>222717.69202448404</v>
      </c>
      <c r="AL95" s="477">
        <v>-927085.10050530208</v>
      </c>
      <c r="AM95" s="478">
        <v>-3257091.7431300883</v>
      </c>
      <c r="AN95" s="478"/>
      <c r="AO95" s="467"/>
      <c r="AP95" s="479">
        <f t="shared" si="17"/>
        <v>-1934841.3531300887</v>
      </c>
      <c r="AQ95" s="467"/>
      <c r="AR95" s="467"/>
      <c r="AS95" s="509">
        <f t="shared" si="18"/>
        <v>-1230473.9446492705</v>
      </c>
      <c r="AT95" s="476">
        <v>222717.69202448404</v>
      </c>
      <c r="AU95" s="477">
        <v>-927085.10050530208</v>
      </c>
      <c r="AV95" s="494">
        <f t="shared" si="19"/>
        <v>-1934841.3531300887</v>
      </c>
      <c r="AW95" s="494">
        <f t="shared" si="20"/>
        <v>0</v>
      </c>
      <c r="AX95" s="468"/>
      <c r="AY95" s="589">
        <v>-1352024.3216799982</v>
      </c>
      <c r="AZ95" s="510">
        <f t="shared" si="21"/>
        <v>-3286865.6748100868</v>
      </c>
      <c r="BA95" s="511">
        <f t="shared" si="22"/>
        <v>0</v>
      </c>
      <c r="BB95" s="460"/>
      <c r="BC95" s="464">
        <f t="shared" si="13"/>
        <v>0</v>
      </c>
    </row>
    <row r="96" spans="1:55" ht="15">
      <c r="A96" s="431">
        <v>90</v>
      </c>
      <c r="B96" s="431">
        <v>293</v>
      </c>
      <c r="C96" t="s">
        <v>673</v>
      </c>
      <c r="D96" t="s">
        <v>1053</v>
      </c>
      <c r="E96" s="372">
        <v>-559150.14079465612</v>
      </c>
      <c r="F96" s="372">
        <v>-106668.91415000008</v>
      </c>
      <c r="G96" s="377">
        <v>-284378.79653471021</v>
      </c>
      <c r="H96" s="590">
        <v>-241184.89790000021</v>
      </c>
      <c r="I96" s="358">
        <f t="shared" si="14"/>
        <v>-1191382.7493793666</v>
      </c>
      <c r="K96" s="66">
        <f t="shared" si="12"/>
        <v>0</v>
      </c>
      <c r="L96" s="66"/>
      <c r="M96" s="431">
        <v>90</v>
      </c>
      <c r="N96" s="431">
        <v>293</v>
      </c>
      <c r="O96" s="443" t="s">
        <v>673</v>
      </c>
      <c r="P96" s="443" t="s">
        <v>1053</v>
      </c>
      <c r="Q96" s="203">
        <v>-241184.89790000021</v>
      </c>
      <c r="R96" s="457" t="s">
        <v>2509</v>
      </c>
      <c r="S96" s="253"/>
      <c r="T96" s="159">
        <v>90</v>
      </c>
      <c r="U96" t="s">
        <v>673</v>
      </c>
      <c r="V96" t="s">
        <v>1053</v>
      </c>
      <c r="W96" s="372">
        <v>-455720.45</v>
      </c>
      <c r="X96" s="372">
        <v>-559150.14079465612</v>
      </c>
      <c r="Y96" s="377">
        <v>-106668.91415000008</v>
      </c>
      <c r="Z96" s="378">
        <v>-284378.79653471021</v>
      </c>
      <c r="AA96" s="358">
        <f t="shared" si="15"/>
        <v>-1405918.3014793666</v>
      </c>
      <c r="AE96" s="159">
        <f t="shared" si="16"/>
        <v>0</v>
      </c>
      <c r="AG96" s="471" t="s">
        <v>673</v>
      </c>
      <c r="AH96" s="467" t="s">
        <v>1053</v>
      </c>
      <c r="AI96" s="475">
        <v>-455720.45</v>
      </c>
      <c r="AJ96" s="475">
        <v>-559150.14079465612</v>
      </c>
      <c r="AK96" s="476">
        <v>-106668.91415000008</v>
      </c>
      <c r="AL96" s="477">
        <v>-284378.79653471021</v>
      </c>
      <c r="AM96" s="478">
        <v>-1405918.3014793666</v>
      </c>
      <c r="AN96" s="478"/>
      <c r="AO96" s="467"/>
      <c r="AP96" s="479">
        <f t="shared" si="17"/>
        <v>-950197.85147936642</v>
      </c>
      <c r="AQ96" s="467"/>
      <c r="AR96" s="467"/>
      <c r="AS96" s="509">
        <f t="shared" si="18"/>
        <v>-559150.14079465612</v>
      </c>
      <c r="AT96" s="476">
        <v>-106668.91415000008</v>
      </c>
      <c r="AU96" s="477">
        <v>-284378.79653471021</v>
      </c>
      <c r="AV96" s="494">
        <f t="shared" si="19"/>
        <v>-950197.85147936642</v>
      </c>
      <c r="AW96" s="494">
        <f t="shared" si="20"/>
        <v>0</v>
      </c>
      <c r="AX96" s="468"/>
      <c r="AY96" s="589">
        <v>-241184.89790000021</v>
      </c>
      <c r="AZ96" s="510">
        <f t="shared" si="21"/>
        <v>-1191382.7493793666</v>
      </c>
      <c r="BA96" s="511">
        <f t="shared" si="22"/>
        <v>0</v>
      </c>
      <c r="BB96" s="460"/>
      <c r="BC96" s="464">
        <f t="shared" si="13"/>
        <v>0</v>
      </c>
    </row>
    <row r="97" spans="1:55" ht="15">
      <c r="A97" s="431">
        <v>91</v>
      </c>
      <c r="B97" s="431">
        <v>210</v>
      </c>
      <c r="C97" t="s">
        <v>533</v>
      </c>
      <c r="D97" t="s">
        <v>996</v>
      </c>
      <c r="E97" s="372">
        <v>-367358.13046548242</v>
      </c>
      <c r="F97" s="372">
        <v>0</v>
      </c>
      <c r="G97" s="377">
        <v>-318955.71833694982</v>
      </c>
      <c r="H97" s="590">
        <v>-382095.30692199944</v>
      </c>
      <c r="I97" s="358">
        <f t="shared" si="14"/>
        <v>-1068409.1557244316</v>
      </c>
      <c r="K97" s="66">
        <f t="shared" si="12"/>
        <v>0</v>
      </c>
      <c r="L97" s="66"/>
      <c r="M97" s="431">
        <v>91</v>
      </c>
      <c r="N97" s="431">
        <v>210</v>
      </c>
      <c r="O97" s="443" t="s">
        <v>533</v>
      </c>
      <c r="P97" s="443" t="s">
        <v>996</v>
      </c>
      <c r="Q97" s="203">
        <v>-382095.30692199944</v>
      </c>
      <c r="R97" s="457" t="s">
        <v>2509</v>
      </c>
      <c r="S97" s="253"/>
      <c r="T97" s="159">
        <v>91</v>
      </c>
      <c r="U97" t="s">
        <v>533</v>
      </c>
      <c r="V97" t="s">
        <v>996</v>
      </c>
      <c r="W97" s="372">
        <v>0</v>
      </c>
      <c r="X97" s="372">
        <v>-367358.13046548242</v>
      </c>
      <c r="Y97" s="377">
        <v>0</v>
      </c>
      <c r="Z97" s="378">
        <v>-318955.71833694982</v>
      </c>
      <c r="AA97" s="358">
        <f t="shared" si="15"/>
        <v>-686313.84880243219</v>
      </c>
      <c r="AE97" s="159">
        <f t="shared" si="16"/>
        <v>0</v>
      </c>
      <c r="AG97" s="471" t="s">
        <v>533</v>
      </c>
      <c r="AH97" s="467" t="s">
        <v>996</v>
      </c>
      <c r="AI97" s="475">
        <v>0</v>
      </c>
      <c r="AJ97" s="475">
        <v>-367358.13046548242</v>
      </c>
      <c r="AK97" s="476">
        <v>0</v>
      </c>
      <c r="AL97" s="477">
        <v>-318955.71833694982</v>
      </c>
      <c r="AM97" s="478">
        <v>-686313.84880243219</v>
      </c>
      <c r="AN97" s="478"/>
      <c r="AO97" s="467"/>
      <c r="AP97" s="479">
        <f t="shared" si="17"/>
        <v>-686313.84880243219</v>
      </c>
      <c r="AQ97" s="467"/>
      <c r="AR97" s="467"/>
      <c r="AS97" s="509">
        <f t="shared" si="18"/>
        <v>-367358.13046548242</v>
      </c>
      <c r="AT97" s="476">
        <v>0</v>
      </c>
      <c r="AU97" s="477">
        <v>-318955.71833694982</v>
      </c>
      <c r="AV97" s="494">
        <f t="shared" si="19"/>
        <v>-686313.84880243219</v>
      </c>
      <c r="AW97" s="494">
        <f t="shared" si="20"/>
        <v>0</v>
      </c>
      <c r="AX97" s="468"/>
      <c r="AY97" s="589">
        <v>-382095.30692199944</v>
      </c>
      <c r="AZ97" s="510">
        <f t="shared" si="21"/>
        <v>-1068409.1557244316</v>
      </c>
      <c r="BA97" s="511">
        <f t="shared" si="22"/>
        <v>0</v>
      </c>
      <c r="BB97" s="460"/>
      <c r="BC97" s="464">
        <f t="shared" si="13"/>
        <v>0</v>
      </c>
    </row>
    <row r="98" spans="1:55" ht="15">
      <c r="A98" s="431">
        <v>92</v>
      </c>
      <c r="B98" s="431">
        <v>11</v>
      </c>
      <c r="C98" t="s">
        <v>183</v>
      </c>
      <c r="D98" t="s">
        <v>835</v>
      </c>
      <c r="E98" s="372">
        <v>-279462.69585699984</v>
      </c>
      <c r="F98" s="372">
        <v>-27580.301087999949</v>
      </c>
      <c r="G98" s="377">
        <v>-24505.498496000058</v>
      </c>
      <c r="H98" s="590">
        <v>-89144.124717999832</v>
      </c>
      <c r="I98" s="358">
        <f t="shared" si="14"/>
        <v>-420692.62015899969</v>
      </c>
      <c r="K98" s="66">
        <f t="shared" si="12"/>
        <v>0</v>
      </c>
      <c r="L98" s="66"/>
      <c r="M98" s="431">
        <v>92</v>
      </c>
      <c r="N98" s="431">
        <v>11</v>
      </c>
      <c r="O98" s="443" t="s">
        <v>183</v>
      </c>
      <c r="P98" s="443" t="s">
        <v>835</v>
      </c>
      <c r="Q98" s="203">
        <v>-89144.124717999832</v>
      </c>
      <c r="R98" s="457" t="s">
        <v>2509</v>
      </c>
      <c r="S98" s="253"/>
      <c r="T98" s="159">
        <v>92</v>
      </c>
      <c r="U98" t="s">
        <v>183</v>
      </c>
      <c r="V98" t="s">
        <v>835</v>
      </c>
      <c r="W98" s="372">
        <v>-185747.43</v>
      </c>
      <c r="X98" s="372">
        <v>-279462.69585699984</v>
      </c>
      <c r="Y98" s="377">
        <v>-27580.301087999949</v>
      </c>
      <c r="Z98" s="378">
        <v>-24505.498496000058</v>
      </c>
      <c r="AA98" s="358">
        <f t="shared" si="15"/>
        <v>-517295.92544099985</v>
      </c>
      <c r="AE98" s="159">
        <f t="shared" si="16"/>
        <v>0</v>
      </c>
      <c r="AG98" s="471" t="s">
        <v>183</v>
      </c>
      <c r="AH98" s="467" t="s">
        <v>835</v>
      </c>
      <c r="AI98" s="475">
        <v>-185747.43</v>
      </c>
      <c r="AJ98" s="475">
        <v>-279462.69585699984</v>
      </c>
      <c r="AK98" s="476">
        <v>-27580.301087999949</v>
      </c>
      <c r="AL98" s="477">
        <v>-24505.498496000058</v>
      </c>
      <c r="AM98" s="478">
        <v>-517295.92544099985</v>
      </c>
      <c r="AN98" s="478"/>
      <c r="AO98" s="467"/>
      <c r="AP98" s="479">
        <f t="shared" si="17"/>
        <v>-331548.49544099986</v>
      </c>
      <c r="AQ98" s="467"/>
      <c r="AR98" s="467"/>
      <c r="AS98" s="509">
        <f t="shared" si="18"/>
        <v>-279462.69585699984</v>
      </c>
      <c r="AT98" s="476">
        <v>-27580.301087999949</v>
      </c>
      <c r="AU98" s="477">
        <v>-24505.498496000058</v>
      </c>
      <c r="AV98" s="494">
        <f t="shared" si="19"/>
        <v>-331548.49544099986</v>
      </c>
      <c r="AW98" s="494">
        <f t="shared" si="20"/>
        <v>0</v>
      </c>
      <c r="AX98" s="468"/>
      <c r="AY98" s="589">
        <v>-89144.124717999832</v>
      </c>
      <c r="AZ98" s="510">
        <f t="shared" si="21"/>
        <v>-420692.62015899969</v>
      </c>
      <c r="BA98" s="511">
        <f t="shared" si="22"/>
        <v>0</v>
      </c>
      <c r="BB98" s="460"/>
      <c r="BC98" s="464">
        <f t="shared" si="13"/>
        <v>0</v>
      </c>
    </row>
    <row r="99" spans="1:55" ht="15">
      <c r="A99" s="431">
        <v>93</v>
      </c>
      <c r="B99" s="431">
        <v>206</v>
      </c>
      <c r="C99" t="s">
        <v>525</v>
      </c>
      <c r="D99" t="s">
        <v>992</v>
      </c>
      <c r="E99" s="372">
        <v>-418336.56787614338</v>
      </c>
      <c r="F99" s="372">
        <v>1027522.9128038259</v>
      </c>
      <c r="G99" s="377">
        <v>819718.91572648287</v>
      </c>
      <c r="H99" s="590">
        <v>-74741.092951000668</v>
      </c>
      <c r="I99" s="358">
        <f t="shared" si="14"/>
        <v>1354164.1677031647</v>
      </c>
      <c r="K99" s="66">
        <f t="shared" si="12"/>
        <v>0</v>
      </c>
      <c r="L99" s="66"/>
      <c r="M99" s="431">
        <v>93</v>
      </c>
      <c r="N99" s="431">
        <v>206</v>
      </c>
      <c r="O99" s="443" t="s">
        <v>525</v>
      </c>
      <c r="P99" s="443" t="s">
        <v>992</v>
      </c>
      <c r="Q99" s="203">
        <v>-74741.092951000668</v>
      </c>
      <c r="R99" s="457" t="s">
        <v>2509</v>
      </c>
      <c r="S99" s="253"/>
      <c r="T99" s="159">
        <v>93</v>
      </c>
      <c r="U99" t="s">
        <v>525</v>
      </c>
      <c r="V99" t="s">
        <v>992</v>
      </c>
      <c r="W99" s="372">
        <v>161791.67000000388</v>
      </c>
      <c r="X99" s="372">
        <v>-580128.23787614726</v>
      </c>
      <c r="Y99" s="377">
        <v>1027522.9128038259</v>
      </c>
      <c r="Z99" s="378">
        <v>819718.91572648287</v>
      </c>
      <c r="AA99" s="358">
        <f t="shared" si="15"/>
        <v>1428905.2606541654</v>
      </c>
      <c r="AE99" s="159">
        <f t="shared" si="16"/>
        <v>0</v>
      </c>
      <c r="AG99" s="471" t="s">
        <v>525</v>
      </c>
      <c r="AH99" s="467" t="s">
        <v>992</v>
      </c>
      <c r="AI99" s="480">
        <v>161791.67000000388</v>
      </c>
      <c r="AJ99" s="480">
        <v>-580128.23787614726</v>
      </c>
      <c r="AK99" s="476">
        <v>1027522.9128038259</v>
      </c>
      <c r="AL99" s="477">
        <v>819718.91572648287</v>
      </c>
      <c r="AM99" s="478">
        <v>1428905.2606541654</v>
      </c>
      <c r="AN99" s="478"/>
      <c r="AO99" s="467"/>
      <c r="AP99" s="479">
        <f t="shared" si="17"/>
        <v>1267113.5906541615</v>
      </c>
      <c r="AQ99" s="467"/>
      <c r="AR99" s="467"/>
      <c r="AS99" s="512">
        <f>+AI99+AJ99</f>
        <v>-418336.56787614338</v>
      </c>
      <c r="AT99" s="476">
        <v>1027522.9128038259</v>
      </c>
      <c r="AU99" s="477">
        <v>819718.91572648287</v>
      </c>
      <c r="AV99" s="494">
        <f t="shared" si="19"/>
        <v>1428905.2606541654</v>
      </c>
      <c r="AW99" s="513">
        <f>+AV99-AM99</f>
        <v>0</v>
      </c>
      <c r="AX99" s="468"/>
      <c r="AY99" s="589">
        <v>-74741.092951000668</v>
      </c>
      <c r="AZ99" s="510">
        <f t="shared" si="21"/>
        <v>1354164.1677031647</v>
      </c>
      <c r="BA99" s="511">
        <f t="shared" si="22"/>
        <v>0</v>
      </c>
      <c r="BB99" s="460"/>
      <c r="BC99" s="464">
        <f t="shared" si="13"/>
        <v>0</v>
      </c>
    </row>
    <row r="100" spans="1:55" ht="15">
      <c r="A100" s="431">
        <v>94</v>
      </c>
      <c r="B100" s="431">
        <v>251</v>
      </c>
      <c r="C100" t="s">
        <v>606</v>
      </c>
      <c r="D100" t="s">
        <v>1022</v>
      </c>
      <c r="E100" s="372">
        <v>-3431.4034820000379</v>
      </c>
      <c r="F100" s="372">
        <v>0</v>
      </c>
      <c r="G100" s="377">
        <v>-133051.65149599992</v>
      </c>
      <c r="H100" s="590">
        <v>-70866.712399999902</v>
      </c>
      <c r="I100" s="358">
        <f t="shared" si="14"/>
        <v>-207349.76737799984</v>
      </c>
      <c r="K100" s="66">
        <f t="shared" si="12"/>
        <v>0</v>
      </c>
      <c r="L100" s="66"/>
      <c r="M100" s="431">
        <v>94</v>
      </c>
      <c r="N100" s="431">
        <v>251</v>
      </c>
      <c r="O100" s="443" t="s">
        <v>606</v>
      </c>
      <c r="P100" s="443" t="s">
        <v>1022</v>
      </c>
      <c r="Q100" s="203">
        <v>-70866.712399999902</v>
      </c>
      <c r="R100" s="457" t="s">
        <v>2509</v>
      </c>
      <c r="S100" s="253"/>
      <c r="T100" s="159">
        <v>94</v>
      </c>
      <c r="U100" t="s">
        <v>606</v>
      </c>
      <c r="V100" t="s">
        <v>1022</v>
      </c>
      <c r="W100" s="372">
        <v>-63262.43</v>
      </c>
      <c r="X100" s="372">
        <v>-3431.4034820000379</v>
      </c>
      <c r="Y100" s="377">
        <v>0</v>
      </c>
      <c r="Z100" s="378">
        <v>-133051.65149599992</v>
      </c>
      <c r="AA100" s="358">
        <f t="shared" si="15"/>
        <v>-199745.48497799996</v>
      </c>
      <c r="AE100" s="159">
        <f t="shared" si="16"/>
        <v>0</v>
      </c>
      <c r="AG100" s="471" t="s">
        <v>606</v>
      </c>
      <c r="AH100" s="467" t="s">
        <v>1022</v>
      </c>
      <c r="AI100" s="475">
        <v>-63262.43</v>
      </c>
      <c r="AJ100" s="475">
        <v>-3431.4034820000379</v>
      </c>
      <c r="AK100" s="476">
        <v>0</v>
      </c>
      <c r="AL100" s="477">
        <v>-133051.65149599992</v>
      </c>
      <c r="AM100" s="478">
        <v>-199745.48497799996</v>
      </c>
      <c r="AN100" s="478"/>
      <c r="AO100" s="467"/>
      <c r="AP100" s="479">
        <f t="shared" si="17"/>
        <v>-136483.05497799994</v>
      </c>
      <c r="AQ100" s="467"/>
      <c r="AR100" s="467"/>
      <c r="AS100" s="509">
        <f t="shared" si="18"/>
        <v>-3431.4034820000379</v>
      </c>
      <c r="AT100" s="476">
        <v>0</v>
      </c>
      <c r="AU100" s="477">
        <v>-133051.65149599992</v>
      </c>
      <c r="AV100" s="494">
        <f t="shared" si="19"/>
        <v>-136483.05497799994</v>
      </c>
      <c r="AW100" s="494">
        <f t="shared" si="20"/>
        <v>0</v>
      </c>
      <c r="AX100" s="468"/>
      <c r="AY100" s="589">
        <v>-70866.712399999902</v>
      </c>
      <c r="AZ100" s="510">
        <f t="shared" si="21"/>
        <v>-207349.76737799984</v>
      </c>
      <c r="BA100" s="511">
        <f t="shared" si="22"/>
        <v>0</v>
      </c>
      <c r="BB100" s="460"/>
      <c r="BC100" s="464">
        <f t="shared" si="13"/>
        <v>0</v>
      </c>
    </row>
    <row r="101" spans="1:55" ht="15">
      <c r="A101" s="431">
        <v>95</v>
      </c>
      <c r="B101" s="431">
        <v>307</v>
      </c>
      <c r="C101" t="s">
        <v>697</v>
      </c>
      <c r="D101" t="s">
        <v>1063</v>
      </c>
      <c r="E101" s="372">
        <v>-52582.434310000011</v>
      </c>
      <c r="F101" s="372">
        <v>-76150.655339999998</v>
      </c>
      <c r="G101" s="377">
        <v>-62182.696500000005</v>
      </c>
      <c r="H101" s="590">
        <v>-82048.726077000043</v>
      </c>
      <c r="I101" s="358">
        <f t="shared" si="14"/>
        <v>-272964.51222700003</v>
      </c>
      <c r="K101" s="66">
        <f t="shared" si="12"/>
        <v>0</v>
      </c>
      <c r="L101" s="66"/>
      <c r="M101" s="431">
        <v>95</v>
      </c>
      <c r="N101" s="431">
        <v>307</v>
      </c>
      <c r="O101" s="443" t="s">
        <v>697</v>
      </c>
      <c r="P101" s="443" t="s">
        <v>1063</v>
      </c>
      <c r="Q101" s="203">
        <v>-82048.726077000043</v>
      </c>
      <c r="R101" s="457" t="s">
        <v>2509</v>
      </c>
      <c r="S101" s="253"/>
      <c r="T101" s="159">
        <v>95</v>
      </c>
      <c r="U101" t="s">
        <v>697</v>
      </c>
      <c r="V101" t="s">
        <v>1063</v>
      </c>
      <c r="W101" s="372">
        <v>-80132.11</v>
      </c>
      <c r="X101" s="372">
        <v>-52582.434310000011</v>
      </c>
      <c r="Y101" s="377">
        <v>-76150.655339999998</v>
      </c>
      <c r="Z101" s="378">
        <v>-62182.696500000005</v>
      </c>
      <c r="AA101" s="358">
        <f t="shared" si="15"/>
        <v>-271047.89615000004</v>
      </c>
      <c r="AE101" s="159">
        <f t="shared" si="16"/>
        <v>0</v>
      </c>
      <c r="AG101" s="471" t="s">
        <v>697</v>
      </c>
      <c r="AH101" s="467" t="s">
        <v>1063</v>
      </c>
      <c r="AI101" s="475">
        <v>-80132.11</v>
      </c>
      <c r="AJ101" s="475">
        <v>-52582.434310000011</v>
      </c>
      <c r="AK101" s="476">
        <v>-76150.655339999998</v>
      </c>
      <c r="AL101" s="477">
        <v>-62182.696500000005</v>
      </c>
      <c r="AM101" s="478">
        <v>-271047.89615000004</v>
      </c>
      <c r="AN101" s="478"/>
      <c r="AO101" s="467"/>
      <c r="AP101" s="479">
        <f t="shared" si="17"/>
        <v>-190915.78615</v>
      </c>
      <c r="AQ101" s="467"/>
      <c r="AR101" s="467"/>
      <c r="AS101" s="509">
        <f t="shared" si="18"/>
        <v>-52582.434310000011</v>
      </c>
      <c r="AT101" s="476">
        <v>-76150.655339999998</v>
      </c>
      <c r="AU101" s="477">
        <v>-62182.696500000005</v>
      </c>
      <c r="AV101" s="494">
        <f t="shared" si="19"/>
        <v>-190915.78615</v>
      </c>
      <c r="AW101" s="494">
        <f t="shared" si="20"/>
        <v>0</v>
      </c>
      <c r="AX101" s="468"/>
      <c r="AY101" s="589">
        <v>-82048.726077000043</v>
      </c>
      <c r="AZ101" s="510">
        <f t="shared" si="21"/>
        <v>-272964.51222700003</v>
      </c>
      <c r="BA101" s="511">
        <f t="shared" si="22"/>
        <v>0</v>
      </c>
      <c r="BB101" s="460"/>
      <c r="BC101" s="464">
        <f t="shared" si="13"/>
        <v>0</v>
      </c>
    </row>
    <row r="102" spans="1:55" ht="15">
      <c r="A102" s="431">
        <v>96</v>
      </c>
      <c r="B102" s="431">
        <v>144</v>
      </c>
      <c r="C102" t="s">
        <v>404</v>
      </c>
      <c r="D102" t="s">
        <v>935</v>
      </c>
      <c r="E102" s="372">
        <v>-67194.995090110184</v>
      </c>
      <c r="F102" s="372">
        <v>-84814.643095000007</v>
      </c>
      <c r="G102" s="377">
        <v>-79140.795290000024</v>
      </c>
      <c r="H102" s="590">
        <v>-117866.99245000001</v>
      </c>
      <c r="I102" s="358">
        <f t="shared" si="14"/>
        <v>-349017.42592511023</v>
      </c>
      <c r="K102" s="66">
        <f t="shared" si="12"/>
        <v>0</v>
      </c>
      <c r="L102" s="66"/>
      <c r="M102" s="431">
        <v>96</v>
      </c>
      <c r="N102" s="431">
        <v>144</v>
      </c>
      <c r="O102" s="443" t="s">
        <v>404</v>
      </c>
      <c r="P102" s="443" t="s">
        <v>935</v>
      </c>
      <c r="Q102" s="203">
        <v>-117866.99245000001</v>
      </c>
      <c r="R102" s="457" t="s">
        <v>2509</v>
      </c>
      <c r="S102" s="253"/>
      <c r="T102" s="159">
        <v>96</v>
      </c>
      <c r="U102" t="s">
        <v>404</v>
      </c>
      <c r="V102" t="s">
        <v>935</v>
      </c>
      <c r="W102" s="372">
        <v>-87778.81</v>
      </c>
      <c r="X102" s="372">
        <v>-67194.995090110184</v>
      </c>
      <c r="Y102" s="377">
        <v>-84814.643095000007</v>
      </c>
      <c r="Z102" s="378">
        <v>-79140.795290000024</v>
      </c>
      <c r="AA102" s="358">
        <f t="shared" si="15"/>
        <v>-318929.24347511021</v>
      </c>
      <c r="AE102" s="159">
        <f t="shared" si="16"/>
        <v>0</v>
      </c>
      <c r="AG102" s="471" t="s">
        <v>404</v>
      </c>
      <c r="AH102" s="467" t="s">
        <v>935</v>
      </c>
      <c r="AI102" s="475">
        <v>-87778.81</v>
      </c>
      <c r="AJ102" s="475">
        <v>-67194.995090110184</v>
      </c>
      <c r="AK102" s="476">
        <v>-84814.643095000007</v>
      </c>
      <c r="AL102" s="477">
        <v>-79140.795290000024</v>
      </c>
      <c r="AM102" s="478">
        <v>-318929.24347511021</v>
      </c>
      <c r="AN102" s="478"/>
      <c r="AO102" s="467"/>
      <c r="AP102" s="479">
        <f t="shared" si="17"/>
        <v>-231150.43347511021</v>
      </c>
      <c r="AQ102" s="467"/>
      <c r="AR102" s="467"/>
      <c r="AS102" s="509">
        <f t="shared" si="18"/>
        <v>-67194.995090110184</v>
      </c>
      <c r="AT102" s="476">
        <v>-84814.643095000007</v>
      </c>
      <c r="AU102" s="477">
        <v>-79140.795290000024</v>
      </c>
      <c r="AV102" s="494">
        <f t="shared" si="19"/>
        <v>-231150.43347511021</v>
      </c>
      <c r="AW102" s="494">
        <f t="shared" si="20"/>
        <v>0</v>
      </c>
      <c r="AX102" s="468"/>
      <c r="AY102" s="589">
        <v>-117866.99245000001</v>
      </c>
      <c r="AZ102" s="510">
        <f t="shared" si="21"/>
        <v>-349017.42592511023</v>
      </c>
      <c r="BA102" s="511">
        <f t="shared" si="22"/>
        <v>0</v>
      </c>
      <c r="BB102" s="460"/>
      <c r="BC102" s="464">
        <f t="shared" si="13"/>
        <v>0</v>
      </c>
    </row>
    <row r="103" spans="1:55" ht="15">
      <c r="A103" s="431">
        <v>97</v>
      </c>
      <c r="B103" s="431">
        <v>147</v>
      </c>
      <c r="C103" t="s">
        <v>410</v>
      </c>
      <c r="D103" t="s">
        <v>936</v>
      </c>
      <c r="E103" s="372">
        <v>-83158.161240551271</v>
      </c>
      <c r="F103" s="372">
        <v>0</v>
      </c>
      <c r="G103" s="377">
        <v>-36877.618778999982</v>
      </c>
      <c r="H103" s="590">
        <v>-24397.000766000128</v>
      </c>
      <c r="I103" s="358">
        <f t="shared" si="14"/>
        <v>-144432.78078555138</v>
      </c>
      <c r="K103" s="66">
        <f t="shared" si="12"/>
        <v>0</v>
      </c>
      <c r="L103" s="66"/>
      <c r="M103" s="431">
        <v>97</v>
      </c>
      <c r="N103" s="431">
        <v>147</v>
      </c>
      <c r="O103" s="443" t="s">
        <v>410</v>
      </c>
      <c r="P103" s="443" t="s">
        <v>936</v>
      </c>
      <c r="Q103" s="203">
        <v>-24397.000766000128</v>
      </c>
      <c r="R103" s="457" t="s">
        <v>2509</v>
      </c>
      <c r="S103" s="253"/>
      <c r="T103" s="159">
        <v>97</v>
      </c>
      <c r="U103" t="s">
        <v>410</v>
      </c>
      <c r="V103" t="s">
        <v>936</v>
      </c>
      <c r="W103" s="372">
        <v>-72691.45</v>
      </c>
      <c r="X103" s="372">
        <v>-83158.161240551271</v>
      </c>
      <c r="Y103" s="377">
        <v>0</v>
      </c>
      <c r="Z103" s="378">
        <v>-36877.618778999982</v>
      </c>
      <c r="AA103" s="358">
        <f t="shared" si="15"/>
        <v>-192727.23001955127</v>
      </c>
      <c r="AE103" s="159">
        <f t="shared" si="16"/>
        <v>0</v>
      </c>
      <c r="AG103" s="471" t="s">
        <v>410</v>
      </c>
      <c r="AH103" s="467" t="s">
        <v>936</v>
      </c>
      <c r="AI103" s="475">
        <v>-72691.45</v>
      </c>
      <c r="AJ103" s="475">
        <v>-83158.161240551271</v>
      </c>
      <c r="AK103" s="476">
        <v>0</v>
      </c>
      <c r="AL103" s="477">
        <v>-36877.618778999982</v>
      </c>
      <c r="AM103" s="478">
        <v>-192727.23001955127</v>
      </c>
      <c r="AN103" s="478"/>
      <c r="AO103" s="467"/>
      <c r="AP103" s="479">
        <f t="shared" si="17"/>
        <v>-120035.78001955125</v>
      </c>
      <c r="AQ103" s="467"/>
      <c r="AR103" s="467"/>
      <c r="AS103" s="509">
        <f t="shared" si="18"/>
        <v>-83158.161240551271</v>
      </c>
      <c r="AT103" s="476">
        <v>0</v>
      </c>
      <c r="AU103" s="477">
        <v>-36877.618778999982</v>
      </c>
      <c r="AV103" s="494">
        <f t="shared" si="19"/>
        <v>-120035.78001955125</v>
      </c>
      <c r="AW103" s="494">
        <f t="shared" si="20"/>
        <v>0</v>
      </c>
      <c r="AX103" s="468"/>
      <c r="AY103" s="589">
        <v>-24397.000766000128</v>
      </c>
      <c r="AZ103" s="510">
        <f t="shared" si="21"/>
        <v>-144432.78078555138</v>
      </c>
      <c r="BA103" s="511">
        <f t="shared" si="22"/>
        <v>0</v>
      </c>
      <c r="BB103" s="460"/>
      <c r="BC103" s="464">
        <f t="shared" si="13"/>
        <v>0</v>
      </c>
    </row>
    <row r="104" spans="1:55" ht="15">
      <c r="A104" s="431">
        <v>98</v>
      </c>
      <c r="B104" s="431">
        <v>75</v>
      </c>
      <c r="C104" t="s">
        <v>295</v>
      </c>
      <c r="D104" t="s">
        <v>886</v>
      </c>
      <c r="E104" s="372">
        <v>-92183.806819999969</v>
      </c>
      <c r="F104" s="372">
        <v>-48882.340721999877</v>
      </c>
      <c r="G104" s="377">
        <v>18686.364787999984</v>
      </c>
      <c r="H104" s="590">
        <v>-31074.563499999873</v>
      </c>
      <c r="I104" s="358">
        <f t="shared" si="14"/>
        <v>-153454.34625399974</v>
      </c>
      <c r="K104" s="66">
        <f t="shared" si="12"/>
        <v>0</v>
      </c>
      <c r="L104" s="66"/>
      <c r="M104" s="431">
        <v>98</v>
      </c>
      <c r="N104" s="431">
        <v>75</v>
      </c>
      <c r="O104" s="443" t="s">
        <v>295</v>
      </c>
      <c r="P104" s="443" t="s">
        <v>886</v>
      </c>
      <c r="Q104" s="203">
        <v>-31074.563499999873</v>
      </c>
      <c r="R104" s="457" t="s">
        <v>2509</v>
      </c>
      <c r="S104" s="253"/>
      <c r="T104" s="159">
        <v>98</v>
      </c>
      <c r="U104" t="s">
        <v>295</v>
      </c>
      <c r="V104" t="s">
        <v>886</v>
      </c>
      <c r="W104" s="372">
        <v>-100198.66</v>
      </c>
      <c r="X104" s="372">
        <v>-92183.806819999969</v>
      </c>
      <c r="Y104" s="377">
        <v>-48882.340721999877</v>
      </c>
      <c r="Z104" s="378">
        <v>18686.364787999984</v>
      </c>
      <c r="AA104" s="358">
        <f t="shared" si="15"/>
        <v>-222578.44275399987</v>
      </c>
      <c r="AE104" s="159">
        <f t="shared" si="16"/>
        <v>0</v>
      </c>
      <c r="AG104" s="471" t="s">
        <v>295</v>
      </c>
      <c r="AH104" s="467" t="s">
        <v>886</v>
      </c>
      <c r="AI104" s="475">
        <v>-100198.66</v>
      </c>
      <c r="AJ104" s="475">
        <v>-92183.806819999969</v>
      </c>
      <c r="AK104" s="476">
        <v>-48882.340721999877</v>
      </c>
      <c r="AL104" s="477">
        <v>18686.364787999984</v>
      </c>
      <c r="AM104" s="478">
        <v>-222578.44275399987</v>
      </c>
      <c r="AN104" s="478"/>
      <c r="AO104" s="467"/>
      <c r="AP104" s="479">
        <f t="shared" si="17"/>
        <v>-122379.78275399987</v>
      </c>
      <c r="AQ104" s="467"/>
      <c r="AR104" s="467"/>
      <c r="AS104" s="509">
        <f t="shared" si="18"/>
        <v>-92183.806819999969</v>
      </c>
      <c r="AT104" s="476">
        <v>-48882.340721999877</v>
      </c>
      <c r="AU104" s="477">
        <v>18686.364787999984</v>
      </c>
      <c r="AV104" s="494">
        <f t="shared" si="19"/>
        <v>-122379.78275399987</v>
      </c>
      <c r="AW104" s="494">
        <f t="shared" si="20"/>
        <v>0</v>
      </c>
      <c r="AX104" s="468"/>
      <c r="AY104" s="589">
        <v>-31074.563499999873</v>
      </c>
      <c r="AZ104" s="510">
        <f t="shared" si="21"/>
        <v>-153454.34625399974</v>
      </c>
      <c r="BA104" s="511">
        <f t="shared" si="22"/>
        <v>0</v>
      </c>
      <c r="BB104" s="460"/>
      <c r="BC104" s="464">
        <f t="shared" si="13"/>
        <v>0</v>
      </c>
    </row>
    <row r="105" spans="1:55" ht="15">
      <c r="A105" s="431">
        <v>99</v>
      </c>
      <c r="B105" s="431">
        <v>320</v>
      </c>
      <c r="C105" t="s">
        <v>722</v>
      </c>
      <c r="D105" t="s">
        <v>1073</v>
      </c>
      <c r="E105" s="372">
        <v>-6895.1924279829836</v>
      </c>
      <c r="F105" s="372">
        <v>62561.769585445116</v>
      </c>
      <c r="G105" s="377">
        <v>-345676.32436884043</v>
      </c>
      <c r="H105" s="590">
        <v>-338488.22989699943</v>
      </c>
      <c r="I105" s="358">
        <f t="shared" si="14"/>
        <v>-628497.97710837773</v>
      </c>
      <c r="K105" s="66">
        <f t="shared" si="12"/>
        <v>0</v>
      </c>
      <c r="L105" s="66"/>
      <c r="M105" s="431">
        <v>99</v>
      </c>
      <c r="N105" s="431">
        <v>320</v>
      </c>
      <c r="O105" s="443" t="s">
        <v>722</v>
      </c>
      <c r="P105" s="443" t="s">
        <v>1073</v>
      </c>
      <c r="Q105" s="203">
        <v>-338488.22989699943</v>
      </c>
      <c r="R105" s="457" t="s">
        <v>2509</v>
      </c>
      <c r="S105" s="253"/>
      <c r="T105" s="159">
        <v>99</v>
      </c>
      <c r="U105" t="s">
        <v>722</v>
      </c>
      <c r="V105" t="s">
        <v>1073</v>
      </c>
      <c r="W105" s="372">
        <v>-2836.22</v>
      </c>
      <c r="X105" s="372">
        <v>-6895.1924279829836</v>
      </c>
      <c r="Y105" s="377">
        <v>62561.769585445116</v>
      </c>
      <c r="Z105" s="378">
        <v>-345676.32436884043</v>
      </c>
      <c r="AA105" s="358">
        <f t="shared" si="15"/>
        <v>-292845.96721137827</v>
      </c>
      <c r="AE105" s="159">
        <f t="shared" si="16"/>
        <v>0</v>
      </c>
      <c r="AG105" s="471" t="s">
        <v>722</v>
      </c>
      <c r="AH105" s="467" t="s">
        <v>1073</v>
      </c>
      <c r="AI105" s="475">
        <v>-2836.22</v>
      </c>
      <c r="AJ105" s="475">
        <v>-6895.1924279829836</v>
      </c>
      <c r="AK105" s="476">
        <v>62561.769585445116</v>
      </c>
      <c r="AL105" s="477">
        <v>-345676.32436884043</v>
      </c>
      <c r="AM105" s="478">
        <v>-292845.96721137827</v>
      </c>
      <c r="AN105" s="478"/>
      <c r="AO105" s="467"/>
      <c r="AP105" s="479">
        <f t="shared" si="17"/>
        <v>-290009.7472113783</v>
      </c>
      <c r="AQ105" s="467"/>
      <c r="AR105" s="467"/>
      <c r="AS105" s="509">
        <f t="shared" si="18"/>
        <v>-6895.1924279829836</v>
      </c>
      <c r="AT105" s="476">
        <v>62561.769585445116</v>
      </c>
      <c r="AU105" s="477">
        <v>-345676.32436884043</v>
      </c>
      <c r="AV105" s="494">
        <f t="shared" si="19"/>
        <v>-290009.7472113783</v>
      </c>
      <c r="AW105" s="494">
        <f t="shared" si="20"/>
        <v>0</v>
      </c>
      <c r="AX105" s="468"/>
      <c r="AY105" s="589">
        <v>-338488.22989699943</v>
      </c>
      <c r="AZ105" s="510">
        <f t="shared" si="21"/>
        <v>-628497.97710837773</v>
      </c>
      <c r="BA105" s="511">
        <f t="shared" si="22"/>
        <v>0</v>
      </c>
      <c r="BB105" s="460"/>
      <c r="BC105" s="464">
        <f t="shared" si="13"/>
        <v>0</v>
      </c>
    </row>
    <row r="106" spans="1:55" ht="15">
      <c r="A106" s="431">
        <v>100</v>
      </c>
      <c r="B106" s="431">
        <v>324</v>
      </c>
      <c r="C106" t="s">
        <v>730</v>
      </c>
      <c r="D106" t="s">
        <v>1077</v>
      </c>
      <c r="E106" s="372">
        <v>-149253.65196200012</v>
      </c>
      <c r="F106" s="372">
        <v>-226910.78775999998</v>
      </c>
      <c r="G106" s="377">
        <v>-207358.51916300028</v>
      </c>
      <c r="H106" s="590">
        <v>-214427.96332399989</v>
      </c>
      <c r="I106" s="358">
        <f t="shared" si="14"/>
        <v>-797950.92220900021</v>
      </c>
      <c r="K106" s="66">
        <f t="shared" si="12"/>
        <v>0</v>
      </c>
      <c r="L106" s="66"/>
      <c r="M106" s="431">
        <v>100</v>
      </c>
      <c r="N106" s="431">
        <v>324</v>
      </c>
      <c r="O106" s="443" t="s">
        <v>730</v>
      </c>
      <c r="P106" s="443" t="s">
        <v>1077</v>
      </c>
      <c r="Q106" s="203">
        <v>-214427.96332399989</v>
      </c>
      <c r="R106" s="457" t="s">
        <v>2509</v>
      </c>
      <c r="S106" s="253"/>
      <c r="T106" s="159">
        <v>100</v>
      </c>
      <c r="U106" t="s">
        <v>730</v>
      </c>
      <c r="V106" t="s">
        <v>1077</v>
      </c>
      <c r="W106" s="372">
        <v>0</v>
      </c>
      <c r="X106" s="372">
        <v>-149253.65196200012</v>
      </c>
      <c r="Y106" s="377">
        <v>-226910.78775999998</v>
      </c>
      <c r="Z106" s="378">
        <v>-207358.51916300028</v>
      </c>
      <c r="AA106" s="358">
        <f t="shared" si="15"/>
        <v>-583522.95888500032</v>
      </c>
      <c r="AE106" s="159">
        <f t="shared" si="16"/>
        <v>0</v>
      </c>
      <c r="AG106" s="471" t="s">
        <v>730</v>
      </c>
      <c r="AH106" s="467" t="s">
        <v>1077</v>
      </c>
      <c r="AI106" s="475">
        <v>0</v>
      </c>
      <c r="AJ106" s="475">
        <v>-149253.65196200012</v>
      </c>
      <c r="AK106" s="476">
        <v>-226910.78775999998</v>
      </c>
      <c r="AL106" s="477">
        <v>-207358.51916300028</v>
      </c>
      <c r="AM106" s="478">
        <v>-583522.95888500032</v>
      </c>
      <c r="AN106" s="478"/>
      <c r="AO106" s="467"/>
      <c r="AP106" s="479">
        <f t="shared" si="17"/>
        <v>-583522.95888500032</v>
      </c>
      <c r="AQ106" s="467"/>
      <c r="AR106" s="467"/>
      <c r="AS106" s="509">
        <f t="shared" si="18"/>
        <v>-149253.65196200012</v>
      </c>
      <c r="AT106" s="476">
        <v>-226910.78775999998</v>
      </c>
      <c r="AU106" s="477">
        <v>-207358.51916300028</v>
      </c>
      <c r="AV106" s="494">
        <f t="shared" si="19"/>
        <v>-583522.95888500032</v>
      </c>
      <c r="AW106" s="494">
        <f t="shared" si="20"/>
        <v>0</v>
      </c>
      <c r="AX106" s="468"/>
      <c r="AY106" s="589">
        <v>-214427.96332399989</v>
      </c>
      <c r="AZ106" s="510">
        <f t="shared" si="21"/>
        <v>-797950.92220900021</v>
      </c>
      <c r="BA106" s="511">
        <f t="shared" si="22"/>
        <v>0</v>
      </c>
      <c r="BB106" s="460"/>
      <c r="BC106" s="464">
        <f t="shared" si="13"/>
        <v>0</v>
      </c>
    </row>
    <row r="107" spans="1:55" ht="15">
      <c r="A107" s="431">
        <v>101</v>
      </c>
      <c r="B107" s="431">
        <v>242</v>
      </c>
      <c r="C107" t="s">
        <v>588</v>
      </c>
      <c r="D107" t="s">
        <v>1016</v>
      </c>
      <c r="E107" s="372">
        <v>-221485.9717731807</v>
      </c>
      <c r="F107" s="372">
        <v>-50326.984860000201</v>
      </c>
      <c r="G107" s="377">
        <v>-233945.98863999994</v>
      </c>
      <c r="H107" s="590">
        <v>-189798.24110000022</v>
      </c>
      <c r="I107" s="358">
        <f t="shared" si="14"/>
        <v>-695557.18637318106</v>
      </c>
      <c r="K107" s="66">
        <f t="shared" si="12"/>
        <v>0</v>
      </c>
      <c r="L107" s="66"/>
      <c r="M107" s="431">
        <v>101</v>
      </c>
      <c r="N107" s="431">
        <v>242</v>
      </c>
      <c r="O107" s="443" t="s">
        <v>588</v>
      </c>
      <c r="P107" s="443" t="s">
        <v>1016</v>
      </c>
      <c r="Q107" s="203">
        <v>-189798.24110000022</v>
      </c>
      <c r="R107" s="457" t="s">
        <v>2509</v>
      </c>
      <c r="S107" s="253"/>
      <c r="T107" s="159">
        <v>101</v>
      </c>
      <c r="U107" t="s">
        <v>588</v>
      </c>
      <c r="V107" t="s">
        <v>1016</v>
      </c>
      <c r="W107" s="372">
        <v>-13516.17</v>
      </c>
      <c r="X107" s="372">
        <v>-221485.9717731807</v>
      </c>
      <c r="Y107" s="377">
        <v>-50326.984860000201</v>
      </c>
      <c r="Z107" s="378">
        <v>-233945.98863999994</v>
      </c>
      <c r="AA107" s="358">
        <f t="shared" si="15"/>
        <v>-519275.11527318083</v>
      </c>
      <c r="AE107" s="159">
        <f t="shared" si="16"/>
        <v>0</v>
      </c>
      <c r="AG107" s="471" t="s">
        <v>588</v>
      </c>
      <c r="AH107" s="467" t="s">
        <v>1016</v>
      </c>
      <c r="AI107" s="475">
        <v>-13516.17</v>
      </c>
      <c r="AJ107" s="475">
        <v>-221485.9717731807</v>
      </c>
      <c r="AK107" s="476">
        <v>-50326.984860000201</v>
      </c>
      <c r="AL107" s="477">
        <v>-233945.98863999994</v>
      </c>
      <c r="AM107" s="478">
        <v>-519275.11527318083</v>
      </c>
      <c r="AN107" s="478"/>
      <c r="AO107" s="467"/>
      <c r="AP107" s="479">
        <f t="shared" si="17"/>
        <v>-505758.94527318084</v>
      </c>
      <c r="AQ107" s="467"/>
      <c r="AR107" s="467"/>
      <c r="AS107" s="509">
        <f t="shared" si="18"/>
        <v>-221485.9717731807</v>
      </c>
      <c r="AT107" s="476">
        <v>-50326.984860000201</v>
      </c>
      <c r="AU107" s="477">
        <v>-233945.98863999994</v>
      </c>
      <c r="AV107" s="494">
        <f t="shared" si="19"/>
        <v>-505758.94527318084</v>
      </c>
      <c r="AW107" s="494">
        <f t="shared" si="20"/>
        <v>0</v>
      </c>
      <c r="AX107" s="468"/>
      <c r="AY107" s="589">
        <v>-189798.24110000022</v>
      </c>
      <c r="AZ107" s="510">
        <f t="shared" si="21"/>
        <v>-695557.18637318106</v>
      </c>
      <c r="BA107" s="511">
        <f t="shared" si="22"/>
        <v>0</v>
      </c>
      <c r="BB107" s="460"/>
      <c r="BC107" s="464">
        <f t="shared" si="13"/>
        <v>0</v>
      </c>
    </row>
    <row r="108" spans="1:55" ht="15">
      <c r="A108" s="431">
        <v>102</v>
      </c>
      <c r="B108" s="431">
        <v>172</v>
      </c>
      <c r="C108" t="s">
        <v>460</v>
      </c>
      <c r="D108" t="s">
        <v>959</v>
      </c>
      <c r="E108" s="372">
        <v>-11631.177407999989</v>
      </c>
      <c r="F108" s="372">
        <v>0</v>
      </c>
      <c r="G108" s="377">
        <v>-24181.221455999996</v>
      </c>
      <c r="H108" s="590">
        <v>-47772.548264000012</v>
      </c>
      <c r="I108" s="358">
        <f t="shared" si="14"/>
        <v>-83584.947128</v>
      </c>
      <c r="K108" s="66">
        <f t="shared" si="12"/>
        <v>0</v>
      </c>
      <c r="L108" s="66"/>
      <c r="M108" s="431">
        <v>102</v>
      </c>
      <c r="N108" s="431">
        <v>172</v>
      </c>
      <c r="O108" s="443" t="s">
        <v>460</v>
      </c>
      <c r="P108" s="443" t="s">
        <v>959</v>
      </c>
      <c r="Q108" s="203">
        <v>-47772.548264000012</v>
      </c>
      <c r="R108" s="457" t="s">
        <v>2509</v>
      </c>
      <c r="S108" s="253"/>
      <c r="T108" s="159">
        <v>102</v>
      </c>
      <c r="U108" t="s">
        <v>460</v>
      </c>
      <c r="V108" t="s">
        <v>959</v>
      </c>
      <c r="W108" s="372">
        <v>-48481.65</v>
      </c>
      <c r="X108" s="372">
        <v>-11631.177407999989</v>
      </c>
      <c r="Y108" s="377">
        <v>0</v>
      </c>
      <c r="Z108" s="378">
        <v>-24181.221455999996</v>
      </c>
      <c r="AA108" s="358">
        <f t="shared" si="15"/>
        <v>-84294.048863999982</v>
      </c>
      <c r="AE108" s="159">
        <f t="shared" si="16"/>
        <v>0</v>
      </c>
      <c r="AG108" s="471" t="s">
        <v>460</v>
      </c>
      <c r="AH108" s="467" t="s">
        <v>959</v>
      </c>
      <c r="AI108" s="475">
        <v>-48481.65</v>
      </c>
      <c r="AJ108" s="475">
        <v>-11631.177407999989</v>
      </c>
      <c r="AK108" s="476">
        <v>0</v>
      </c>
      <c r="AL108" s="477">
        <v>-24181.221455999996</v>
      </c>
      <c r="AM108" s="478">
        <v>-84294.048863999982</v>
      </c>
      <c r="AN108" s="478"/>
      <c r="AO108" s="467"/>
      <c r="AP108" s="479">
        <f t="shared" si="17"/>
        <v>-35812.398863999988</v>
      </c>
      <c r="AQ108" s="467"/>
      <c r="AR108" s="467"/>
      <c r="AS108" s="509">
        <f t="shared" si="18"/>
        <v>-11631.177407999989</v>
      </c>
      <c r="AT108" s="476">
        <v>0</v>
      </c>
      <c r="AU108" s="477">
        <v>-24181.221455999996</v>
      </c>
      <c r="AV108" s="494">
        <f t="shared" si="19"/>
        <v>-35812.398863999988</v>
      </c>
      <c r="AW108" s="494">
        <f t="shared" si="20"/>
        <v>0</v>
      </c>
      <c r="AX108" s="468"/>
      <c r="AY108" s="589">
        <v>-47772.548264000012</v>
      </c>
      <c r="AZ108" s="510">
        <f t="shared" si="21"/>
        <v>-83584.947128</v>
      </c>
      <c r="BA108" s="511">
        <f t="shared" si="22"/>
        <v>0</v>
      </c>
      <c r="BB108" s="460"/>
      <c r="BC108" s="464">
        <f t="shared" si="13"/>
        <v>0</v>
      </c>
    </row>
    <row r="109" spans="1:55" ht="15">
      <c r="A109" s="431">
        <v>103</v>
      </c>
      <c r="B109" s="431">
        <v>246</v>
      </c>
      <c r="C109" s="233" t="s">
        <v>596</v>
      </c>
      <c r="D109" t="s">
        <v>597</v>
      </c>
      <c r="E109" s="372">
        <v>0</v>
      </c>
      <c r="F109" s="372">
        <v>-4789.4953000000023</v>
      </c>
      <c r="G109" s="377">
        <v>12359.822932000001</v>
      </c>
      <c r="H109" s="590">
        <v>-555.95962499999951</v>
      </c>
      <c r="I109" s="358">
        <f t="shared" si="14"/>
        <v>7014.3680069999991</v>
      </c>
      <c r="K109" s="66">
        <f t="shared" si="12"/>
        <v>0</v>
      </c>
      <c r="L109" s="66"/>
      <c r="M109" s="431">
        <v>103</v>
      </c>
      <c r="N109" s="431">
        <v>246</v>
      </c>
      <c r="O109" s="443" t="s">
        <v>596</v>
      </c>
      <c r="P109" s="443" t="s">
        <v>597</v>
      </c>
      <c r="Q109" s="203">
        <v>-555.95962499999951</v>
      </c>
      <c r="R109" s="457" t="s">
        <v>2509</v>
      </c>
      <c r="S109" s="253"/>
      <c r="T109" s="159">
        <v>103</v>
      </c>
      <c r="U109" s="233" t="s">
        <v>596</v>
      </c>
      <c r="V109" t="s">
        <v>597</v>
      </c>
      <c r="W109" s="372">
        <v>0</v>
      </c>
      <c r="X109" s="372"/>
      <c r="Y109" s="377">
        <v>-4789.4953000000023</v>
      </c>
      <c r="Z109" s="378">
        <v>12359.822932000001</v>
      </c>
      <c r="AA109" s="358">
        <f t="shared" si="15"/>
        <v>7570.3276319999986</v>
      </c>
      <c r="AE109" s="159">
        <f t="shared" si="16"/>
        <v>0</v>
      </c>
      <c r="AG109" s="471" t="s">
        <v>596</v>
      </c>
      <c r="AH109" s="467" t="s">
        <v>597</v>
      </c>
      <c r="AI109" s="475">
        <v>0</v>
      </c>
      <c r="AJ109" s="475"/>
      <c r="AK109" s="476">
        <v>-4789.4953000000023</v>
      </c>
      <c r="AL109" s="477">
        <v>12359.822932000001</v>
      </c>
      <c r="AM109" s="478">
        <v>7570.3276319999986</v>
      </c>
      <c r="AN109" s="478"/>
      <c r="AO109" s="467"/>
      <c r="AP109" s="479">
        <f t="shared" si="17"/>
        <v>7570.3276319999986</v>
      </c>
      <c r="AQ109" s="467"/>
      <c r="AR109" s="467"/>
      <c r="AS109" s="509">
        <f t="shared" si="18"/>
        <v>0</v>
      </c>
      <c r="AT109" s="476">
        <v>-4789.4953000000023</v>
      </c>
      <c r="AU109" s="477">
        <v>12359.822932000001</v>
      </c>
      <c r="AV109" s="494">
        <f t="shared" si="19"/>
        <v>7570.3276319999986</v>
      </c>
      <c r="AW109" s="494">
        <f t="shared" si="20"/>
        <v>0</v>
      </c>
      <c r="AX109" s="468"/>
      <c r="AY109" s="589">
        <v>-555.95962499999951</v>
      </c>
      <c r="AZ109" s="510">
        <f t="shared" si="21"/>
        <v>7014.3680069999991</v>
      </c>
      <c r="BA109" s="511">
        <f t="shared" si="22"/>
        <v>0</v>
      </c>
      <c r="BB109" s="460"/>
      <c r="BC109" s="464">
        <f t="shared" si="13"/>
        <v>0</v>
      </c>
    </row>
    <row r="110" spans="1:55" ht="15">
      <c r="A110" s="431">
        <v>104</v>
      </c>
      <c r="B110" s="431">
        <v>32</v>
      </c>
      <c r="C110" t="s">
        <v>218</v>
      </c>
      <c r="D110" t="s">
        <v>851</v>
      </c>
      <c r="E110" s="372">
        <v>-36377.710695000002</v>
      </c>
      <c r="F110" s="372">
        <v>-96655.657517999978</v>
      </c>
      <c r="G110" s="377">
        <v>-94767.366448000001</v>
      </c>
      <c r="H110" s="590">
        <v>-77471.357422000001</v>
      </c>
      <c r="I110" s="358">
        <f t="shared" si="14"/>
        <v>-305272.092083</v>
      </c>
      <c r="K110" s="66">
        <f t="shared" si="12"/>
        <v>0</v>
      </c>
      <c r="L110" s="66"/>
      <c r="M110" s="431">
        <v>104</v>
      </c>
      <c r="N110" s="431">
        <v>32</v>
      </c>
      <c r="O110" s="443" t="s">
        <v>218</v>
      </c>
      <c r="P110" s="443" t="s">
        <v>851</v>
      </c>
      <c r="Q110" s="203">
        <v>-77471.357422000001</v>
      </c>
      <c r="R110" s="457" t="s">
        <v>2509</v>
      </c>
      <c r="S110" s="253"/>
      <c r="T110" s="159">
        <v>104</v>
      </c>
      <c r="U110" t="s">
        <v>218</v>
      </c>
      <c r="V110" t="s">
        <v>851</v>
      </c>
      <c r="W110" s="372">
        <v>-84889.22</v>
      </c>
      <c r="X110" s="372">
        <v>-36377.710695000002</v>
      </c>
      <c r="Y110" s="377">
        <v>-96655.657517999978</v>
      </c>
      <c r="Z110" s="378">
        <v>-94767.366448000001</v>
      </c>
      <c r="AA110" s="358">
        <f t="shared" si="15"/>
        <v>-312689.954661</v>
      </c>
      <c r="AE110" s="159">
        <f t="shared" si="16"/>
        <v>0</v>
      </c>
      <c r="AG110" s="471" t="s">
        <v>218</v>
      </c>
      <c r="AH110" s="467" t="s">
        <v>851</v>
      </c>
      <c r="AI110" s="475">
        <v>-84889.22</v>
      </c>
      <c r="AJ110" s="475">
        <v>-36377.710695000002</v>
      </c>
      <c r="AK110" s="476">
        <v>-96655.657517999978</v>
      </c>
      <c r="AL110" s="477">
        <v>-94767.366448000001</v>
      </c>
      <c r="AM110" s="478">
        <v>-312689.954661</v>
      </c>
      <c r="AN110" s="478"/>
      <c r="AO110" s="467"/>
      <c r="AP110" s="479">
        <f t="shared" si="17"/>
        <v>-227800.73466099997</v>
      </c>
      <c r="AQ110" s="467"/>
      <c r="AR110" s="467"/>
      <c r="AS110" s="509">
        <f t="shared" si="18"/>
        <v>-36377.710695000002</v>
      </c>
      <c r="AT110" s="476">
        <v>-96655.657517999978</v>
      </c>
      <c r="AU110" s="477">
        <v>-94767.366448000001</v>
      </c>
      <c r="AV110" s="494">
        <f t="shared" si="19"/>
        <v>-227800.73466099997</v>
      </c>
      <c r="AW110" s="494">
        <f t="shared" si="20"/>
        <v>0</v>
      </c>
      <c r="AX110" s="468"/>
      <c r="AY110" s="589">
        <v>-77471.357422000001</v>
      </c>
      <c r="AZ110" s="510">
        <f t="shared" si="21"/>
        <v>-305272.092083</v>
      </c>
      <c r="BA110" s="511">
        <f t="shared" si="22"/>
        <v>0</v>
      </c>
      <c r="BB110" s="460"/>
      <c r="BC110" s="464">
        <f t="shared" si="13"/>
        <v>0</v>
      </c>
    </row>
    <row r="111" spans="1:55" ht="15">
      <c r="A111" s="431">
        <v>105</v>
      </c>
      <c r="B111" s="431">
        <v>279</v>
      </c>
      <c r="C111" t="s">
        <v>650</v>
      </c>
      <c r="D111" t="s">
        <v>1042</v>
      </c>
      <c r="E111" s="372">
        <v>-10900.358520000016</v>
      </c>
      <c r="F111" s="372">
        <v>-11156.512517000025</v>
      </c>
      <c r="G111" s="377">
        <v>-31652.475606369124</v>
      </c>
      <c r="H111" s="590">
        <v>-45641.71656000003</v>
      </c>
      <c r="I111" s="358">
        <f t="shared" si="14"/>
        <v>-99351.063203369195</v>
      </c>
      <c r="K111" s="66">
        <f t="shared" si="12"/>
        <v>0</v>
      </c>
      <c r="L111" s="66"/>
      <c r="M111" s="431">
        <v>105</v>
      </c>
      <c r="N111" s="431">
        <v>279</v>
      </c>
      <c r="O111" s="443" t="s">
        <v>650</v>
      </c>
      <c r="P111" s="443" t="s">
        <v>1042</v>
      </c>
      <c r="Q111" s="203">
        <v>-45641.71656000003</v>
      </c>
      <c r="R111" s="457" t="s">
        <v>2509</v>
      </c>
      <c r="S111" s="253"/>
      <c r="T111" s="159">
        <v>105</v>
      </c>
      <c r="U111" t="s">
        <v>650</v>
      </c>
      <c r="V111" t="s">
        <v>1042</v>
      </c>
      <c r="W111" s="372">
        <v>-1432.68</v>
      </c>
      <c r="X111" s="372">
        <v>-10900.358520000016</v>
      </c>
      <c r="Y111" s="377">
        <v>-11156.512517000025</v>
      </c>
      <c r="Z111" s="378">
        <v>-31652.475606369124</v>
      </c>
      <c r="AA111" s="358">
        <f t="shared" si="15"/>
        <v>-55142.026643369165</v>
      </c>
      <c r="AE111" s="159">
        <f t="shared" si="16"/>
        <v>0</v>
      </c>
      <c r="AG111" s="471" t="s">
        <v>650</v>
      </c>
      <c r="AH111" s="467" t="s">
        <v>1042</v>
      </c>
      <c r="AI111" s="475">
        <v>-1432.68</v>
      </c>
      <c r="AJ111" s="475">
        <v>-10900.358520000016</v>
      </c>
      <c r="AK111" s="476">
        <v>-11156.512517000025</v>
      </c>
      <c r="AL111" s="477">
        <v>-31652.475606369124</v>
      </c>
      <c r="AM111" s="478">
        <v>-55142.026643369165</v>
      </c>
      <c r="AN111" s="478"/>
      <c r="AO111" s="467"/>
      <c r="AP111" s="479">
        <f t="shared" si="17"/>
        <v>-53709.346643369165</v>
      </c>
      <c r="AQ111" s="467"/>
      <c r="AR111" s="467"/>
      <c r="AS111" s="509">
        <f t="shared" si="18"/>
        <v>-10900.358520000016</v>
      </c>
      <c r="AT111" s="476">
        <v>-11156.512517000025</v>
      </c>
      <c r="AU111" s="477">
        <v>-31652.475606369124</v>
      </c>
      <c r="AV111" s="494">
        <f t="shared" si="19"/>
        <v>-53709.346643369165</v>
      </c>
      <c r="AW111" s="494">
        <f t="shared" si="20"/>
        <v>0</v>
      </c>
      <c r="AX111" s="468"/>
      <c r="AY111" s="589">
        <v>-45641.71656000003</v>
      </c>
      <c r="AZ111" s="510">
        <f t="shared" si="21"/>
        <v>-99351.063203369195</v>
      </c>
      <c r="BA111" s="511">
        <f t="shared" si="22"/>
        <v>0</v>
      </c>
      <c r="BB111" s="460"/>
      <c r="BC111" s="464">
        <f t="shared" si="13"/>
        <v>0</v>
      </c>
    </row>
    <row r="112" spans="1:55" ht="15">
      <c r="A112" s="431">
        <v>106</v>
      </c>
      <c r="B112" s="431">
        <v>169</v>
      </c>
      <c r="C112" t="s">
        <v>454</v>
      </c>
      <c r="D112" t="s">
        <v>956</v>
      </c>
      <c r="E112" s="372">
        <v>-57888.475468000026</v>
      </c>
      <c r="F112" s="372">
        <v>-64450.59666499999</v>
      </c>
      <c r="G112" s="377">
        <v>-66541.272544000007</v>
      </c>
      <c r="H112" s="590">
        <v>-93616.827196999948</v>
      </c>
      <c r="I112" s="358">
        <f t="shared" si="14"/>
        <v>-282497.17187399999</v>
      </c>
      <c r="K112" s="66">
        <f t="shared" si="12"/>
        <v>0</v>
      </c>
      <c r="L112" s="66"/>
      <c r="M112" s="431">
        <v>106</v>
      </c>
      <c r="N112" s="431">
        <v>169</v>
      </c>
      <c r="O112" s="443" t="s">
        <v>454</v>
      </c>
      <c r="P112" s="443" t="s">
        <v>956</v>
      </c>
      <c r="Q112" s="203">
        <v>-93616.827196999948</v>
      </c>
      <c r="R112" s="457" t="s">
        <v>2509</v>
      </c>
      <c r="S112" s="253"/>
      <c r="T112" s="159">
        <v>106</v>
      </c>
      <c r="U112" t="s">
        <v>454</v>
      </c>
      <c r="V112" t="s">
        <v>956</v>
      </c>
      <c r="W112" s="372">
        <v>-79862.710000000006</v>
      </c>
      <c r="X112" s="372">
        <v>-57888.475468000026</v>
      </c>
      <c r="Y112" s="377">
        <v>-64450.59666499999</v>
      </c>
      <c r="Z112" s="378">
        <v>-66541.272544000007</v>
      </c>
      <c r="AA112" s="358">
        <f t="shared" si="15"/>
        <v>-268743.05467700004</v>
      </c>
      <c r="AE112" s="159">
        <f t="shared" si="16"/>
        <v>0</v>
      </c>
      <c r="AG112" s="471" t="s">
        <v>454</v>
      </c>
      <c r="AH112" s="467" t="s">
        <v>956</v>
      </c>
      <c r="AI112" s="475">
        <v>-79862.710000000006</v>
      </c>
      <c r="AJ112" s="475">
        <v>-57888.475468000026</v>
      </c>
      <c r="AK112" s="476">
        <v>-64450.59666499999</v>
      </c>
      <c r="AL112" s="477">
        <v>-66541.272544000007</v>
      </c>
      <c r="AM112" s="478">
        <v>-268743.05467700004</v>
      </c>
      <c r="AN112" s="478"/>
      <c r="AO112" s="467"/>
      <c r="AP112" s="479">
        <f t="shared" si="17"/>
        <v>-188880.34467700002</v>
      </c>
      <c r="AQ112" s="467"/>
      <c r="AR112" s="467"/>
      <c r="AS112" s="509">
        <f t="shared" si="18"/>
        <v>-57888.475468000026</v>
      </c>
      <c r="AT112" s="476">
        <v>-64450.59666499999</v>
      </c>
      <c r="AU112" s="477">
        <v>-66541.272544000007</v>
      </c>
      <c r="AV112" s="494">
        <f t="shared" si="19"/>
        <v>-188880.34467700002</v>
      </c>
      <c r="AW112" s="494">
        <f t="shared" si="20"/>
        <v>0</v>
      </c>
      <c r="AX112" s="468"/>
      <c r="AY112" s="589">
        <v>-93616.827196999948</v>
      </c>
      <c r="AZ112" s="510">
        <f t="shared" si="21"/>
        <v>-282497.17187399999</v>
      </c>
      <c r="BA112" s="511">
        <f t="shared" si="22"/>
        <v>0</v>
      </c>
      <c r="BB112" s="460"/>
      <c r="BC112" s="464">
        <f t="shared" si="13"/>
        <v>0</v>
      </c>
    </row>
    <row r="113" spans="1:55" ht="15">
      <c r="A113" s="431">
        <v>107</v>
      </c>
      <c r="B113" s="431">
        <v>323</v>
      </c>
      <c r="C113" t="s">
        <v>728</v>
      </c>
      <c r="D113" t="s">
        <v>1076</v>
      </c>
      <c r="E113" s="372">
        <v>0</v>
      </c>
      <c r="F113" s="372">
        <v>-28125.532046000124</v>
      </c>
      <c r="G113" s="377">
        <v>5599.1015400000033</v>
      </c>
      <c r="H113" s="590">
        <v>-47179.567588000093</v>
      </c>
      <c r="I113" s="358">
        <f t="shared" si="14"/>
        <v>-69705.998094000213</v>
      </c>
      <c r="K113" s="66">
        <f t="shared" si="12"/>
        <v>0</v>
      </c>
      <c r="L113" s="66"/>
      <c r="M113" s="431">
        <v>107</v>
      </c>
      <c r="N113" s="431">
        <v>323</v>
      </c>
      <c r="O113" s="443" t="s">
        <v>728</v>
      </c>
      <c r="P113" s="443" t="s">
        <v>1076</v>
      </c>
      <c r="Q113" s="203">
        <v>-47179.567588000093</v>
      </c>
      <c r="R113" s="457" t="s">
        <v>2509</v>
      </c>
      <c r="S113" s="253"/>
      <c r="T113" s="159">
        <v>107</v>
      </c>
      <c r="U113" t="s">
        <v>728</v>
      </c>
      <c r="V113" t="s">
        <v>1076</v>
      </c>
      <c r="W113" s="372">
        <v>0</v>
      </c>
      <c r="X113" s="372">
        <v>0</v>
      </c>
      <c r="Y113" s="377">
        <v>-28125.532046000124</v>
      </c>
      <c r="Z113" s="378">
        <v>5599.1015400000033</v>
      </c>
      <c r="AA113" s="358">
        <f t="shared" si="15"/>
        <v>-22526.430506000121</v>
      </c>
      <c r="AE113" s="159">
        <f t="shared" si="16"/>
        <v>0</v>
      </c>
      <c r="AG113" s="471" t="s">
        <v>728</v>
      </c>
      <c r="AH113" s="467" t="s">
        <v>1076</v>
      </c>
      <c r="AI113" s="475">
        <v>0</v>
      </c>
      <c r="AJ113" s="475">
        <v>0</v>
      </c>
      <c r="AK113" s="476">
        <v>-28125.532046000124</v>
      </c>
      <c r="AL113" s="477">
        <v>5599.1015400000033</v>
      </c>
      <c r="AM113" s="478">
        <v>-22526.430506000121</v>
      </c>
      <c r="AN113" s="478"/>
      <c r="AO113" s="467"/>
      <c r="AP113" s="479">
        <f t="shared" si="17"/>
        <v>-22526.430506000121</v>
      </c>
      <c r="AQ113" s="467"/>
      <c r="AR113" s="467"/>
      <c r="AS113" s="509">
        <f t="shared" si="18"/>
        <v>0</v>
      </c>
      <c r="AT113" s="476">
        <v>-28125.532046000124</v>
      </c>
      <c r="AU113" s="477">
        <v>5599.1015400000033</v>
      </c>
      <c r="AV113" s="494">
        <f t="shared" si="19"/>
        <v>-22526.430506000121</v>
      </c>
      <c r="AW113" s="494">
        <f t="shared" si="20"/>
        <v>0</v>
      </c>
      <c r="AX113" s="468"/>
      <c r="AY113" s="589">
        <v>-47179.567588000093</v>
      </c>
      <c r="AZ113" s="510">
        <f t="shared" si="21"/>
        <v>-69705.998094000213</v>
      </c>
      <c r="BA113" s="511">
        <f t="shared" si="22"/>
        <v>0</v>
      </c>
      <c r="BB113" s="460"/>
      <c r="BC113" s="464">
        <f t="shared" si="13"/>
        <v>0</v>
      </c>
    </row>
    <row r="114" spans="1:55" ht="15">
      <c r="A114" s="431">
        <v>108</v>
      </c>
      <c r="B114" s="431">
        <v>101</v>
      </c>
      <c r="C114" t="s">
        <v>346</v>
      </c>
      <c r="D114" t="s">
        <v>910</v>
      </c>
      <c r="E114" s="372">
        <v>376772.06116822094</v>
      </c>
      <c r="F114" s="372">
        <v>1621375.4756620713</v>
      </c>
      <c r="G114" s="377">
        <v>1611959.2274518362</v>
      </c>
      <c r="H114" s="590">
        <v>406071.86672499962</v>
      </c>
      <c r="I114" s="358">
        <f t="shared" si="14"/>
        <v>4016178.6310071279</v>
      </c>
      <c r="K114" s="66">
        <f t="shared" si="12"/>
        <v>0</v>
      </c>
      <c r="L114" s="66"/>
      <c r="M114" s="431">
        <v>108</v>
      </c>
      <c r="N114" s="431">
        <v>101</v>
      </c>
      <c r="O114" s="443" t="s">
        <v>346</v>
      </c>
      <c r="P114" s="443" t="s">
        <v>910</v>
      </c>
      <c r="Q114" s="203">
        <v>406071.86672499962</v>
      </c>
      <c r="R114" s="457" t="s">
        <v>2509</v>
      </c>
      <c r="S114" s="253"/>
      <c r="T114" s="159">
        <v>108</v>
      </c>
      <c r="U114" t="s">
        <v>346</v>
      </c>
      <c r="V114" t="s">
        <v>910</v>
      </c>
      <c r="W114" s="372">
        <v>349215.07000000542</v>
      </c>
      <c r="X114" s="372">
        <v>27556.991168215522</v>
      </c>
      <c r="Y114" s="377">
        <v>1621375.4756620713</v>
      </c>
      <c r="Z114" s="378">
        <v>1611959.2274518362</v>
      </c>
      <c r="AA114" s="358">
        <f t="shared" si="15"/>
        <v>3610106.7642821283</v>
      </c>
      <c r="AE114" s="159">
        <f t="shared" si="16"/>
        <v>0</v>
      </c>
      <c r="AG114" s="471" t="s">
        <v>346</v>
      </c>
      <c r="AH114" s="467" t="s">
        <v>910</v>
      </c>
      <c r="AI114" s="480">
        <v>349215.07000000542</v>
      </c>
      <c r="AJ114" s="480">
        <v>27556.991168215522</v>
      </c>
      <c r="AK114" s="476">
        <v>1621375.4756620713</v>
      </c>
      <c r="AL114" s="477">
        <v>1611959.2274518362</v>
      </c>
      <c r="AM114" s="478">
        <v>3610106.7642821283</v>
      </c>
      <c r="AN114" s="478"/>
      <c r="AO114" s="467"/>
      <c r="AP114" s="479">
        <f t="shared" si="17"/>
        <v>3260891.6942821229</v>
      </c>
      <c r="AQ114" s="467"/>
      <c r="AR114" s="467"/>
      <c r="AS114" s="512">
        <f>+AI114+AJ114</f>
        <v>376772.06116822094</v>
      </c>
      <c r="AT114" s="476">
        <v>1621375.4756620713</v>
      </c>
      <c r="AU114" s="477">
        <v>1611959.2274518362</v>
      </c>
      <c r="AV114" s="494">
        <f t="shared" si="19"/>
        <v>3610106.7642821283</v>
      </c>
      <c r="AW114" s="513">
        <f>+AV114-AM114</f>
        <v>0</v>
      </c>
      <c r="AX114" s="468"/>
      <c r="AY114" s="589">
        <v>406071.86672499962</v>
      </c>
      <c r="AZ114" s="510">
        <f t="shared" si="21"/>
        <v>4016178.6310071279</v>
      </c>
      <c r="BA114" s="511">
        <f t="shared" si="22"/>
        <v>0</v>
      </c>
      <c r="BB114" s="460"/>
      <c r="BC114" s="464">
        <f t="shared" si="13"/>
        <v>0</v>
      </c>
    </row>
    <row r="115" spans="1:55" ht="15">
      <c r="A115" s="431">
        <v>109</v>
      </c>
      <c r="B115" s="431">
        <v>30</v>
      </c>
      <c r="C115" t="s">
        <v>215</v>
      </c>
      <c r="D115" t="s">
        <v>850</v>
      </c>
      <c r="E115" s="372">
        <v>182.44672499999433</v>
      </c>
      <c r="F115" s="372">
        <v>131758.83179199998</v>
      </c>
      <c r="G115" s="377">
        <v>70666.19280999992</v>
      </c>
      <c r="H115" s="590">
        <v>-48547.466496000066</v>
      </c>
      <c r="I115" s="358">
        <f t="shared" si="14"/>
        <v>154060.00483099982</v>
      </c>
      <c r="K115" s="66">
        <f t="shared" si="12"/>
        <v>0</v>
      </c>
      <c r="L115" s="66"/>
      <c r="M115" s="431">
        <v>109</v>
      </c>
      <c r="N115" s="431">
        <v>30</v>
      </c>
      <c r="O115" s="443" t="s">
        <v>215</v>
      </c>
      <c r="P115" s="443" t="s">
        <v>850</v>
      </c>
      <c r="Q115" s="203">
        <v>-48547.466496000066</v>
      </c>
      <c r="R115" s="457" t="s">
        <v>2509</v>
      </c>
      <c r="S115" s="253"/>
      <c r="T115" s="159">
        <v>109</v>
      </c>
      <c r="U115" t="s">
        <v>215</v>
      </c>
      <c r="V115" t="s">
        <v>850</v>
      </c>
      <c r="W115" s="372">
        <v>-29886.33</v>
      </c>
      <c r="X115" s="372">
        <v>30068.776724999996</v>
      </c>
      <c r="Y115" s="377">
        <v>131758.83179199998</v>
      </c>
      <c r="Z115" s="378">
        <v>70666.19280999992</v>
      </c>
      <c r="AA115" s="358">
        <f t="shared" si="15"/>
        <v>202607.47132699989</v>
      </c>
      <c r="AE115" s="159">
        <f t="shared" si="16"/>
        <v>0</v>
      </c>
      <c r="AG115" s="471" t="s">
        <v>215</v>
      </c>
      <c r="AH115" s="467" t="s">
        <v>850</v>
      </c>
      <c r="AI115" s="480">
        <v>-29886.33</v>
      </c>
      <c r="AJ115" s="480">
        <v>30068.776724999996</v>
      </c>
      <c r="AK115" s="476">
        <v>131758.83179199998</v>
      </c>
      <c r="AL115" s="477">
        <v>70666.19280999992</v>
      </c>
      <c r="AM115" s="478">
        <v>202607.47132699989</v>
      </c>
      <c r="AN115" s="478"/>
      <c r="AO115" s="467"/>
      <c r="AP115" s="479">
        <f t="shared" si="17"/>
        <v>232493.80132699991</v>
      </c>
      <c r="AQ115" s="467"/>
      <c r="AR115" s="467"/>
      <c r="AS115" s="512">
        <f>+AI115+AJ115</f>
        <v>182.44672499999433</v>
      </c>
      <c r="AT115" s="476">
        <v>131758.83179199998</v>
      </c>
      <c r="AU115" s="477">
        <v>70666.19280999992</v>
      </c>
      <c r="AV115" s="494">
        <f t="shared" si="19"/>
        <v>202607.47132699989</v>
      </c>
      <c r="AW115" s="513">
        <f>+AV115-AM115</f>
        <v>0</v>
      </c>
      <c r="AX115" s="468"/>
      <c r="AY115" s="589">
        <v>-48547.466496000066</v>
      </c>
      <c r="AZ115" s="510">
        <f t="shared" si="21"/>
        <v>154060.00483099982</v>
      </c>
      <c r="BA115" s="511">
        <f t="shared" si="22"/>
        <v>0</v>
      </c>
      <c r="BB115" s="460"/>
      <c r="BC115" s="464">
        <f t="shared" si="13"/>
        <v>0</v>
      </c>
    </row>
    <row r="116" spans="1:55" ht="15">
      <c r="A116" s="431">
        <v>110</v>
      </c>
      <c r="B116" s="431">
        <v>177</v>
      </c>
      <c r="C116" t="s">
        <v>470</v>
      </c>
      <c r="D116" t="s">
        <v>964</v>
      </c>
      <c r="E116" s="372">
        <v>-166429.96428400002</v>
      </c>
      <c r="F116" s="372">
        <v>-114535.43407699998</v>
      </c>
      <c r="G116" s="377">
        <v>-100516.92986999991</v>
      </c>
      <c r="H116" s="590">
        <v>-108316.67852800013</v>
      </c>
      <c r="I116" s="358">
        <f t="shared" si="14"/>
        <v>-489799.00675900001</v>
      </c>
      <c r="K116" s="66">
        <f t="shared" si="12"/>
        <v>0</v>
      </c>
      <c r="L116" s="66"/>
      <c r="M116" s="431">
        <v>110</v>
      </c>
      <c r="N116" s="431">
        <v>177</v>
      </c>
      <c r="O116" s="443" t="s">
        <v>470</v>
      </c>
      <c r="P116" s="443" t="s">
        <v>964</v>
      </c>
      <c r="Q116" s="203">
        <v>-108316.67852800013</v>
      </c>
      <c r="R116" s="457" t="s">
        <v>2509</v>
      </c>
      <c r="S116" s="253"/>
      <c r="T116" s="159">
        <v>110</v>
      </c>
      <c r="U116" t="s">
        <v>470</v>
      </c>
      <c r="V116" t="s">
        <v>964</v>
      </c>
      <c r="W116" s="372">
        <v>-108553.42</v>
      </c>
      <c r="X116" s="372">
        <v>-166429.96428400002</v>
      </c>
      <c r="Y116" s="377">
        <v>-114535.43407699998</v>
      </c>
      <c r="Z116" s="378">
        <v>-100516.92986999991</v>
      </c>
      <c r="AA116" s="358">
        <f t="shared" si="15"/>
        <v>-490035.74823099992</v>
      </c>
      <c r="AE116" s="159">
        <f t="shared" si="16"/>
        <v>0</v>
      </c>
      <c r="AG116" s="471" t="s">
        <v>470</v>
      </c>
      <c r="AH116" s="467" t="s">
        <v>964</v>
      </c>
      <c r="AI116" s="475">
        <v>-108553.42</v>
      </c>
      <c r="AJ116" s="475">
        <v>-166429.96428400002</v>
      </c>
      <c r="AK116" s="476">
        <v>-114535.43407699998</v>
      </c>
      <c r="AL116" s="477">
        <v>-100516.92986999991</v>
      </c>
      <c r="AM116" s="478">
        <v>-490035.74823099992</v>
      </c>
      <c r="AN116" s="478"/>
      <c r="AO116" s="467"/>
      <c r="AP116" s="479">
        <f t="shared" si="17"/>
        <v>-381482.32823099988</v>
      </c>
      <c r="AQ116" s="467"/>
      <c r="AR116" s="467"/>
      <c r="AS116" s="509">
        <f t="shared" si="18"/>
        <v>-166429.96428400002</v>
      </c>
      <c r="AT116" s="476">
        <v>-114535.43407699998</v>
      </c>
      <c r="AU116" s="477">
        <v>-100516.92986999991</v>
      </c>
      <c r="AV116" s="494">
        <f t="shared" si="19"/>
        <v>-381482.32823099988</v>
      </c>
      <c r="AW116" s="494">
        <f t="shared" si="20"/>
        <v>0</v>
      </c>
      <c r="AX116" s="468"/>
      <c r="AY116" s="589">
        <v>-108316.67852800013</v>
      </c>
      <c r="AZ116" s="510">
        <f t="shared" si="21"/>
        <v>-489799.00675900001</v>
      </c>
      <c r="BA116" s="511">
        <f t="shared" si="22"/>
        <v>0</v>
      </c>
      <c r="BB116" s="460"/>
      <c r="BC116" s="464">
        <f t="shared" si="13"/>
        <v>0</v>
      </c>
    </row>
    <row r="117" spans="1:55" ht="15">
      <c r="A117" s="431">
        <v>111</v>
      </c>
      <c r="B117" s="431">
        <v>77</v>
      </c>
      <c r="C117" t="s">
        <v>299</v>
      </c>
      <c r="D117" t="s">
        <v>888</v>
      </c>
      <c r="E117" s="372">
        <v>622345.30785600003</v>
      </c>
      <c r="F117" s="372">
        <v>95311.474649999756</v>
      </c>
      <c r="G117" s="377">
        <v>73632.615452000027</v>
      </c>
      <c r="H117" s="590">
        <v>-50395.53416500031</v>
      </c>
      <c r="I117" s="358">
        <f t="shared" si="14"/>
        <v>740893.86379299953</v>
      </c>
      <c r="K117" s="66">
        <f t="shared" si="12"/>
        <v>0</v>
      </c>
      <c r="L117" s="66"/>
      <c r="M117" s="431">
        <v>111</v>
      </c>
      <c r="N117" s="431">
        <v>77</v>
      </c>
      <c r="O117" s="443" t="s">
        <v>299</v>
      </c>
      <c r="P117" s="443" t="s">
        <v>888</v>
      </c>
      <c r="Q117" s="203">
        <v>-50395.53416500031</v>
      </c>
      <c r="R117" s="457" t="s">
        <v>2509</v>
      </c>
      <c r="S117" s="253"/>
      <c r="T117" s="159">
        <v>111</v>
      </c>
      <c r="U117" t="s">
        <v>299</v>
      </c>
      <c r="V117" t="s">
        <v>888</v>
      </c>
      <c r="W117" s="372">
        <v>273260.52</v>
      </c>
      <c r="X117" s="372">
        <v>349084.78785599995</v>
      </c>
      <c r="Y117" s="377">
        <v>95311.474649999756</v>
      </c>
      <c r="Z117" s="378">
        <v>73632.615452000027</v>
      </c>
      <c r="AA117" s="358">
        <f t="shared" si="15"/>
        <v>791289.39795799984</v>
      </c>
      <c r="AE117" s="159">
        <f t="shared" si="16"/>
        <v>0</v>
      </c>
      <c r="AG117" s="471" t="s">
        <v>299</v>
      </c>
      <c r="AH117" s="467" t="s">
        <v>888</v>
      </c>
      <c r="AI117" s="480">
        <v>273260.52</v>
      </c>
      <c r="AJ117" s="480">
        <v>349084.78785599995</v>
      </c>
      <c r="AK117" s="476">
        <v>95311.474649999756</v>
      </c>
      <c r="AL117" s="477">
        <v>73632.615452000027</v>
      </c>
      <c r="AM117" s="478">
        <v>791289.39795799984</v>
      </c>
      <c r="AN117" s="478"/>
      <c r="AO117" s="467"/>
      <c r="AP117" s="479">
        <f t="shared" si="17"/>
        <v>518028.87795799971</v>
      </c>
      <c r="AQ117" s="467"/>
      <c r="AR117" s="467"/>
      <c r="AS117" s="512">
        <f>+AI117+AJ117</f>
        <v>622345.30785600003</v>
      </c>
      <c r="AT117" s="476">
        <v>95311.474649999756</v>
      </c>
      <c r="AU117" s="477">
        <v>73632.615452000027</v>
      </c>
      <c r="AV117" s="494">
        <f t="shared" si="19"/>
        <v>791289.39795799984</v>
      </c>
      <c r="AW117" s="513">
        <f>+AV117-AM117</f>
        <v>0</v>
      </c>
      <c r="AX117" s="468"/>
      <c r="AY117" s="589">
        <v>-50395.53416500031</v>
      </c>
      <c r="AZ117" s="510">
        <f t="shared" si="21"/>
        <v>740893.86379299953</v>
      </c>
      <c r="BA117" s="511">
        <f t="shared" si="22"/>
        <v>0</v>
      </c>
      <c r="BB117" s="460"/>
      <c r="BC117" s="464">
        <f t="shared" si="13"/>
        <v>0</v>
      </c>
    </row>
    <row r="118" spans="1:55" ht="15">
      <c r="A118" s="431">
        <v>112</v>
      </c>
      <c r="B118" s="431">
        <v>125</v>
      </c>
      <c r="C118" s="445" t="s">
        <v>2364</v>
      </c>
      <c r="D118" s="453" t="s">
        <v>2454</v>
      </c>
      <c r="E118" s="372"/>
      <c r="F118" s="372"/>
      <c r="G118" s="377"/>
      <c r="H118" s="590">
        <v>-11759.256852000006</v>
      </c>
      <c r="I118" s="358">
        <f t="shared" si="14"/>
        <v>-11759.256852000006</v>
      </c>
      <c r="K118" s="66">
        <f t="shared" si="12"/>
        <v>0</v>
      </c>
      <c r="L118" s="66"/>
      <c r="M118" s="431">
        <v>112</v>
      </c>
      <c r="N118" s="431">
        <v>125</v>
      </c>
      <c r="O118" s="445" t="s">
        <v>2364</v>
      </c>
      <c r="P118" s="453" t="s">
        <v>2454</v>
      </c>
      <c r="Q118" s="203">
        <v>-11759.256852000006</v>
      </c>
      <c r="R118" s="457" t="s">
        <v>2509</v>
      </c>
      <c r="S118" s="253"/>
      <c r="T118" s="159"/>
      <c r="U118"/>
      <c r="V118"/>
      <c r="W118" s="372"/>
      <c r="X118" s="372"/>
      <c r="Y118" s="377"/>
      <c r="Z118" s="378"/>
      <c r="AA118" s="358"/>
      <c r="AE118" s="159"/>
      <c r="AG118" s="471"/>
      <c r="AH118" s="467"/>
      <c r="AI118" s="475"/>
      <c r="AJ118" s="475"/>
      <c r="AK118" s="476"/>
      <c r="AL118" s="477"/>
      <c r="AM118" s="478"/>
      <c r="AN118" s="478"/>
      <c r="AO118" s="467"/>
      <c r="AP118" s="479"/>
      <c r="AQ118" s="467"/>
      <c r="AR118" s="467"/>
      <c r="AS118" s="509"/>
      <c r="AT118" s="476"/>
      <c r="AU118" s="477"/>
      <c r="AV118" s="494"/>
      <c r="AW118" s="494"/>
      <c r="AX118" s="468"/>
      <c r="AY118" s="589">
        <v>-11759.256852000006</v>
      </c>
      <c r="AZ118" s="510"/>
      <c r="BA118" s="511"/>
      <c r="BB118" s="460"/>
      <c r="BC118" s="464">
        <f t="shared" si="13"/>
        <v>0</v>
      </c>
    </row>
    <row r="119" spans="1:55" ht="15">
      <c r="A119" s="431">
        <v>113</v>
      </c>
      <c r="B119" s="431">
        <v>122</v>
      </c>
      <c r="C119" t="s">
        <v>1554</v>
      </c>
      <c r="D119" t="s">
        <v>1650</v>
      </c>
      <c r="E119" s="372">
        <v>-8909.7000000000007</v>
      </c>
      <c r="F119" s="372">
        <v>-2382.4100000000035</v>
      </c>
      <c r="G119" s="377">
        <v>-30251.724000000017</v>
      </c>
      <c r="H119" s="590">
        <v>-5507.4399999999441</v>
      </c>
      <c r="I119" s="358">
        <f>SUM(E119:H119)</f>
        <v>-47051.273999999961</v>
      </c>
      <c r="K119" s="66">
        <f t="shared" si="12"/>
        <v>0</v>
      </c>
      <c r="L119" s="66"/>
      <c r="M119" s="431">
        <v>113</v>
      </c>
      <c r="N119" s="431">
        <v>122</v>
      </c>
      <c r="O119" s="443" t="s">
        <v>1554</v>
      </c>
      <c r="P119" s="443" t="s">
        <v>1650</v>
      </c>
      <c r="Q119" s="203">
        <v>-5507.4399999999441</v>
      </c>
      <c r="R119" s="457" t="s">
        <v>2509</v>
      </c>
      <c r="S119" s="253"/>
      <c r="T119" s="159">
        <v>113</v>
      </c>
      <c r="U119" t="s">
        <v>1554</v>
      </c>
      <c r="V119" t="s">
        <v>1650</v>
      </c>
      <c r="W119" s="372">
        <v>0</v>
      </c>
      <c r="X119" s="372">
        <v>-8909.7000000000007</v>
      </c>
      <c r="Y119" s="377">
        <v>-2382.4100000000035</v>
      </c>
      <c r="Z119" s="378">
        <v>-30251.724000000017</v>
      </c>
      <c r="AA119" s="358">
        <f>SUM(W119:Z119)</f>
        <v>-41543.834000000017</v>
      </c>
      <c r="AE119" s="159">
        <f>+AG119-U119</f>
        <v>0</v>
      </c>
      <c r="AG119" s="471" t="s">
        <v>1554</v>
      </c>
      <c r="AH119" s="467" t="s">
        <v>1650</v>
      </c>
      <c r="AI119" s="475">
        <v>0</v>
      </c>
      <c r="AJ119" s="475">
        <v>-8909.7000000000007</v>
      </c>
      <c r="AK119" s="476">
        <v>-2382.4100000000035</v>
      </c>
      <c r="AL119" s="477">
        <v>-30251.724000000017</v>
      </c>
      <c r="AM119" s="478">
        <v>-41543.834000000017</v>
      </c>
      <c r="AN119" s="478"/>
      <c r="AO119" s="467"/>
      <c r="AP119" s="479">
        <f>SUM(AJ119:AL119)</f>
        <v>-41543.834000000017</v>
      </c>
      <c r="AQ119" s="467"/>
      <c r="AR119" s="467"/>
      <c r="AS119" s="509">
        <f>+AJ119</f>
        <v>-8909.7000000000007</v>
      </c>
      <c r="AT119" s="476">
        <v>-2382.4100000000035</v>
      </c>
      <c r="AU119" s="477">
        <v>-30251.724000000017</v>
      </c>
      <c r="AV119" s="494">
        <f>SUM(AS119:AU119)</f>
        <v>-41543.834000000017</v>
      </c>
      <c r="AW119" s="494">
        <f>+AV119-AP119</f>
        <v>0</v>
      </c>
      <c r="AX119" s="468"/>
      <c r="AY119" s="589">
        <v>-5507.4399999999441</v>
      </c>
      <c r="AZ119" s="510">
        <f>+AY119+AV119</f>
        <v>-47051.273999999961</v>
      </c>
      <c r="BA119" s="511">
        <f>+AZ119-I119</f>
        <v>0</v>
      </c>
      <c r="BB119" s="460"/>
      <c r="BC119" s="464">
        <f t="shared" si="13"/>
        <v>0</v>
      </c>
    </row>
    <row r="120" spans="1:55" ht="15">
      <c r="A120" s="431">
        <v>114</v>
      </c>
      <c r="B120" s="431">
        <v>123</v>
      </c>
      <c r="C120" t="s">
        <v>1625</v>
      </c>
      <c r="D120" t="s">
        <v>1641</v>
      </c>
      <c r="E120" s="372">
        <v>0</v>
      </c>
      <c r="F120" s="372">
        <v>-17612.550000000003</v>
      </c>
      <c r="G120" s="377">
        <v>-241103.59100000001</v>
      </c>
      <c r="H120" s="590">
        <v>-2987.609552000009</v>
      </c>
      <c r="I120" s="358">
        <f>SUM(E120:H120)</f>
        <v>-261703.75055200001</v>
      </c>
      <c r="K120" s="66">
        <f t="shared" si="12"/>
        <v>0</v>
      </c>
      <c r="L120" s="66"/>
      <c r="M120" s="431">
        <v>114</v>
      </c>
      <c r="N120" s="431">
        <v>123</v>
      </c>
      <c r="O120" s="443" t="s">
        <v>1625</v>
      </c>
      <c r="P120" s="443" t="s">
        <v>1641</v>
      </c>
      <c r="Q120" s="203">
        <v>-2987.609552000009</v>
      </c>
      <c r="R120" s="457" t="s">
        <v>2509</v>
      </c>
      <c r="S120" s="253"/>
      <c r="T120" s="159">
        <v>114</v>
      </c>
      <c r="U120" t="s">
        <v>1625</v>
      </c>
      <c r="V120" t="s">
        <v>1641</v>
      </c>
      <c r="W120" s="372">
        <v>0</v>
      </c>
      <c r="X120" s="372"/>
      <c r="Y120" s="377">
        <v>-17612.550000000003</v>
      </c>
      <c r="Z120" s="378">
        <v>-241103.59100000001</v>
      </c>
      <c r="AA120" s="358">
        <f>SUM(W120:Z120)</f>
        <v>-258716.141</v>
      </c>
      <c r="AE120" s="159">
        <f>+AG120-U120</f>
        <v>0</v>
      </c>
      <c r="AG120" s="471" t="s">
        <v>1625</v>
      </c>
      <c r="AH120" s="467" t="s">
        <v>1641</v>
      </c>
      <c r="AI120" s="475">
        <v>0</v>
      </c>
      <c r="AJ120" s="475"/>
      <c r="AK120" s="476">
        <v>-17612.550000000003</v>
      </c>
      <c r="AL120" s="477">
        <v>-241103.59100000001</v>
      </c>
      <c r="AM120" s="478">
        <v>-258716.141</v>
      </c>
      <c r="AN120" s="478"/>
      <c r="AO120" s="467"/>
      <c r="AP120" s="479">
        <f>SUM(AJ120:AL120)</f>
        <v>-258716.141</v>
      </c>
      <c r="AQ120" s="467"/>
      <c r="AR120" s="467"/>
      <c r="AS120" s="509">
        <f>+AJ120</f>
        <v>0</v>
      </c>
      <c r="AT120" s="476">
        <v>-17612.550000000003</v>
      </c>
      <c r="AU120" s="477">
        <v>-241103.59100000001</v>
      </c>
      <c r="AV120" s="494">
        <f>SUM(AS120:AU120)</f>
        <v>-258716.141</v>
      </c>
      <c r="AW120" s="494">
        <f>+AV120-AP120</f>
        <v>0</v>
      </c>
      <c r="AX120" s="468"/>
      <c r="AY120" s="589">
        <v>-2987.609552000009</v>
      </c>
      <c r="AZ120" s="510">
        <f>+AY120+AV120</f>
        <v>-261703.75055200001</v>
      </c>
      <c r="BA120" s="511">
        <f>+AZ120-I120</f>
        <v>0</v>
      </c>
      <c r="BB120" s="460"/>
      <c r="BC120" s="464">
        <f t="shared" si="13"/>
        <v>0</v>
      </c>
    </row>
    <row r="121" spans="1:55" ht="15">
      <c r="A121" s="431">
        <v>115</v>
      </c>
      <c r="B121" s="431">
        <v>212</v>
      </c>
      <c r="C121" s="233" t="s">
        <v>1687</v>
      </c>
      <c r="D121" s="234" t="s">
        <v>2054</v>
      </c>
      <c r="E121" s="375">
        <v>0</v>
      </c>
      <c r="F121" s="375">
        <v>0</v>
      </c>
      <c r="G121" s="377">
        <v>-42602.327000000005</v>
      </c>
      <c r="H121" s="590">
        <v>-17136.269883999979</v>
      </c>
      <c r="I121" s="358">
        <f t="shared" si="14"/>
        <v>-59738.596883999984</v>
      </c>
      <c r="K121" s="66">
        <f t="shared" si="12"/>
        <v>0</v>
      </c>
      <c r="L121" s="66"/>
      <c r="M121" s="431">
        <v>115</v>
      </c>
      <c r="N121" s="431">
        <v>212</v>
      </c>
      <c r="O121" s="443" t="s">
        <v>1687</v>
      </c>
      <c r="P121" s="443" t="s">
        <v>2054</v>
      </c>
      <c r="Q121" s="203">
        <v>-17136.269883999979</v>
      </c>
      <c r="R121" s="457" t="s">
        <v>2509</v>
      </c>
      <c r="S121" s="253"/>
      <c r="T121" s="159">
        <v>112</v>
      </c>
      <c r="U121" s="233" t="s">
        <v>1687</v>
      </c>
      <c r="V121" s="234" t="s">
        <v>2054</v>
      </c>
      <c r="W121" s="375">
        <v>0</v>
      </c>
      <c r="X121" s="375"/>
      <c r="Y121" s="377">
        <v>0</v>
      </c>
      <c r="Z121" s="378">
        <v>-42602.327000000005</v>
      </c>
      <c r="AA121" s="358">
        <f t="shared" si="15"/>
        <v>-42602.327000000005</v>
      </c>
      <c r="AE121" s="159">
        <f t="shared" si="16"/>
        <v>0</v>
      </c>
      <c r="AG121" s="471" t="s">
        <v>1687</v>
      </c>
      <c r="AH121" s="467" t="s">
        <v>2054</v>
      </c>
      <c r="AI121" s="493">
        <v>0</v>
      </c>
      <c r="AJ121" s="493"/>
      <c r="AK121" s="476">
        <v>0</v>
      </c>
      <c r="AL121" s="477">
        <v>-42602.327000000005</v>
      </c>
      <c r="AM121" s="478">
        <v>-42602.327000000005</v>
      </c>
      <c r="AN121" s="478"/>
      <c r="AO121" s="467"/>
      <c r="AP121" s="479">
        <f t="shared" si="17"/>
        <v>-42602.327000000005</v>
      </c>
      <c r="AQ121" s="467"/>
      <c r="AR121" s="467"/>
      <c r="AS121" s="509">
        <f t="shared" si="18"/>
        <v>0</v>
      </c>
      <c r="AT121" s="476">
        <v>0</v>
      </c>
      <c r="AU121" s="477">
        <v>-42602.327000000005</v>
      </c>
      <c r="AV121" s="494">
        <f t="shared" si="19"/>
        <v>-42602.327000000005</v>
      </c>
      <c r="AW121" s="494">
        <f t="shared" si="20"/>
        <v>0</v>
      </c>
      <c r="AX121" s="468"/>
      <c r="AY121" s="589">
        <v>-17136.269883999979</v>
      </c>
      <c r="AZ121" s="510">
        <f t="shared" si="21"/>
        <v>-59738.596883999984</v>
      </c>
      <c r="BA121" s="511">
        <f t="shared" si="22"/>
        <v>0</v>
      </c>
      <c r="BB121" s="460"/>
      <c r="BC121" s="464">
        <f t="shared" si="13"/>
        <v>0</v>
      </c>
    </row>
    <row r="122" spans="1:55" ht="15">
      <c r="A122" s="431">
        <v>116</v>
      </c>
      <c r="B122" s="431">
        <v>58</v>
      </c>
      <c r="C122" t="s">
        <v>263</v>
      </c>
      <c r="D122" t="s">
        <v>872</v>
      </c>
      <c r="E122" s="372">
        <v>-107667.65815240017</v>
      </c>
      <c r="F122" s="372">
        <v>-167245.39209293295</v>
      </c>
      <c r="G122" s="377">
        <v>-210487.62324812185</v>
      </c>
      <c r="H122" s="590">
        <v>-192754.01928800001</v>
      </c>
      <c r="I122" s="358">
        <f t="shared" si="14"/>
        <v>-678154.69278145488</v>
      </c>
      <c r="K122" s="66">
        <f t="shared" si="12"/>
        <v>0</v>
      </c>
      <c r="L122" s="66"/>
      <c r="M122" s="431">
        <v>116</v>
      </c>
      <c r="N122" s="431">
        <v>58</v>
      </c>
      <c r="O122" s="443" t="s">
        <v>263</v>
      </c>
      <c r="P122" s="443" t="s">
        <v>872</v>
      </c>
      <c r="Q122" s="203">
        <v>-192754.01928800001</v>
      </c>
      <c r="R122" s="457" t="s">
        <v>2509</v>
      </c>
      <c r="S122" s="253"/>
      <c r="T122" s="159">
        <v>115</v>
      </c>
      <c r="U122" t="s">
        <v>263</v>
      </c>
      <c r="V122" t="s">
        <v>872</v>
      </c>
      <c r="W122" s="372">
        <v>-91767.8</v>
      </c>
      <c r="X122" s="372">
        <v>-107667.65815240017</v>
      </c>
      <c r="Y122" s="377">
        <v>-167245.39209293295</v>
      </c>
      <c r="Z122" s="378">
        <v>-210487.62324812185</v>
      </c>
      <c r="AA122" s="358">
        <f t="shared" si="15"/>
        <v>-577168.47349345498</v>
      </c>
      <c r="AE122" s="159">
        <f t="shared" si="16"/>
        <v>0</v>
      </c>
      <c r="AG122" s="471" t="s">
        <v>263</v>
      </c>
      <c r="AH122" s="467" t="s">
        <v>872</v>
      </c>
      <c r="AI122" s="475">
        <v>-91767.8</v>
      </c>
      <c r="AJ122" s="475">
        <v>-107667.65815240017</v>
      </c>
      <c r="AK122" s="476">
        <v>-167245.39209293295</v>
      </c>
      <c r="AL122" s="477">
        <v>-210487.62324812185</v>
      </c>
      <c r="AM122" s="478">
        <v>-577168.47349345498</v>
      </c>
      <c r="AN122" s="478"/>
      <c r="AO122" s="467"/>
      <c r="AP122" s="479">
        <f t="shared" si="17"/>
        <v>-485400.67349345493</v>
      </c>
      <c r="AQ122" s="467"/>
      <c r="AR122" s="467"/>
      <c r="AS122" s="509">
        <f t="shared" si="18"/>
        <v>-107667.65815240017</v>
      </c>
      <c r="AT122" s="476">
        <v>-167245.39209293295</v>
      </c>
      <c r="AU122" s="477">
        <v>-210487.62324812185</v>
      </c>
      <c r="AV122" s="494">
        <f t="shared" si="19"/>
        <v>-485400.67349345493</v>
      </c>
      <c r="AW122" s="494">
        <f t="shared" si="20"/>
        <v>0</v>
      </c>
      <c r="AX122" s="468"/>
      <c r="AY122" s="589">
        <v>-192754.01928800001</v>
      </c>
      <c r="AZ122" s="510">
        <f t="shared" si="21"/>
        <v>-678154.69278145488</v>
      </c>
      <c r="BA122" s="511">
        <f t="shared" si="22"/>
        <v>0</v>
      </c>
      <c r="BB122" s="460"/>
      <c r="BC122" s="464">
        <f t="shared" si="13"/>
        <v>0</v>
      </c>
    </row>
    <row r="123" spans="1:55" ht="15">
      <c r="A123" s="431">
        <v>117</v>
      </c>
      <c r="B123" s="431">
        <v>236</v>
      </c>
      <c r="C123" t="s">
        <v>576</v>
      </c>
      <c r="D123" t="s">
        <v>1010</v>
      </c>
      <c r="E123" s="372">
        <v>-2670.8454049999973</v>
      </c>
      <c r="F123" s="372">
        <v>0</v>
      </c>
      <c r="G123" s="377">
        <v>4657.1590469999992</v>
      </c>
      <c r="H123" s="590">
        <v>1685.4091500000031</v>
      </c>
      <c r="I123" s="358">
        <f t="shared" si="14"/>
        <v>3671.722792000005</v>
      </c>
      <c r="K123" s="66">
        <f t="shared" si="12"/>
        <v>0</v>
      </c>
      <c r="L123" s="66"/>
      <c r="M123" s="431">
        <v>117</v>
      </c>
      <c r="N123" s="431">
        <v>236</v>
      </c>
      <c r="O123" s="443" t="s">
        <v>576</v>
      </c>
      <c r="P123" s="443" t="s">
        <v>1010</v>
      </c>
      <c r="Q123" s="203">
        <v>1685.4091500000031</v>
      </c>
      <c r="R123" s="457" t="s">
        <v>2509</v>
      </c>
      <c r="S123" s="253"/>
      <c r="T123" s="159">
        <v>116</v>
      </c>
      <c r="U123" t="s">
        <v>576</v>
      </c>
      <c r="V123" t="s">
        <v>1010</v>
      </c>
      <c r="W123" s="372">
        <v>-14160.64</v>
      </c>
      <c r="X123" s="372">
        <v>-2670.8454049999973</v>
      </c>
      <c r="Y123" s="377">
        <v>0</v>
      </c>
      <c r="Z123" s="378">
        <v>4657.1590469999992</v>
      </c>
      <c r="AA123" s="358">
        <f t="shared" si="15"/>
        <v>-12174.326357999997</v>
      </c>
      <c r="AE123" s="159">
        <f t="shared" si="16"/>
        <v>0</v>
      </c>
      <c r="AG123" s="471" t="s">
        <v>576</v>
      </c>
      <c r="AH123" s="467" t="s">
        <v>1010</v>
      </c>
      <c r="AI123" s="475">
        <v>-14160.64</v>
      </c>
      <c r="AJ123" s="475">
        <v>-2670.8454049999973</v>
      </c>
      <c r="AK123" s="476">
        <v>0</v>
      </c>
      <c r="AL123" s="477">
        <v>4657.1590469999992</v>
      </c>
      <c r="AM123" s="478">
        <v>-12174.326357999997</v>
      </c>
      <c r="AN123" s="478"/>
      <c r="AO123" s="467"/>
      <c r="AP123" s="479">
        <f t="shared" si="17"/>
        <v>1986.3136420000019</v>
      </c>
      <c r="AQ123" s="467"/>
      <c r="AR123" s="467"/>
      <c r="AS123" s="509">
        <f t="shared" si="18"/>
        <v>-2670.8454049999973</v>
      </c>
      <c r="AT123" s="476">
        <v>0</v>
      </c>
      <c r="AU123" s="477">
        <v>4657.1590469999992</v>
      </c>
      <c r="AV123" s="494">
        <f t="shared" si="19"/>
        <v>1986.3136420000019</v>
      </c>
      <c r="AW123" s="494">
        <f t="shared" si="20"/>
        <v>0</v>
      </c>
      <c r="AX123" s="468"/>
      <c r="AY123" s="589">
        <v>1685.4091500000031</v>
      </c>
      <c r="AZ123" s="510">
        <f t="shared" si="21"/>
        <v>3671.722792000005</v>
      </c>
      <c r="BA123" s="511">
        <f t="shared" si="22"/>
        <v>0</v>
      </c>
      <c r="BB123" s="460"/>
      <c r="BC123" s="464">
        <f t="shared" si="13"/>
        <v>0</v>
      </c>
    </row>
    <row r="124" spans="1:55" ht="15">
      <c r="A124" s="431">
        <v>118</v>
      </c>
      <c r="B124" s="431">
        <v>111</v>
      </c>
      <c r="C124" t="s">
        <v>364</v>
      </c>
      <c r="D124" t="s">
        <v>920</v>
      </c>
      <c r="E124" s="372">
        <v>-2170971.6339159952</v>
      </c>
      <c r="F124" s="372">
        <v>-918099.25197771378</v>
      </c>
      <c r="G124" s="377">
        <v>-1198436.5395777095</v>
      </c>
      <c r="H124" s="590">
        <v>-689455.69498999789</v>
      </c>
      <c r="I124" s="358">
        <f t="shared" si="14"/>
        <v>-4976963.1204614164</v>
      </c>
      <c r="K124" s="66">
        <f t="shared" si="12"/>
        <v>0</v>
      </c>
      <c r="L124" s="66"/>
      <c r="M124" s="431">
        <v>118</v>
      </c>
      <c r="N124" s="431">
        <v>111</v>
      </c>
      <c r="O124" s="443" t="s">
        <v>364</v>
      </c>
      <c r="P124" s="443" t="s">
        <v>920</v>
      </c>
      <c r="Q124" s="203">
        <v>-689455.69498999789</v>
      </c>
      <c r="R124" s="457" t="s">
        <v>2509</v>
      </c>
      <c r="S124" s="253"/>
      <c r="T124" s="159">
        <v>117</v>
      </c>
      <c r="U124" t="s">
        <v>364</v>
      </c>
      <c r="V124" t="s">
        <v>920</v>
      </c>
      <c r="W124" s="372">
        <v>175515.00000000489</v>
      </c>
      <c r="X124" s="372">
        <v>-2346486.6339160004</v>
      </c>
      <c r="Y124" s="377">
        <v>-918099.25197771378</v>
      </c>
      <c r="Z124" s="378">
        <v>-1198436.5395777095</v>
      </c>
      <c r="AA124" s="358">
        <f t="shared" si="15"/>
        <v>-4287507.4254714185</v>
      </c>
      <c r="AE124" s="159">
        <f t="shared" si="16"/>
        <v>0</v>
      </c>
      <c r="AG124" s="471" t="s">
        <v>364</v>
      </c>
      <c r="AH124" s="467" t="s">
        <v>920</v>
      </c>
      <c r="AI124" s="480">
        <v>175515.00000000489</v>
      </c>
      <c r="AJ124" s="480">
        <v>-2346486.6339160004</v>
      </c>
      <c r="AK124" s="476">
        <v>-918099.25197771378</v>
      </c>
      <c r="AL124" s="477">
        <v>-1198436.5395777095</v>
      </c>
      <c r="AM124" s="478">
        <v>-4287507.4254714185</v>
      </c>
      <c r="AN124" s="478"/>
      <c r="AO124" s="467"/>
      <c r="AP124" s="479">
        <f t="shared" si="17"/>
        <v>-4463022.4254714232</v>
      </c>
      <c r="AQ124" s="467"/>
      <c r="AR124" s="467"/>
      <c r="AS124" s="512">
        <f>+AI124+AJ124</f>
        <v>-2170971.6339159952</v>
      </c>
      <c r="AT124" s="476">
        <v>-918099.25197771378</v>
      </c>
      <c r="AU124" s="477">
        <v>-1198436.5395777095</v>
      </c>
      <c r="AV124" s="494">
        <f t="shared" si="19"/>
        <v>-4287507.4254714185</v>
      </c>
      <c r="AW124" s="513">
        <f>+AV124-AM124</f>
        <v>0</v>
      </c>
      <c r="AX124" s="468"/>
      <c r="AY124" s="589">
        <v>-689455.69498999789</v>
      </c>
      <c r="AZ124" s="510">
        <f t="shared" si="21"/>
        <v>-4976963.1204614164</v>
      </c>
      <c r="BA124" s="511">
        <f t="shared" si="22"/>
        <v>0</v>
      </c>
      <c r="BB124" s="460"/>
      <c r="BC124" s="464">
        <f t="shared" si="13"/>
        <v>0</v>
      </c>
    </row>
    <row r="125" spans="1:55" ht="15">
      <c r="A125" s="431">
        <v>119</v>
      </c>
      <c r="B125" s="431">
        <v>63</v>
      </c>
      <c r="C125" t="s">
        <v>273</v>
      </c>
      <c r="D125" t="s">
        <v>876</v>
      </c>
      <c r="E125" s="372">
        <v>-52751.261396000002</v>
      </c>
      <c r="F125" s="372">
        <v>-48998.472947999995</v>
      </c>
      <c r="G125" s="377">
        <v>-43618.069631999984</v>
      </c>
      <c r="H125" s="590">
        <v>-25271.291759999993</v>
      </c>
      <c r="I125" s="358">
        <f t="shared" si="14"/>
        <v>-170639.09573599999</v>
      </c>
      <c r="K125" s="66">
        <f t="shared" si="12"/>
        <v>0</v>
      </c>
      <c r="L125" s="66"/>
      <c r="M125" s="431">
        <v>119</v>
      </c>
      <c r="N125" s="431">
        <v>63</v>
      </c>
      <c r="O125" s="443" t="s">
        <v>273</v>
      </c>
      <c r="P125" s="443" t="s">
        <v>876</v>
      </c>
      <c r="Q125" s="203">
        <v>-25271.291759999993</v>
      </c>
      <c r="R125" s="457" t="s">
        <v>2509</v>
      </c>
      <c r="S125" s="253"/>
      <c r="T125" s="159">
        <v>118</v>
      </c>
      <c r="U125" t="s">
        <v>273</v>
      </c>
      <c r="V125" t="s">
        <v>876</v>
      </c>
      <c r="W125" s="372">
        <v>-47035.65</v>
      </c>
      <c r="X125" s="372">
        <v>-52751.261396000002</v>
      </c>
      <c r="Y125" s="377">
        <v>-48998.472947999995</v>
      </c>
      <c r="Z125" s="378">
        <v>-43618.069631999984</v>
      </c>
      <c r="AA125" s="358">
        <f t="shared" si="15"/>
        <v>-192403.45397600002</v>
      </c>
      <c r="AE125" s="159">
        <f t="shared" si="16"/>
        <v>0</v>
      </c>
      <c r="AG125" s="471" t="s">
        <v>273</v>
      </c>
      <c r="AH125" s="467" t="s">
        <v>876</v>
      </c>
      <c r="AI125" s="475">
        <v>-47035.65</v>
      </c>
      <c r="AJ125" s="475">
        <v>-52751.261396000002</v>
      </c>
      <c r="AK125" s="476">
        <v>-48998.472947999995</v>
      </c>
      <c r="AL125" s="477">
        <v>-43618.069631999984</v>
      </c>
      <c r="AM125" s="478">
        <v>-192403.45397600002</v>
      </c>
      <c r="AN125" s="478"/>
      <c r="AO125" s="467"/>
      <c r="AP125" s="479">
        <f t="shared" si="17"/>
        <v>-145367.803976</v>
      </c>
      <c r="AQ125" s="467"/>
      <c r="AR125" s="467"/>
      <c r="AS125" s="509">
        <f t="shared" si="18"/>
        <v>-52751.261396000002</v>
      </c>
      <c r="AT125" s="476">
        <v>-48998.472947999995</v>
      </c>
      <c r="AU125" s="477">
        <v>-43618.069631999984</v>
      </c>
      <c r="AV125" s="494">
        <f t="shared" si="19"/>
        <v>-145367.803976</v>
      </c>
      <c r="AW125" s="494">
        <f t="shared" si="20"/>
        <v>0</v>
      </c>
      <c r="AX125" s="468"/>
      <c r="AY125" s="589">
        <v>-25271.291759999993</v>
      </c>
      <c r="AZ125" s="510">
        <f t="shared" si="21"/>
        <v>-170639.09573599999</v>
      </c>
      <c r="BA125" s="511">
        <f t="shared" si="22"/>
        <v>0</v>
      </c>
      <c r="BB125" s="460"/>
      <c r="BC125" s="464">
        <f t="shared" si="13"/>
        <v>0</v>
      </c>
    </row>
    <row r="126" spans="1:55" ht="15">
      <c r="A126" s="431">
        <v>120</v>
      </c>
      <c r="B126" s="431">
        <v>46</v>
      </c>
      <c r="C126" t="s">
        <v>239</v>
      </c>
      <c r="D126" t="s">
        <v>860</v>
      </c>
      <c r="E126" s="372">
        <v>-85085.197545000046</v>
      </c>
      <c r="F126" s="372">
        <v>-60012.227355000097</v>
      </c>
      <c r="G126" s="377">
        <v>-147135.84143800003</v>
      </c>
      <c r="H126" s="590">
        <v>-260798.46271400002</v>
      </c>
      <c r="I126" s="358">
        <f t="shared" si="14"/>
        <v>-553031.72905200021</v>
      </c>
      <c r="K126" s="66">
        <f t="shared" si="12"/>
        <v>0</v>
      </c>
      <c r="L126" s="66"/>
      <c r="M126" s="431">
        <v>120</v>
      </c>
      <c r="N126" s="431">
        <v>46</v>
      </c>
      <c r="O126" s="443" t="s">
        <v>239</v>
      </c>
      <c r="P126" s="443" t="s">
        <v>860</v>
      </c>
      <c r="Q126" s="203">
        <v>-260798.46271400002</v>
      </c>
      <c r="R126" s="457" t="s">
        <v>2509</v>
      </c>
      <c r="S126" s="253"/>
      <c r="T126" s="159">
        <v>119</v>
      </c>
      <c r="U126" t="s">
        <v>239</v>
      </c>
      <c r="V126" t="s">
        <v>860</v>
      </c>
      <c r="W126" s="372">
        <v>-65498.96</v>
      </c>
      <c r="X126" s="372">
        <v>-85085.197545000046</v>
      </c>
      <c r="Y126" s="377">
        <v>-60012.227355000097</v>
      </c>
      <c r="Z126" s="378">
        <v>-147135.84143800003</v>
      </c>
      <c r="AA126" s="358">
        <f t="shared" si="15"/>
        <v>-357732.22633800015</v>
      </c>
      <c r="AE126" s="159">
        <f t="shared" si="16"/>
        <v>0</v>
      </c>
      <c r="AG126" s="471" t="s">
        <v>239</v>
      </c>
      <c r="AH126" s="467" t="s">
        <v>860</v>
      </c>
      <c r="AI126" s="475">
        <v>-65498.96</v>
      </c>
      <c r="AJ126" s="475">
        <v>-85085.197545000046</v>
      </c>
      <c r="AK126" s="476">
        <v>-60012.227355000097</v>
      </c>
      <c r="AL126" s="477">
        <v>-147135.84143800003</v>
      </c>
      <c r="AM126" s="478">
        <v>-357732.22633800015</v>
      </c>
      <c r="AN126" s="478"/>
      <c r="AO126" s="467"/>
      <c r="AP126" s="479">
        <f t="shared" si="17"/>
        <v>-292233.26633800019</v>
      </c>
      <c r="AQ126" s="467"/>
      <c r="AR126" s="467"/>
      <c r="AS126" s="509">
        <f t="shared" si="18"/>
        <v>-85085.197545000046</v>
      </c>
      <c r="AT126" s="476">
        <v>-60012.227355000097</v>
      </c>
      <c r="AU126" s="477">
        <v>-147135.84143800003</v>
      </c>
      <c r="AV126" s="494">
        <f t="shared" si="19"/>
        <v>-292233.26633800019</v>
      </c>
      <c r="AW126" s="494">
        <f t="shared" si="20"/>
        <v>0</v>
      </c>
      <c r="AX126" s="468"/>
      <c r="AY126" s="589">
        <v>-260798.46271400002</v>
      </c>
      <c r="AZ126" s="510">
        <f t="shared" si="21"/>
        <v>-553031.72905200021</v>
      </c>
      <c r="BA126" s="511">
        <f t="shared" si="22"/>
        <v>0</v>
      </c>
      <c r="BB126" s="460"/>
      <c r="BC126" s="464">
        <f t="shared" si="13"/>
        <v>0</v>
      </c>
    </row>
    <row r="127" spans="1:55" ht="15">
      <c r="A127" s="431">
        <v>121</v>
      </c>
      <c r="B127" s="431">
        <v>55</v>
      </c>
      <c r="C127" t="s">
        <v>257</v>
      </c>
      <c r="D127" t="s">
        <v>869</v>
      </c>
      <c r="E127" s="372">
        <v>-72719.312998000009</v>
      </c>
      <c r="F127" s="372">
        <v>-73331.968751000008</v>
      </c>
      <c r="G127" s="377">
        <v>-49834.570235000007</v>
      </c>
      <c r="H127" s="590">
        <v>-105142.37106999999</v>
      </c>
      <c r="I127" s="358">
        <f t="shared" si="14"/>
        <v>-301028.223054</v>
      </c>
      <c r="K127" s="66">
        <f t="shared" si="12"/>
        <v>0</v>
      </c>
      <c r="L127" s="66"/>
      <c r="M127" s="431">
        <v>121</v>
      </c>
      <c r="N127" s="431">
        <v>55</v>
      </c>
      <c r="O127" s="443" t="s">
        <v>257</v>
      </c>
      <c r="P127" s="443" t="s">
        <v>869</v>
      </c>
      <c r="Q127" s="203">
        <v>-105142.37106999999</v>
      </c>
      <c r="R127" s="457" t="s">
        <v>2509</v>
      </c>
      <c r="S127" s="253"/>
      <c r="T127" s="159">
        <v>120</v>
      </c>
      <c r="U127" t="s">
        <v>257</v>
      </c>
      <c r="V127" t="s">
        <v>869</v>
      </c>
      <c r="W127" s="372">
        <v>-86505.2</v>
      </c>
      <c r="X127" s="372">
        <v>-72719.312998000009</v>
      </c>
      <c r="Y127" s="377">
        <v>-73331.968751000008</v>
      </c>
      <c r="Z127" s="378">
        <v>-49834.570235000007</v>
      </c>
      <c r="AA127" s="358">
        <f t="shared" si="15"/>
        <v>-282391.05198400002</v>
      </c>
      <c r="AE127" s="159">
        <f t="shared" si="16"/>
        <v>0</v>
      </c>
      <c r="AG127" s="471" t="s">
        <v>257</v>
      </c>
      <c r="AH127" s="467" t="s">
        <v>869</v>
      </c>
      <c r="AI127" s="475">
        <v>-86505.2</v>
      </c>
      <c r="AJ127" s="475">
        <v>-72719.312998000009</v>
      </c>
      <c r="AK127" s="476">
        <v>-73331.968751000008</v>
      </c>
      <c r="AL127" s="477">
        <v>-49834.570235000007</v>
      </c>
      <c r="AM127" s="478">
        <v>-282391.05198400002</v>
      </c>
      <c r="AN127" s="478"/>
      <c r="AO127" s="467"/>
      <c r="AP127" s="479">
        <f t="shared" si="17"/>
        <v>-195885.85198400001</v>
      </c>
      <c r="AQ127" s="467"/>
      <c r="AR127" s="467"/>
      <c r="AS127" s="509">
        <f t="shared" si="18"/>
        <v>-72719.312998000009</v>
      </c>
      <c r="AT127" s="476">
        <v>-73331.968751000008</v>
      </c>
      <c r="AU127" s="477">
        <v>-49834.570235000007</v>
      </c>
      <c r="AV127" s="494">
        <f t="shared" si="19"/>
        <v>-195885.85198400001</v>
      </c>
      <c r="AW127" s="494">
        <f t="shared" si="20"/>
        <v>0</v>
      </c>
      <c r="AX127" s="468"/>
      <c r="AY127" s="589">
        <v>-105142.37106999999</v>
      </c>
      <c r="AZ127" s="510">
        <f t="shared" si="21"/>
        <v>-301028.223054</v>
      </c>
      <c r="BA127" s="511">
        <f t="shared" si="22"/>
        <v>0</v>
      </c>
      <c r="BB127" s="460"/>
      <c r="BC127" s="464">
        <f t="shared" si="13"/>
        <v>0</v>
      </c>
    </row>
    <row r="128" spans="1:55" ht="15">
      <c r="A128" s="431">
        <v>122</v>
      </c>
      <c r="B128" s="431">
        <v>48</v>
      </c>
      <c r="C128" t="s">
        <v>243</v>
      </c>
      <c r="D128" t="s">
        <v>862</v>
      </c>
      <c r="E128" s="372">
        <v>-643169.5267759813</v>
      </c>
      <c r="F128" s="372">
        <v>-126757.00728404755</v>
      </c>
      <c r="G128" s="377">
        <v>-207582.31249369332</v>
      </c>
      <c r="H128" s="590">
        <v>-352593.12364799995</v>
      </c>
      <c r="I128" s="358">
        <f t="shared" si="14"/>
        <v>-1330101.9702017221</v>
      </c>
      <c r="K128" s="66">
        <f t="shared" si="12"/>
        <v>0</v>
      </c>
      <c r="L128" s="66"/>
      <c r="M128" s="431">
        <v>122</v>
      </c>
      <c r="N128" s="431">
        <v>48</v>
      </c>
      <c r="O128" s="443" t="s">
        <v>243</v>
      </c>
      <c r="P128" s="443" t="s">
        <v>862</v>
      </c>
      <c r="Q128" s="203">
        <v>-352593.12364799995</v>
      </c>
      <c r="R128" s="457" t="s">
        <v>2509</v>
      </c>
      <c r="S128" s="253"/>
      <c r="T128" s="159">
        <v>121</v>
      </c>
      <c r="U128" t="s">
        <v>243</v>
      </c>
      <c r="V128" t="s">
        <v>862</v>
      </c>
      <c r="W128" s="372">
        <v>-251728.97</v>
      </c>
      <c r="X128" s="372">
        <v>-643169.5267759813</v>
      </c>
      <c r="Y128" s="377">
        <v>-126757.00728404755</v>
      </c>
      <c r="Z128" s="378">
        <v>-207582.31249369332</v>
      </c>
      <c r="AA128" s="358">
        <f t="shared" si="15"/>
        <v>-1229237.8165537221</v>
      </c>
      <c r="AE128" s="159">
        <f t="shared" si="16"/>
        <v>0</v>
      </c>
      <c r="AG128" s="471" t="s">
        <v>243</v>
      </c>
      <c r="AH128" s="467" t="s">
        <v>862</v>
      </c>
      <c r="AI128" s="475">
        <v>-251728.97</v>
      </c>
      <c r="AJ128" s="475">
        <v>-643169.5267759813</v>
      </c>
      <c r="AK128" s="476">
        <v>-126757.00728404755</v>
      </c>
      <c r="AL128" s="477">
        <v>-207582.31249369332</v>
      </c>
      <c r="AM128" s="478">
        <v>-1229237.8165537221</v>
      </c>
      <c r="AN128" s="478"/>
      <c r="AO128" s="467"/>
      <c r="AP128" s="479">
        <f t="shared" si="17"/>
        <v>-977508.84655372216</v>
      </c>
      <c r="AQ128" s="467"/>
      <c r="AR128" s="467"/>
      <c r="AS128" s="509">
        <f t="shared" si="18"/>
        <v>-643169.5267759813</v>
      </c>
      <c r="AT128" s="476">
        <v>-126757.00728404755</v>
      </c>
      <c r="AU128" s="477">
        <v>-207582.31249369332</v>
      </c>
      <c r="AV128" s="494">
        <f t="shared" si="19"/>
        <v>-977508.84655372216</v>
      </c>
      <c r="AW128" s="494">
        <f t="shared" si="20"/>
        <v>0</v>
      </c>
      <c r="AX128" s="468"/>
      <c r="AY128" s="589">
        <v>-352593.12364799995</v>
      </c>
      <c r="AZ128" s="510">
        <f t="shared" si="21"/>
        <v>-1330101.9702017221</v>
      </c>
      <c r="BA128" s="511">
        <f t="shared" si="22"/>
        <v>0</v>
      </c>
      <c r="BB128" s="460"/>
      <c r="BC128" s="464">
        <f t="shared" si="13"/>
        <v>0</v>
      </c>
    </row>
    <row r="129" spans="1:55" ht="15">
      <c r="A129" s="431">
        <v>123</v>
      </c>
      <c r="B129" s="431">
        <v>8</v>
      </c>
      <c r="C129" t="s">
        <v>177</v>
      </c>
      <c r="D129" t="s">
        <v>833</v>
      </c>
      <c r="E129" s="372">
        <v>-514059.97149599809</v>
      </c>
      <c r="F129" s="372">
        <v>1464100.16</v>
      </c>
      <c r="G129" s="377">
        <v>1460532.8383244043</v>
      </c>
      <c r="H129" s="590">
        <v>1166474.2386249993</v>
      </c>
      <c r="I129" s="358">
        <f t="shared" si="14"/>
        <v>3577047.2654534057</v>
      </c>
      <c r="K129" s="66">
        <f t="shared" si="12"/>
        <v>0</v>
      </c>
      <c r="L129" s="66"/>
      <c r="M129" s="431">
        <v>123</v>
      </c>
      <c r="N129" s="431">
        <v>8</v>
      </c>
      <c r="O129" s="443" t="s">
        <v>177</v>
      </c>
      <c r="P129" s="443" t="s">
        <v>833</v>
      </c>
      <c r="Q129" s="203">
        <v>1166474.2386249993</v>
      </c>
      <c r="R129" s="457" t="s">
        <v>2509</v>
      </c>
      <c r="S129" s="253"/>
      <c r="T129" s="159">
        <v>122</v>
      </c>
      <c r="U129" t="s">
        <v>177</v>
      </c>
      <c r="V129" t="s">
        <v>833</v>
      </c>
      <c r="W129" s="372">
        <v>-409020.59</v>
      </c>
      <c r="X129" s="372">
        <v>-514059.97149599809</v>
      </c>
      <c r="Y129" s="377">
        <v>1873120.7494391166</v>
      </c>
      <c r="Z129" s="378">
        <v>1460532.8383244043</v>
      </c>
      <c r="AA129" s="358">
        <f t="shared" si="15"/>
        <v>2410573.0262675229</v>
      </c>
      <c r="AE129" s="159">
        <f t="shared" si="16"/>
        <v>0</v>
      </c>
      <c r="AG129" s="471" t="s">
        <v>177</v>
      </c>
      <c r="AH129" s="467" t="s">
        <v>833</v>
      </c>
      <c r="AI129" s="480">
        <v>-409020.59</v>
      </c>
      <c r="AJ129" s="475">
        <v>-514059.97149599809</v>
      </c>
      <c r="AK129" s="481">
        <v>1873120.7494391166</v>
      </c>
      <c r="AL129" s="477">
        <v>1460532.8383244043</v>
      </c>
      <c r="AM129" s="478">
        <v>2410573.0262675229</v>
      </c>
      <c r="AN129" s="483">
        <f>+AK129+AI129</f>
        <v>1464100.1594391165</v>
      </c>
      <c r="AO129" s="467"/>
      <c r="AP129" s="479">
        <f t="shared" si="17"/>
        <v>2819593.6162675228</v>
      </c>
      <c r="AQ129" s="467"/>
      <c r="AR129" s="467"/>
      <c r="AS129" s="509">
        <f t="shared" si="18"/>
        <v>-514059.97149599809</v>
      </c>
      <c r="AT129" s="481">
        <v>1464100.16</v>
      </c>
      <c r="AU129" s="477">
        <v>1460532.8383244043</v>
      </c>
      <c r="AV129" s="494">
        <f t="shared" si="19"/>
        <v>2410573.0268284064</v>
      </c>
      <c r="AW129" s="513">
        <f>+AV129-AM129</f>
        <v>5.6088343262672424E-4</v>
      </c>
      <c r="AX129" s="468"/>
      <c r="AY129" s="589">
        <v>1166474.2386249993</v>
      </c>
      <c r="AZ129" s="510">
        <f t="shared" si="21"/>
        <v>3577047.2654534057</v>
      </c>
      <c r="BA129" s="511">
        <f t="shared" si="22"/>
        <v>0</v>
      </c>
      <c r="BB129" s="460"/>
      <c r="BC129" s="464">
        <f t="shared" si="13"/>
        <v>0</v>
      </c>
    </row>
    <row r="130" spans="1:55" ht="15">
      <c r="A130" s="431">
        <v>124</v>
      </c>
      <c r="B130" s="431">
        <v>114</v>
      </c>
      <c r="C130" t="s">
        <v>370</v>
      </c>
      <c r="D130" t="s">
        <v>923</v>
      </c>
      <c r="E130" s="372">
        <v>2461262.8877007179</v>
      </c>
      <c r="F130" s="372">
        <v>1425514.1100778133</v>
      </c>
      <c r="G130" s="377">
        <v>-1547861.0024221239</v>
      </c>
      <c r="H130" s="590">
        <v>-516938.01674799807</v>
      </c>
      <c r="I130" s="358">
        <f t="shared" si="14"/>
        <v>1821977.9786084089</v>
      </c>
      <c r="K130" s="66">
        <f t="shared" si="12"/>
        <v>0</v>
      </c>
      <c r="L130" s="66"/>
      <c r="M130" s="431">
        <v>124</v>
      </c>
      <c r="N130" s="431">
        <v>114</v>
      </c>
      <c r="O130" s="443" t="s">
        <v>370</v>
      </c>
      <c r="P130" s="443" t="s">
        <v>923</v>
      </c>
      <c r="Q130" s="203">
        <v>-516938.01674799807</v>
      </c>
      <c r="R130" s="457" t="s">
        <v>2509</v>
      </c>
      <c r="S130" s="253"/>
      <c r="T130" s="159">
        <v>123</v>
      </c>
      <c r="U130" t="s">
        <v>370</v>
      </c>
      <c r="V130" t="s">
        <v>923</v>
      </c>
      <c r="W130" s="372">
        <v>1064079.0399999996</v>
      </c>
      <c r="X130" s="372">
        <v>1397183.8477007186</v>
      </c>
      <c r="Y130" s="377">
        <v>1425514.1100778133</v>
      </c>
      <c r="Z130" s="378">
        <v>-1547861.0024221239</v>
      </c>
      <c r="AA130" s="358">
        <f t="shared" si="15"/>
        <v>2338915.995356407</v>
      </c>
      <c r="AE130" s="159">
        <f t="shared" si="16"/>
        <v>0</v>
      </c>
      <c r="AG130" s="471" t="s">
        <v>370</v>
      </c>
      <c r="AH130" s="467" t="s">
        <v>923</v>
      </c>
      <c r="AI130" s="480">
        <v>1064079.0399999996</v>
      </c>
      <c r="AJ130" s="480">
        <v>1397183.8477007186</v>
      </c>
      <c r="AK130" s="476">
        <v>1425514.1100778133</v>
      </c>
      <c r="AL130" s="477">
        <v>-1547861.0024221239</v>
      </c>
      <c r="AM130" s="478">
        <v>2338915.995356407</v>
      </c>
      <c r="AN130" s="478"/>
      <c r="AO130" s="467"/>
      <c r="AP130" s="479">
        <f t="shared" si="17"/>
        <v>1274836.9553564081</v>
      </c>
      <c r="AQ130" s="467"/>
      <c r="AR130" s="467"/>
      <c r="AS130" s="512">
        <f>+AI130+AJ130</f>
        <v>2461262.8877007179</v>
      </c>
      <c r="AT130" s="476">
        <v>1425514.1100778133</v>
      </c>
      <c r="AU130" s="477">
        <v>-1547861.0024221239</v>
      </c>
      <c r="AV130" s="494">
        <f t="shared" si="19"/>
        <v>2338915.995356407</v>
      </c>
      <c r="AW130" s="513">
        <f>+AV130-AM130</f>
        <v>0</v>
      </c>
      <c r="AX130" s="468"/>
      <c r="AY130" s="589">
        <v>-516938.01674799807</v>
      </c>
      <c r="AZ130" s="510">
        <f t="shared" si="21"/>
        <v>1821977.9786084089</v>
      </c>
      <c r="BA130" s="511">
        <f t="shared" si="22"/>
        <v>0</v>
      </c>
      <c r="BB130" s="460"/>
      <c r="BC130" s="464">
        <f t="shared" si="13"/>
        <v>0</v>
      </c>
    </row>
    <row r="131" spans="1:55" ht="15">
      <c r="A131" s="431">
        <v>125</v>
      </c>
      <c r="B131" s="431">
        <v>273</v>
      </c>
      <c r="C131" t="s">
        <v>638</v>
      </c>
      <c r="D131" t="s">
        <v>1036</v>
      </c>
      <c r="E131" s="372">
        <v>-73647.599533660672</v>
      </c>
      <c r="F131" s="372">
        <v>-74683.690240586642</v>
      </c>
      <c r="G131" s="377">
        <v>-38543.608959522709</v>
      </c>
      <c r="H131" s="590">
        <v>-120336.1192529999</v>
      </c>
      <c r="I131" s="358">
        <f t="shared" si="14"/>
        <v>-307211.0179867699</v>
      </c>
      <c r="K131" s="66">
        <f t="shared" si="12"/>
        <v>0</v>
      </c>
      <c r="L131" s="66"/>
      <c r="M131" s="431">
        <v>125</v>
      </c>
      <c r="N131" s="431">
        <v>273</v>
      </c>
      <c r="O131" s="443" t="s">
        <v>638</v>
      </c>
      <c r="P131" s="443" t="s">
        <v>1036</v>
      </c>
      <c r="Q131" s="203">
        <v>-120336.1192529999</v>
      </c>
      <c r="R131" s="457" t="s">
        <v>2509</v>
      </c>
      <c r="S131" s="253"/>
      <c r="T131" s="159">
        <v>124</v>
      </c>
      <c r="U131" t="s">
        <v>638</v>
      </c>
      <c r="V131" t="s">
        <v>1036</v>
      </c>
      <c r="W131" s="372">
        <v>-22632.880000000001</v>
      </c>
      <c r="X131" s="372">
        <v>-73647.599533660672</v>
      </c>
      <c r="Y131" s="377">
        <v>-74683.690240586642</v>
      </c>
      <c r="Z131" s="378">
        <v>-38543.608959522709</v>
      </c>
      <c r="AA131" s="358">
        <f t="shared" si="15"/>
        <v>-209507.77873377004</v>
      </c>
      <c r="AE131" s="159">
        <f t="shared" si="16"/>
        <v>0</v>
      </c>
      <c r="AG131" s="471" t="s">
        <v>638</v>
      </c>
      <c r="AH131" s="467" t="s">
        <v>1036</v>
      </c>
      <c r="AI131" s="475">
        <v>-22632.880000000001</v>
      </c>
      <c r="AJ131" s="475">
        <v>-73647.599533660672</v>
      </c>
      <c r="AK131" s="476">
        <v>-74683.690240586642</v>
      </c>
      <c r="AL131" s="477">
        <v>-38543.608959522709</v>
      </c>
      <c r="AM131" s="478">
        <v>-209507.77873377004</v>
      </c>
      <c r="AN131" s="478"/>
      <c r="AO131" s="467"/>
      <c r="AP131" s="479">
        <f t="shared" si="17"/>
        <v>-186874.89873377004</v>
      </c>
      <c r="AQ131" s="467"/>
      <c r="AR131" s="467"/>
      <c r="AS131" s="509">
        <f t="shared" si="18"/>
        <v>-73647.599533660672</v>
      </c>
      <c r="AT131" s="476">
        <v>-74683.690240586642</v>
      </c>
      <c r="AU131" s="477">
        <v>-38543.608959522709</v>
      </c>
      <c r="AV131" s="494">
        <f t="shared" si="19"/>
        <v>-186874.89873377004</v>
      </c>
      <c r="AW131" s="494">
        <f t="shared" si="20"/>
        <v>0</v>
      </c>
      <c r="AX131" s="468"/>
      <c r="AY131" s="589">
        <v>-120336.1192529999</v>
      </c>
      <c r="AZ131" s="510">
        <f t="shared" si="21"/>
        <v>-307211.0179867699</v>
      </c>
      <c r="BA131" s="511">
        <f t="shared" si="22"/>
        <v>0</v>
      </c>
      <c r="BB131" s="460"/>
      <c r="BC131" s="464">
        <f t="shared" si="13"/>
        <v>0</v>
      </c>
    </row>
    <row r="132" spans="1:55" ht="15">
      <c r="A132" s="431">
        <v>126</v>
      </c>
      <c r="B132" s="431">
        <v>10</v>
      </c>
      <c r="C132" t="s">
        <v>181</v>
      </c>
      <c r="D132" t="s">
        <v>1662</v>
      </c>
      <c r="E132" s="372">
        <v>-19041.925214999821</v>
      </c>
      <c r="F132" s="372">
        <v>5126.2600349999266</v>
      </c>
      <c r="G132" s="377">
        <v>-159836.59232700005</v>
      </c>
      <c r="H132" s="590">
        <v>-184574.40208000026</v>
      </c>
      <c r="I132" s="358">
        <f t="shared" si="14"/>
        <v>-358326.65958700021</v>
      </c>
      <c r="K132" s="66">
        <f t="shared" si="12"/>
        <v>0</v>
      </c>
      <c r="L132" s="66"/>
      <c r="M132" s="431">
        <v>126</v>
      </c>
      <c r="N132" s="431">
        <v>10</v>
      </c>
      <c r="O132" s="443" t="s">
        <v>181</v>
      </c>
      <c r="P132" s="443" t="s">
        <v>1662</v>
      </c>
      <c r="Q132" s="203">
        <v>-184574.40208000026</v>
      </c>
      <c r="R132" s="457" t="s">
        <v>2509</v>
      </c>
      <c r="S132" s="253"/>
      <c r="T132" s="159">
        <v>125</v>
      </c>
      <c r="U132" t="s">
        <v>181</v>
      </c>
      <c r="V132" t="s">
        <v>1662</v>
      </c>
      <c r="W132" s="372">
        <v>-113441.34</v>
      </c>
      <c r="X132" s="372">
        <v>-19041.925214999821</v>
      </c>
      <c r="Y132" s="377">
        <v>5126.2600349999266</v>
      </c>
      <c r="Z132" s="378">
        <v>-159836.59232700005</v>
      </c>
      <c r="AA132" s="358">
        <f t="shared" si="15"/>
        <v>-287193.59750699997</v>
      </c>
      <c r="AE132" s="159">
        <f t="shared" si="16"/>
        <v>0</v>
      </c>
      <c r="AG132" s="471" t="s">
        <v>181</v>
      </c>
      <c r="AH132" s="467" t="s">
        <v>1662</v>
      </c>
      <c r="AI132" s="475">
        <v>-113441.34</v>
      </c>
      <c r="AJ132" s="475">
        <v>-19041.925214999821</v>
      </c>
      <c r="AK132" s="476">
        <v>5126.2600349999266</v>
      </c>
      <c r="AL132" s="477">
        <v>-159836.59232700005</v>
      </c>
      <c r="AM132" s="478">
        <v>-287193.59750699997</v>
      </c>
      <c r="AN132" s="478"/>
      <c r="AO132" s="467"/>
      <c r="AP132" s="479">
        <f t="shared" si="17"/>
        <v>-173752.25750699994</v>
      </c>
      <c r="AQ132" s="467"/>
      <c r="AR132" s="467"/>
      <c r="AS132" s="509">
        <f t="shared" si="18"/>
        <v>-19041.925214999821</v>
      </c>
      <c r="AT132" s="476">
        <v>5126.2600349999266</v>
      </c>
      <c r="AU132" s="477">
        <v>-159836.59232700005</v>
      </c>
      <c r="AV132" s="494">
        <f t="shared" si="19"/>
        <v>-173752.25750699994</v>
      </c>
      <c r="AW132" s="494">
        <f t="shared" si="20"/>
        <v>0</v>
      </c>
      <c r="AX132" s="468"/>
      <c r="AY132" s="589">
        <v>-184574.40208000026</v>
      </c>
      <c r="AZ132" s="510">
        <f t="shared" si="21"/>
        <v>-358326.65958700021</v>
      </c>
      <c r="BA132" s="511">
        <f t="shared" si="22"/>
        <v>0</v>
      </c>
      <c r="BB132" s="460"/>
      <c r="BC132" s="464">
        <f t="shared" si="13"/>
        <v>0</v>
      </c>
    </row>
    <row r="133" spans="1:55" ht="15">
      <c r="A133" s="431">
        <v>127</v>
      </c>
      <c r="B133" s="431">
        <v>138</v>
      </c>
      <c r="C133" t="s">
        <v>392</v>
      </c>
      <c r="D133" t="s">
        <v>932</v>
      </c>
      <c r="E133" s="372">
        <v>0</v>
      </c>
      <c r="F133" s="372">
        <v>0</v>
      </c>
      <c r="G133" s="377">
        <v>-52186.866178000011</v>
      </c>
      <c r="H133" s="590">
        <v>-151439.62629499997</v>
      </c>
      <c r="I133" s="358">
        <f t="shared" si="14"/>
        <v>-203626.49247299996</v>
      </c>
      <c r="K133" s="66">
        <f t="shared" ref="K133:K196" si="23">+O133-C133</f>
        <v>0</v>
      </c>
      <c r="L133" s="66"/>
      <c r="M133" s="431">
        <v>127</v>
      </c>
      <c r="N133" s="431">
        <v>138</v>
      </c>
      <c r="O133" s="443" t="s">
        <v>392</v>
      </c>
      <c r="P133" s="443" t="s">
        <v>932</v>
      </c>
      <c r="Q133" s="203">
        <v>-151439.62629499997</v>
      </c>
      <c r="R133" s="457" t="s">
        <v>2509</v>
      </c>
      <c r="S133" s="253"/>
      <c r="T133" s="159">
        <v>126</v>
      </c>
      <c r="U133" t="s">
        <v>392</v>
      </c>
      <c r="V133" t="s">
        <v>932</v>
      </c>
      <c r="W133" s="372">
        <v>-126683.17</v>
      </c>
      <c r="X133" s="372">
        <v>0</v>
      </c>
      <c r="Y133" s="377">
        <v>0</v>
      </c>
      <c r="Z133" s="378">
        <v>-52186.866178000011</v>
      </c>
      <c r="AA133" s="358">
        <f t="shared" si="15"/>
        <v>-178870.03617800001</v>
      </c>
      <c r="AE133" s="159">
        <f t="shared" si="16"/>
        <v>0</v>
      </c>
      <c r="AG133" s="471" t="s">
        <v>392</v>
      </c>
      <c r="AH133" s="467" t="s">
        <v>932</v>
      </c>
      <c r="AI133" s="475">
        <v>-126683.17</v>
      </c>
      <c r="AJ133" s="475">
        <v>0</v>
      </c>
      <c r="AK133" s="476">
        <v>0</v>
      </c>
      <c r="AL133" s="477">
        <v>-52186.866178000011</v>
      </c>
      <c r="AM133" s="478">
        <v>-178870.03617800001</v>
      </c>
      <c r="AN133" s="478"/>
      <c r="AO133" s="467"/>
      <c r="AP133" s="479">
        <f t="shared" si="17"/>
        <v>-52186.866178000011</v>
      </c>
      <c r="AQ133" s="467"/>
      <c r="AR133" s="467"/>
      <c r="AS133" s="509">
        <f t="shared" si="18"/>
        <v>0</v>
      </c>
      <c r="AT133" s="476">
        <v>0</v>
      </c>
      <c r="AU133" s="477">
        <v>-52186.866178000011</v>
      </c>
      <c r="AV133" s="494">
        <f t="shared" si="19"/>
        <v>-52186.866178000011</v>
      </c>
      <c r="AW133" s="494">
        <f t="shared" si="20"/>
        <v>0</v>
      </c>
      <c r="AX133" s="468"/>
      <c r="AY133" s="589">
        <v>-151439.62629499997</v>
      </c>
      <c r="AZ133" s="510">
        <f t="shared" si="21"/>
        <v>-203626.49247299996</v>
      </c>
      <c r="BA133" s="511">
        <f t="shared" si="22"/>
        <v>0</v>
      </c>
      <c r="BB133" s="460"/>
      <c r="BC133" s="464">
        <f t="shared" si="13"/>
        <v>0</v>
      </c>
    </row>
    <row r="134" spans="1:55" ht="15">
      <c r="A134" s="431">
        <v>128</v>
      </c>
      <c r="B134" s="431">
        <v>145</v>
      </c>
      <c r="C134" t="s">
        <v>406</v>
      </c>
      <c r="D134" t="s">
        <v>407</v>
      </c>
      <c r="E134" s="372">
        <v>-55435.333620000019</v>
      </c>
      <c r="F134" s="372">
        <v>-79225.946079999994</v>
      </c>
      <c r="G134" s="377">
        <v>-28852.619999999944</v>
      </c>
      <c r="H134" s="590">
        <v>-47835.834713000033</v>
      </c>
      <c r="I134" s="358">
        <f t="shared" si="14"/>
        <v>-211349.734413</v>
      </c>
      <c r="K134" s="66">
        <f t="shared" si="23"/>
        <v>0</v>
      </c>
      <c r="L134" s="66"/>
      <c r="M134" s="431">
        <v>128</v>
      </c>
      <c r="N134" s="431">
        <v>145</v>
      </c>
      <c r="O134" s="443" t="s">
        <v>406</v>
      </c>
      <c r="P134" s="443" t="s">
        <v>407</v>
      </c>
      <c r="Q134" s="203">
        <v>-47835.834713000033</v>
      </c>
      <c r="R134" s="457" t="s">
        <v>2509</v>
      </c>
      <c r="S134" s="253"/>
      <c r="T134" s="159">
        <v>127</v>
      </c>
      <c r="U134" t="s">
        <v>406</v>
      </c>
      <c r="V134" t="s">
        <v>407</v>
      </c>
      <c r="W134" s="372">
        <v>-81333.509999999995</v>
      </c>
      <c r="X134" s="372">
        <v>-55435.333620000019</v>
      </c>
      <c r="Y134" s="377">
        <v>-79225.946079999994</v>
      </c>
      <c r="Z134" s="378">
        <v>-28852.619999999944</v>
      </c>
      <c r="AA134" s="358">
        <f t="shared" si="15"/>
        <v>-244847.40969999993</v>
      </c>
      <c r="AE134" s="159">
        <f t="shared" si="16"/>
        <v>0</v>
      </c>
      <c r="AG134" s="471" t="s">
        <v>406</v>
      </c>
      <c r="AH134" s="467" t="s">
        <v>407</v>
      </c>
      <c r="AI134" s="475">
        <v>-81333.509999999995</v>
      </c>
      <c r="AJ134" s="475">
        <v>-55435.333620000019</v>
      </c>
      <c r="AK134" s="476">
        <v>-79225.946079999994</v>
      </c>
      <c r="AL134" s="477">
        <v>-28852.619999999944</v>
      </c>
      <c r="AM134" s="478">
        <v>-244847.40969999993</v>
      </c>
      <c r="AN134" s="478"/>
      <c r="AO134" s="467"/>
      <c r="AP134" s="479">
        <f t="shared" si="17"/>
        <v>-163513.89969999995</v>
      </c>
      <c r="AQ134" s="467"/>
      <c r="AR134" s="467"/>
      <c r="AS134" s="509">
        <f t="shared" si="18"/>
        <v>-55435.333620000019</v>
      </c>
      <c r="AT134" s="476">
        <v>-79225.946079999994</v>
      </c>
      <c r="AU134" s="477">
        <v>-28852.619999999944</v>
      </c>
      <c r="AV134" s="494">
        <f t="shared" si="19"/>
        <v>-163513.89969999995</v>
      </c>
      <c r="AW134" s="494">
        <f t="shared" si="20"/>
        <v>0</v>
      </c>
      <c r="AX134" s="468"/>
      <c r="AY134" s="589">
        <v>-47835.834713000033</v>
      </c>
      <c r="AZ134" s="510">
        <f t="shared" si="21"/>
        <v>-211349.734413</v>
      </c>
      <c r="BA134" s="511">
        <f t="shared" si="22"/>
        <v>0</v>
      </c>
      <c r="BB134" s="460"/>
      <c r="BC134" s="464">
        <f t="shared" si="13"/>
        <v>0</v>
      </c>
    </row>
    <row r="135" spans="1:55" ht="15">
      <c r="A135" s="431">
        <v>129</v>
      </c>
      <c r="B135" s="431">
        <v>222</v>
      </c>
      <c r="C135" t="s">
        <v>550</v>
      </c>
      <c r="D135" t="s">
        <v>1000</v>
      </c>
      <c r="E135" s="372">
        <v>-35704.441413999979</v>
      </c>
      <c r="F135" s="372">
        <v>-253798.16301999998</v>
      </c>
      <c r="G135" s="377">
        <v>-193825.58964399996</v>
      </c>
      <c r="H135" s="590">
        <v>-133906.41420799989</v>
      </c>
      <c r="I135" s="358">
        <f>SUM(E135:H135)</f>
        <v>-617234.60828599986</v>
      </c>
      <c r="K135" s="66">
        <f t="shared" si="23"/>
        <v>0</v>
      </c>
      <c r="L135" s="66"/>
      <c r="M135" s="431">
        <v>129</v>
      </c>
      <c r="N135" s="431">
        <v>222</v>
      </c>
      <c r="O135" s="443" t="s">
        <v>550</v>
      </c>
      <c r="P135" s="443" t="s">
        <v>1000</v>
      </c>
      <c r="Q135" s="203">
        <v>-133906.41420799989</v>
      </c>
      <c r="R135" s="457" t="s">
        <v>2509</v>
      </c>
      <c r="S135" s="253"/>
      <c r="T135" s="159">
        <v>129</v>
      </c>
      <c r="U135" t="s">
        <v>550</v>
      </c>
      <c r="V135" t="s">
        <v>1000</v>
      </c>
      <c r="W135" s="372">
        <v>-301009.53999999998</v>
      </c>
      <c r="X135" s="372">
        <v>-35704.441413999979</v>
      </c>
      <c r="Y135" s="377">
        <v>-253798.16301999998</v>
      </c>
      <c r="Z135" s="378">
        <v>-193825.58964399996</v>
      </c>
      <c r="AA135" s="358">
        <f>SUM(W135:Z135)</f>
        <v>-784337.73407799983</v>
      </c>
      <c r="AE135" s="159">
        <f>+AG135-U135</f>
        <v>0</v>
      </c>
      <c r="AG135" s="471" t="s">
        <v>550</v>
      </c>
      <c r="AH135" s="467" t="s">
        <v>1000</v>
      </c>
      <c r="AI135" s="475">
        <v>-301009.53999999998</v>
      </c>
      <c r="AJ135" s="475">
        <v>-35704.441413999979</v>
      </c>
      <c r="AK135" s="476">
        <v>-253798.16301999998</v>
      </c>
      <c r="AL135" s="477">
        <v>-193825.58964399996</v>
      </c>
      <c r="AM135" s="478">
        <v>-784337.73407799983</v>
      </c>
      <c r="AN135" s="478"/>
      <c r="AO135" s="467"/>
      <c r="AP135" s="479">
        <f>SUM(AJ135:AL135)</f>
        <v>-483328.19407799991</v>
      </c>
      <c r="AQ135" s="467"/>
      <c r="AR135" s="467"/>
      <c r="AS135" s="509">
        <f>+AJ135</f>
        <v>-35704.441413999979</v>
      </c>
      <c r="AT135" s="476">
        <v>-253798.16301999998</v>
      </c>
      <c r="AU135" s="477">
        <v>-193825.58964399996</v>
      </c>
      <c r="AV135" s="494">
        <f>SUM(AS135:AU135)</f>
        <v>-483328.19407799991</v>
      </c>
      <c r="AW135" s="494">
        <f>+AV135-AP135</f>
        <v>0</v>
      </c>
      <c r="AX135" s="468"/>
      <c r="AY135" s="589">
        <v>-133906.41420799989</v>
      </c>
      <c r="AZ135" s="510">
        <f>+AY135+AV135</f>
        <v>-617234.60828599986</v>
      </c>
      <c r="BA135" s="511">
        <f>+AZ135-I135</f>
        <v>0</v>
      </c>
      <c r="BB135" s="460"/>
      <c r="BC135" s="464">
        <f t="shared" ref="BC135:BC198" si="24">+O135-C135</f>
        <v>0</v>
      </c>
    </row>
    <row r="136" spans="1:55" ht="15">
      <c r="A136" s="431">
        <v>130</v>
      </c>
      <c r="B136" s="431">
        <v>31</v>
      </c>
      <c r="C136" t="s">
        <v>217</v>
      </c>
      <c r="D136" t="s">
        <v>1599</v>
      </c>
      <c r="E136" s="372">
        <v>-320978.99953200005</v>
      </c>
      <c r="F136" s="372">
        <v>0</v>
      </c>
      <c r="G136" s="377">
        <v>-112047.04512600007</v>
      </c>
      <c r="H136" s="590">
        <v>-135661.51593599992</v>
      </c>
      <c r="I136" s="358">
        <f t="shared" si="14"/>
        <v>-568687.56059400004</v>
      </c>
      <c r="K136" s="66">
        <f t="shared" si="23"/>
        <v>0</v>
      </c>
      <c r="L136" s="66"/>
      <c r="M136" s="431">
        <v>130</v>
      </c>
      <c r="N136" s="431">
        <v>31</v>
      </c>
      <c r="O136" s="443" t="s">
        <v>217</v>
      </c>
      <c r="P136" s="443" t="s">
        <v>1599</v>
      </c>
      <c r="Q136" s="203">
        <v>-135661.51593599992</v>
      </c>
      <c r="R136" s="457" t="s">
        <v>2509</v>
      </c>
      <c r="S136" s="253"/>
      <c r="T136" s="159">
        <v>128</v>
      </c>
      <c r="U136" t="s">
        <v>217</v>
      </c>
      <c r="V136" t="s">
        <v>1599</v>
      </c>
      <c r="W136" s="372">
        <v>-207842.92</v>
      </c>
      <c r="X136" s="372">
        <v>-320978.99953200005</v>
      </c>
      <c r="Y136" s="377">
        <v>0</v>
      </c>
      <c r="Z136" s="378">
        <v>-112047.04512600007</v>
      </c>
      <c r="AA136" s="358">
        <f t="shared" si="15"/>
        <v>-640868.96465800016</v>
      </c>
      <c r="AE136" s="159">
        <f t="shared" si="16"/>
        <v>0</v>
      </c>
      <c r="AG136" s="471" t="s">
        <v>217</v>
      </c>
      <c r="AH136" s="467" t="s">
        <v>1599</v>
      </c>
      <c r="AI136" s="475">
        <v>-207842.92</v>
      </c>
      <c r="AJ136" s="475">
        <v>-320978.99953200005</v>
      </c>
      <c r="AK136" s="476">
        <v>0</v>
      </c>
      <c r="AL136" s="477">
        <v>-112047.04512600007</v>
      </c>
      <c r="AM136" s="478">
        <v>-640868.96465800016</v>
      </c>
      <c r="AN136" s="478"/>
      <c r="AO136" s="467"/>
      <c r="AP136" s="479">
        <f t="shared" si="17"/>
        <v>-433026.04465800012</v>
      </c>
      <c r="AQ136" s="467"/>
      <c r="AR136" s="467"/>
      <c r="AS136" s="509">
        <f t="shared" si="18"/>
        <v>-320978.99953200005</v>
      </c>
      <c r="AT136" s="476">
        <v>0</v>
      </c>
      <c r="AU136" s="477">
        <v>-112047.04512600007</v>
      </c>
      <c r="AV136" s="494">
        <f t="shared" si="19"/>
        <v>-433026.04465800012</v>
      </c>
      <c r="AW136" s="494">
        <f t="shared" si="20"/>
        <v>0</v>
      </c>
      <c r="AX136" s="468"/>
      <c r="AY136" s="589">
        <v>-135661.51593599992</v>
      </c>
      <c r="AZ136" s="510">
        <f t="shared" si="21"/>
        <v>-568687.56059400004</v>
      </c>
      <c r="BA136" s="511">
        <f t="shared" si="22"/>
        <v>0</v>
      </c>
      <c r="BB136" s="460"/>
      <c r="BC136" s="464">
        <f t="shared" si="24"/>
        <v>0</v>
      </c>
    </row>
    <row r="137" spans="1:55" ht="15">
      <c r="A137" s="431">
        <v>131</v>
      </c>
      <c r="B137" s="431">
        <v>301</v>
      </c>
      <c r="C137" s="347" t="s">
        <v>685</v>
      </c>
      <c r="D137" s="348" t="s">
        <v>686</v>
      </c>
      <c r="E137" s="380">
        <v>0</v>
      </c>
      <c r="F137" s="371"/>
      <c r="G137" s="377"/>
      <c r="H137" s="590">
        <v>-131497.41867799999</v>
      </c>
      <c r="I137" s="358">
        <f t="shared" ref="I137:I200" si="25">SUM(E137:H137)</f>
        <v>-131497.41867799999</v>
      </c>
      <c r="K137" s="66">
        <f t="shared" si="23"/>
        <v>0</v>
      </c>
      <c r="L137" s="66"/>
      <c r="M137" s="431">
        <v>131</v>
      </c>
      <c r="N137" s="431">
        <v>301</v>
      </c>
      <c r="O137" s="443" t="s">
        <v>685</v>
      </c>
      <c r="P137" s="443" t="s">
        <v>2499</v>
      </c>
      <c r="Q137" s="203">
        <v>-131497.41867799999</v>
      </c>
      <c r="R137" s="457" t="s">
        <v>2509</v>
      </c>
      <c r="S137" s="253"/>
      <c r="T137" s="159">
        <v>130</v>
      </c>
      <c r="U137" s="347" t="s">
        <v>685</v>
      </c>
      <c r="V137" s="348" t="s">
        <v>686</v>
      </c>
      <c r="W137" s="380">
        <v>0</v>
      </c>
      <c r="X137" s="371"/>
      <c r="Y137" s="377"/>
      <c r="Z137" s="253"/>
      <c r="AA137" s="358">
        <f t="shared" ref="AA137:AA200" si="26">SUM(W137:Z137)</f>
        <v>0</v>
      </c>
      <c r="AE137" s="159">
        <f t="shared" ref="AE137:AE200" si="27">+AG137-U137</f>
        <v>0</v>
      </c>
      <c r="AG137" s="471" t="s">
        <v>685</v>
      </c>
      <c r="AH137" s="467" t="s">
        <v>686</v>
      </c>
      <c r="AI137" s="484">
        <v>0</v>
      </c>
      <c r="AJ137" s="485"/>
      <c r="AK137" s="476"/>
      <c r="AL137" s="494"/>
      <c r="AM137" s="478">
        <v>0</v>
      </c>
      <c r="AN137" s="478"/>
      <c r="AO137" s="467"/>
      <c r="AP137" s="479">
        <f t="shared" ref="AP137:AP200" si="28">SUM(AJ137:AL137)</f>
        <v>0</v>
      </c>
      <c r="AQ137" s="467"/>
      <c r="AR137" s="467"/>
      <c r="AS137" s="509">
        <f t="shared" ref="AS137:AS199" si="29">+AJ137</f>
        <v>0</v>
      </c>
      <c r="AT137" s="476"/>
      <c r="AU137" s="494"/>
      <c r="AV137" s="494">
        <f t="shared" ref="AV137:AV200" si="30">SUM(AS137:AU137)</f>
        <v>0</v>
      </c>
      <c r="AW137" s="494">
        <f t="shared" ref="AW137:AW199" si="31">+AV137-AP137</f>
        <v>0</v>
      </c>
      <c r="AX137" s="468"/>
      <c r="AY137" s="589">
        <v>-131497.41867799999</v>
      </c>
      <c r="AZ137" s="510">
        <f t="shared" ref="AZ137:AZ200" si="32">+AY137+AV137</f>
        <v>-131497.41867799999</v>
      </c>
      <c r="BA137" s="511">
        <f t="shared" ref="BA137:BA200" si="33">+AZ137-I137</f>
        <v>0</v>
      </c>
      <c r="BB137" s="460"/>
      <c r="BC137" s="464">
        <f t="shared" si="24"/>
        <v>0</v>
      </c>
    </row>
    <row r="138" spans="1:55" ht="15">
      <c r="A138" s="431">
        <v>132</v>
      </c>
      <c r="B138" s="431">
        <v>17</v>
      </c>
      <c r="C138" t="s">
        <v>195</v>
      </c>
      <c r="D138" t="s">
        <v>840</v>
      </c>
      <c r="E138" s="372">
        <v>-199704.30309800003</v>
      </c>
      <c r="F138" s="372">
        <v>-77452.386015999946</v>
      </c>
      <c r="G138" s="377">
        <v>-208117.81705599991</v>
      </c>
      <c r="H138" s="590">
        <v>-171193.85223800002</v>
      </c>
      <c r="I138" s="358">
        <f t="shared" si="25"/>
        <v>-656468.35840799985</v>
      </c>
      <c r="K138" s="66">
        <f t="shared" si="23"/>
        <v>0</v>
      </c>
      <c r="L138" s="66"/>
      <c r="M138" s="431">
        <v>132</v>
      </c>
      <c r="N138" s="431">
        <v>17</v>
      </c>
      <c r="O138" s="443" t="s">
        <v>195</v>
      </c>
      <c r="P138" s="443" t="s">
        <v>840</v>
      </c>
      <c r="Q138" s="203">
        <v>-171193.85223800002</v>
      </c>
      <c r="R138" s="457" t="s">
        <v>2509</v>
      </c>
      <c r="S138" s="253"/>
      <c r="T138" s="159">
        <v>131</v>
      </c>
      <c r="U138" t="s">
        <v>195</v>
      </c>
      <c r="V138" t="s">
        <v>840</v>
      </c>
      <c r="W138" s="372">
        <v>-213669.82</v>
      </c>
      <c r="X138" s="372">
        <v>-199704.30309800003</v>
      </c>
      <c r="Y138" s="377">
        <v>-77452.386015999946</v>
      </c>
      <c r="Z138" s="378">
        <v>-208117.81705599991</v>
      </c>
      <c r="AA138" s="358">
        <f t="shared" si="26"/>
        <v>-698944.3261699999</v>
      </c>
      <c r="AE138" s="159">
        <f t="shared" si="27"/>
        <v>0</v>
      </c>
      <c r="AG138" s="471" t="s">
        <v>195</v>
      </c>
      <c r="AH138" s="467" t="s">
        <v>840</v>
      </c>
      <c r="AI138" s="475">
        <v>-213669.82</v>
      </c>
      <c r="AJ138" s="475">
        <v>-199704.30309800003</v>
      </c>
      <c r="AK138" s="476">
        <v>-77452.386015999946</v>
      </c>
      <c r="AL138" s="477">
        <v>-208117.81705599991</v>
      </c>
      <c r="AM138" s="478">
        <v>-698944.3261699999</v>
      </c>
      <c r="AN138" s="478"/>
      <c r="AO138" s="467"/>
      <c r="AP138" s="479">
        <f t="shared" si="28"/>
        <v>-485274.50616999983</v>
      </c>
      <c r="AQ138" s="467"/>
      <c r="AR138" s="467"/>
      <c r="AS138" s="509">
        <f t="shared" si="29"/>
        <v>-199704.30309800003</v>
      </c>
      <c r="AT138" s="476">
        <v>-77452.386015999946</v>
      </c>
      <c r="AU138" s="477">
        <v>-208117.81705599991</v>
      </c>
      <c r="AV138" s="494">
        <f t="shared" si="30"/>
        <v>-485274.50616999983</v>
      </c>
      <c r="AW138" s="494">
        <f t="shared" si="31"/>
        <v>0</v>
      </c>
      <c r="AX138" s="468"/>
      <c r="AY138" s="589">
        <v>-171193.85223800002</v>
      </c>
      <c r="AZ138" s="510">
        <f t="shared" si="32"/>
        <v>-656468.35840799985</v>
      </c>
      <c r="BA138" s="511">
        <f t="shared" si="33"/>
        <v>0</v>
      </c>
      <c r="BB138" s="460"/>
      <c r="BC138" s="464">
        <f t="shared" si="24"/>
        <v>0</v>
      </c>
    </row>
    <row r="139" spans="1:55" ht="15">
      <c r="A139" s="431">
        <v>133</v>
      </c>
      <c r="B139" s="431">
        <v>231</v>
      </c>
      <c r="C139" t="s">
        <v>566</v>
      </c>
      <c r="D139" t="s">
        <v>1005</v>
      </c>
      <c r="E139" s="372">
        <v>0</v>
      </c>
      <c r="F139" s="372">
        <v>0</v>
      </c>
      <c r="G139" s="377">
        <v>-1167208.2769294721</v>
      </c>
      <c r="H139" s="590">
        <v>-1052685.1116050007</v>
      </c>
      <c r="I139" s="358">
        <f t="shared" si="25"/>
        <v>-2219893.3885344728</v>
      </c>
      <c r="K139" s="66">
        <f t="shared" si="23"/>
        <v>0</v>
      </c>
      <c r="L139" s="66"/>
      <c r="M139" s="431">
        <v>133</v>
      </c>
      <c r="N139" s="431">
        <v>231</v>
      </c>
      <c r="O139" s="443" t="s">
        <v>566</v>
      </c>
      <c r="P139" s="449" t="s">
        <v>1005</v>
      </c>
      <c r="Q139" s="203">
        <v>-1052685.1116050007</v>
      </c>
      <c r="R139" s="457" t="s">
        <v>2509</v>
      </c>
      <c r="S139" s="253"/>
      <c r="T139" s="159">
        <v>132</v>
      </c>
      <c r="U139" t="s">
        <v>566</v>
      </c>
      <c r="V139" t="s">
        <v>1005</v>
      </c>
      <c r="W139" s="372">
        <v>-179997.16</v>
      </c>
      <c r="X139" s="372">
        <v>0</v>
      </c>
      <c r="Y139" s="377">
        <v>0</v>
      </c>
      <c r="Z139" s="378">
        <v>-1167208.2769294721</v>
      </c>
      <c r="AA139" s="358">
        <f t="shared" si="26"/>
        <v>-1347205.436929472</v>
      </c>
      <c r="AE139" s="159">
        <f t="shared" si="27"/>
        <v>0</v>
      </c>
      <c r="AG139" s="471" t="s">
        <v>566</v>
      </c>
      <c r="AH139" s="467" t="s">
        <v>1005</v>
      </c>
      <c r="AI139" s="475">
        <v>-179997.16</v>
      </c>
      <c r="AJ139" s="475">
        <v>0</v>
      </c>
      <c r="AK139" s="476">
        <v>0</v>
      </c>
      <c r="AL139" s="477">
        <v>-1167208.2769294721</v>
      </c>
      <c r="AM139" s="478">
        <v>-1347205.436929472</v>
      </c>
      <c r="AN139" s="478"/>
      <c r="AO139" s="467"/>
      <c r="AP139" s="479">
        <f t="shared" si="28"/>
        <v>-1167208.2769294721</v>
      </c>
      <c r="AQ139" s="467"/>
      <c r="AR139" s="467"/>
      <c r="AS139" s="509">
        <f t="shared" si="29"/>
        <v>0</v>
      </c>
      <c r="AT139" s="476">
        <v>0</v>
      </c>
      <c r="AU139" s="477">
        <v>-1167208.2769294721</v>
      </c>
      <c r="AV139" s="494">
        <f t="shared" si="30"/>
        <v>-1167208.2769294721</v>
      </c>
      <c r="AW139" s="494">
        <f t="shared" si="31"/>
        <v>0</v>
      </c>
      <c r="AX139" s="468"/>
      <c r="AY139" s="589">
        <v>-1052685.1116050007</v>
      </c>
      <c r="AZ139" s="510">
        <f t="shared" si="32"/>
        <v>-2219893.3885344728</v>
      </c>
      <c r="BA139" s="511">
        <f t="shared" si="33"/>
        <v>0</v>
      </c>
      <c r="BB139" s="460"/>
      <c r="BC139" s="464">
        <f t="shared" si="24"/>
        <v>0</v>
      </c>
    </row>
    <row r="140" spans="1:55" ht="15">
      <c r="A140" s="431">
        <v>134</v>
      </c>
      <c r="B140" s="431">
        <v>113</v>
      </c>
      <c r="C140" t="s">
        <v>368</v>
      </c>
      <c r="D140" t="s">
        <v>922</v>
      </c>
      <c r="E140" s="372">
        <v>0</v>
      </c>
      <c r="F140" s="372">
        <v>0</v>
      </c>
      <c r="G140" s="378">
        <v>826894.11</v>
      </c>
      <c r="H140" s="590">
        <v>-533419.21506099962</v>
      </c>
      <c r="I140" s="358">
        <f t="shared" si="25"/>
        <v>293474.89493900037</v>
      </c>
      <c r="K140" s="66">
        <f t="shared" si="23"/>
        <v>0</v>
      </c>
      <c r="L140" s="66"/>
      <c r="M140" s="431">
        <v>134</v>
      </c>
      <c r="N140" s="431">
        <v>113</v>
      </c>
      <c r="O140" s="443" t="s">
        <v>368</v>
      </c>
      <c r="P140" s="449" t="s">
        <v>922</v>
      </c>
      <c r="Q140" s="203">
        <v>-533419.21506099962</v>
      </c>
      <c r="R140" s="457" t="s">
        <v>2509</v>
      </c>
      <c r="S140" s="253"/>
      <c r="T140" s="159">
        <v>133</v>
      </c>
      <c r="U140" t="s">
        <v>368</v>
      </c>
      <c r="V140" t="s">
        <v>922</v>
      </c>
      <c r="W140" s="372">
        <v>-473734.72</v>
      </c>
      <c r="X140" s="372">
        <v>0</v>
      </c>
      <c r="Y140" s="377">
        <v>0</v>
      </c>
      <c r="Z140" s="378">
        <v>1300628.8290227333</v>
      </c>
      <c r="AA140" s="358">
        <f t="shared" si="26"/>
        <v>826894.10902273329</v>
      </c>
      <c r="AE140" s="159">
        <f t="shared" si="27"/>
        <v>0</v>
      </c>
      <c r="AG140" s="471" t="s">
        <v>368</v>
      </c>
      <c r="AH140" s="467" t="s">
        <v>922</v>
      </c>
      <c r="AI140" s="480">
        <v>-473734.72</v>
      </c>
      <c r="AJ140" s="475">
        <v>0</v>
      </c>
      <c r="AK140" s="476">
        <v>0</v>
      </c>
      <c r="AL140" s="482">
        <v>1300628.8290227333</v>
      </c>
      <c r="AM140" s="478">
        <v>826894.10902273329</v>
      </c>
      <c r="AN140" s="478"/>
      <c r="AO140" s="467"/>
      <c r="AP140" s="479">
        <f t="shared" si="28"/>
        <v>1300628.8290227333</v>
      </c>
      <c r="AQ140" s="467"/>
      <c r="AR140" s="467"/>
      <c r="AS140" s="509">
        <f t="shared" si="29"/>
        <v>0</v>
      </c>
      <c r="AT140" s="476">
        <v>0</v>
      </c>
      <c r="AU140" s="482">
        <v>826894.11</v>
      </c>
      <c r="AV140" s="494">
        <f t="shared" si="30"/>
        <v>826894.11</v>
      </c>
      <c r="AW140" s="513">
        <f>+AV140-AM140</f>
        <v>9.7726669628173113E-4</v>
      </c>
      <c r="AX140" s="468"/>
      <c r="AY140" s="589">
        <v>-533419.21506099962</v>
      </c>
      <c r="AZ140" s="510">
        <f t="shared" si="32"/>
        <v>293474.89493900037</v>
      </c>
      <c r="BA140" s="511">
        <f t="shared" si="33"/>
        <v>0</v>
      </c>
      <c r="BB140" s="460"/>
      <c r="BC140" s="464">
        <f t="shared" si="24"/>
        <v>0</v>
      </c>
    </row>
    <row r="141" spans="1:55" ht="15">
      <c r="A141" s="431">
        <v>135</v>
      </c>
      <c r="B141" s="431">
        <v>239</v>
      </c>
      <c r="C141" t="s">
        <v>582</v>
      </c>
      <c r="D141" t="s">
        <v>1013</v>
      </c>
      <c r="E141" s="372">
        <v>-137726.69743200013</v>
      </c>
      <c r="F141" s="372">
        <v>0</v>
      </c>
      <c r="G141" s="377">
        <v>18119.635444000203</v>
      </c>
      <c r="H141" s="590">
        <v>-227658.07767700031</v>
      </c>
      <c r="I141" s="358">
        <f t="shared" si="25"/>
        <v>-347265.13966500026</v>
      </c>
      <c r="K141" s="66">
        <f t="shared" si="23"/>
        <v>0</v>
      </c>
      <c r="L141" s="66"/>
      <c r="M141" s="431">
        <v>135</v>
      </c>
      <c r="N141" s="431">
        <v>239</v>
      </c>
      <c r="O141" s="443" t="s">
        <v>582</v>
      </c>
      <c r="P141" s="443" t="s">
        <v>1013</v>
      </c>
      <c r="Q141" s="203">
        <v>-227658.07767700031</v>
      </c>
      <c r="R141" s="457" t="s">
        <v>2509</v>
      </c>
      <c r="S141" s="253"/>
      <c r="T141" s="159">
        <v>134</v>
      </c>
      <c r="U141" t="s">
        <v>582</v>
      </c>
      <c r="V141" t="s">
        <v>1013</v>
      </c>
      <c r="W141" s="372">
        <v>-100309.47</v>
      </c>
      <c r="X141" s="372">
        <v>-137726.69743200013</v>
      </c>
      <c r="Y141" s="377">
        <v>0</v>
      </c>
      <c r="Z141" s="378">
        <v>18119.635444000203</v>
      </c>
      <c r="AA141" s="358">
        <f t="shared" si="26"/>
        <v>-219916.53198799992</v>
      </c>
      <c r="AE141" s="159">
        <f t="shared" si="27"/>
        <v>0</v>
      </c>
      <c r="AG141" s="471" t="s">
        <v>582</v>
      </c>
      <c r="AH141" s="467" t="s">
        <v>1013</v>
      </c>
      <c r="AI141" s="475">
        <v>-100309.47</v>
      </c>
      <c r="AJ141" s="475">
        <v>-137726.69743200013</v>
      </c>
      <c r="AK141" s="476">
        <v>0</v>
      </c>
      <c r="AL141" s="477">
        <v>18119.635444000203</v>
      </c>
      <c r="AM141" s="478">
        <v>-219916.53198799992</v>
      </c>
      <c r="AN141" s="478"/>
      <c r="AO141" s="467"/>
      <c r="AP141" s="479">
        <f t="shared" si="28"/>
        <v>-119607.06198799993</v>
      </c>
      <c r="AQ141" s="467"/>
      <c r="AR141" s="467"/>
      <c r="AS141" s="509">
        <f t="shared" si="29"/>
        <v>-137726.69743200013</v>
      </c>
      <c r="AT141" s="476">
        <v>0</v>
      </c>
      <c r="AU141" s="477">
        <v>18119.635444000203</v>
      </c>
      <c r="AV141" s="494">
        <f t="shared" si="30"/>
        <v>-119607.06198799993</v>
      </c>
      <c r="AW141" s="494">
        <f t="shared" si="31"/>
        <v>0</v>
      </c>
      <c r="AX141" s="468"/>
      <c r="AY141" s="589">
        <v>-227658.07767700031</v>
      </c>
      <c r="AZ141" s="510">
        <f t="shared" si="32"/>
        <v>-347265.13966500026</v>
      </c>
      <c r="BA141" s="511">
        <f t="shared" si="33"/>
        <v>0</v>
      </c>
      <c r="BB141" s="460"/>
      <c r="BC141" s="464">
        <f t="shared" si="24"/>
        <v>0</v>
      </c>
    </row>
    <row r="142" spans="1:55" ht="15">
      <c r="A142" s="431">
        <v>136</v>
      </c>
      <c r="B142" s="431">
        <v>302</v>
      </c>
      <c r="C142" t="s">
        <v>687</v>
      </c>
      <c r="D142" t="s">
        <v>1059</v>
      </c>
      <c r="E142" s="372">
        <v>-15880.926325000011</v>
      </c>
      <c r="F142" s="372">
        <v>-23548.804125999995</v>
      </c>
      <c r="G142" s="377">
        <v>-45664.84406399999</v>
      </c>
      <c r="H142" s="590">
        <v>-21493.423645999996</v>
      </c>
      <c r="I142" s="358">
        <f t="shared" si="25"/>
        <v>-106587.998161</v>
      </c>
      <c r="K142" s="66">
        <f t="shared" si="23"/>
        <v>0</v>
      </c>
      <c r="L142" s="66"/>
      <c r="M142" s="431">
        <v>136</v>
      </c>
      <c r="N142" s="431">
        <v>302</v>
      </c>
      <c r="O142" s="443" t="s">
        <v>687</v>
      </c>
      <c r="P142" s="443" t="s">
        <v>1059</v>
      </c>
      <c r="Q142" s="203">
        <v>-21493.423645999996</v>
      </c>
      <c r="R142" s="457" t="s">
        <v>2509</v>
      </c>
      <c r="S142" s="253"/>
      <c r="T142" s="159">
        <v>135</v>
      </c>
      <c r="U142" t="s">
        <v>687</v>
      </c>
      <c r="V142" t="s">
        <v>1059</v>
      </c>
      <c r="W142" s="372">
        <v>-16668.04</v>
      </c>
      <c r="X142" s="372">
        <v>-15880.926325000011</v>
      </c>
      <c r="Y142" s="377">
        <v>-23548.804125999995</v>
      </c>
      <c r="Z142" s="378">
        <v>-45664.84406399999</v>
      </c>
      <c r="AA142" s="358">
        <f t="shared" si="26"/>
        <v>-101762.61451499999</v>
      </c>
      <c r="AE142" s="159">
        <f t="shared" si="27"/>
        <v>0</v>
      </c>
      <c r="AG142" s="471" t="s">
        <v>687</v>
      </c>
      <c r="AH142" s="467" t="s">
        <v>1059</v>
      </c>
      <c r="AI142" s="475">
        <v>-16668.04</v>
      </c>
      <c r="AJ142" s="475">
        <v>-15880.926325000011</v>
      </c>
      <c r="AK142" s="476">
        <v>-23548.804125999995</v>
      </c>
      <c r="AL142" s="477">
        <v>-45664.84406399999</v>
      </c>
      <c r="AM142" s="478">
        <v>-101762.61451499999</v>
      </c>
      <c r="AN142" s="478"/>
      <c r="AO142" s="467"/>
      <c r="AP142" s="479">
        <f t="shared" si="28"/>
        <v>-85094.574515</v>
      </c>
      <c r="AQ142" s="467"/>
      <c r="AR142" s="467"/>
      <c r="AS142" s="509">
        <f t="shared" si="29"/>
        <v>-15880.926325000011</v>
      </c>
      <c r="AT142" s="476">
        <v>-23548.804125999995</v>
      </c>
      <c r="AU142" s="477">
        <v>-45664.84406399999</v>
      </c>
      <c r="AV142" s="494">
        <f t="shared" si="30"/>
        <v>-85094.574515</v>
      </c>
      <c r="AW142" s="494">
        <f t="shared" si="31"/>
        <v>0</v>
      </c>
      <c r="AX142" s="468"/>
      <c r="AY142" s="589">
        <v>-21493.423645999996</v>
      </c>
      <c r="AZ142" s="510">
        <f t="shared" si="32"/>
        <v>-106587.998161</v>
      </c>
      <c r="BA142" s="511">
        <f t="shared" si="33"/>
        <v>0</v>
      </c>
      <c r="BB142" s="460"/>
      <c r="BC142" s="464">
        <f t="shared" si="24"/>
        <v>0</v>
      </c>
    </row>
    <row r="143" spans="1:55" ht="15">
      <c r="A143" s="431">
        <v>137</v>
      </c>
      <c r="B143" s="431">
        <v>254</v>
      </c>
      <c r="C143" t="s">
        <v>611</v>
      </c>
      <c r="D143" t="s">
        <v>1024</v>
      </c>
      <c r="E143" s="372">
        <v>-19420.016694999984</v>
      </c>
      <c r="F143" s="372">
        <v>0</v>
      </c>
      <c r="G143" s="377">
        <v>-66811.204494999969</v>
      </c>
      <c r="H143" s="590">
        <v>-79187.535976000072</v>
      </c>
      <c r="I143" s="358">
        <f t="shared" si="25"/>
        <v>-165418.75716600002</v>
      </c>
      <c r="K143" s="66">
        <f t="shared" si="23"/>
        <v>0</v>
      </c>
      <c r="L143" s="66"/>
      <c r="M143" s="431">
        <v>137</v>
      </c>
      <c r="N143" s="431">
        <v>254</v>
      </c>
      <c r="O143" s="443" t="s">
        <v>611</v>
      </c>
      <c r="P143" s="443" t="s">
        <v>1024</v>
      </c>
      <c r="Q143" s="203">
        <v>-79187.535976000072</v>
      </c>
      <c r="R143" s="457" t="s">
        <v>2509</v>
      </c>
      <c r="S143" s="253"/>
      <c r="T143" s="159">
        <v>136</v>
      </c>
      <c r="U143" t="s">
        <v>611</v>
      </c>
      <c r="V143" t="s">
        <v>1024</v>
      </c>
      <c r="W143" s="372">
        <v>-80357.31</v>
      </c>
      <c r="X143" s="372">
        <v>-19420.016694999984</v>
      </c>
      <c r="Y143" s="377">
        <v>0</v>
      </c>
      <c r="Z143" s="378">
        <v>-66811.204494999969</v>
      </c>
      <c r="AA143" s="358">
        <f t="shared" si="26"/>
        <v>-166588.53118999995</v>
      </c>
      <c r="AE143" s="159">
        <f t="shared" si="27"/>
        <v>0</v>
      </c>
      <c r="AG143" s="471" t="s">
        <v>611</v>
      </c>
      <c r="AH143" s="467" t="s">
        <v>1024</v>
      </c>
      <c r="AI143" s="475">
        <v>-80357.31</v>
      </c>
      <c r="AJ143" s="475">
        <v>-19420.016694999984</v>
      </c>
      <c r="AK143" s="476">
        <v>0</v>
      </c>
      <c r="AL143" s="477">
        <v>-66811.204494999969</v>
      </c>
      <c r="AM143" s="478">
        <v>-166588.53118999995</v>
      </c>
      <c r="AN143" s="478"/>
      <c r="AO143" s="467"/>
      <c r="AP143" s="479">
        <f t="shared" si="28"/>
        <v>-86231.221189999953</v>
      </c>
      <c r="AQ143" s="467"/>
      <c r="AR143" s="467"/>
      <c r="AS143" s="509">
        <f t="shared" si="29"/>
        <v>-19420.016694999984</v>
      </c>
      <c r="AT143" s="476">
        <v>0</v>
      </c>
      <c r="AU143" s="477">
        <v>-66811.204494999969</v>
      </c>
      <c r="AV143" s="494">
        <f t="shared" si="30"/>
        <v>-86231.221189999953</v>
      </c>
      <c r="AW143" s="494">
        <f t="shared" si="31"/>
        <v>0</v>
      </c>
      <c r="AX143" s="468"/>
      <c r="AY143" s="589">
        <v>-79187.535976000072</v>
      </c>
      <c r="AZ143" s="510">
        <f t="shared" si="32"/>
        <v>-165418.75716600002</v>
      </c>
      <c r="BA143" s="511">
        <f t="shared" si="33"/>
        <v>0</v>
      </c>
      <c r="BB143" s="460"/>
      <c r="BC143" s="464">
        <f t="shared" si="24"/>
        <v>0</v>
      </c>
    </row>
    <row r="144" spans="1:55" ht="15">
      <c r="A144" s="431">
        <v>138</v>
      </c>
      <c r="B144" s="431">
        <v>4</v>
      </c>
      <c r="C144" t="s">
        <v>169</v>
      </c>
      <c r="D144" t="s">
        <v>830</v>
      </c>
      <c r="E144" s="372">
        <v>-60799.307671000024</v>
      </c>
      <c r="F144" s="372">
        <v>-68618.794852000021</v>
      </c>
      <c r="G144" s="377">
        <v>-76058.155228999996</v>
      </c>
      <c r="H144" s="590">
        <v>-94830.976801999961</v>
      </c>
      <c r="I144" s="358">
        <f t="shared" si="25"/>
        <v>-300307.23455399997</v>
      </c>
      <c r="K144" s="66">
        <f t="shared" si="23"/>
        <v>0</v>
      </c>
      <c r="L144" s="66"/>
      <c r="M144" s="431">
        <v>138</v>
      </c>
      <c r="N144" s="431">
        <v>4</v>
      </c>
      <c r="O144" s="443" t="s">
        <v>169</v>
      </c>
      <c r="P144" s="443" t="s">
        <v>830</v>
      </c>
      <c r="Q144" s="203">
        <v>-94830.976801999961</v>
      </c>
      <c r="R144" s="457" t="s">
        <v>2509</v>
      </c>
      <c r="S144" s="253"/>
      <c r="T144" s="159">
        <v>137</v>
      </c>
      <c r="U144" t="s">
        <v>169</v>
      </c>
      <c r="V144" t="s">
        <v>830</v>
      </c>
      <c r="W144" s="372">
        <v>-76230.23</v>
      </c>
      <c r="X144" s="372">
        <v>-60799.307671000024</v>
      </c>
      <c r="Y144" s="377">
        <v>-68618.794852000021</v>
      </c>
      <c r="Z144" s="378">
        <v>-76058.155228999996</v>
      </c>
      <c r="AA144" s="358">
        <f t="shared" si="26"/>
        <v>-281706.48775200004</v>
      </c>
      <c r="AE144" s="159">
        <f t="shared" si="27"/>
        <v>0</v>
      </c>
      <c r="AG144" s="471" t="s">
        <v>169</v>
      </c>
      <c r="AH144" s="467" t="s">
        <v>830</v>
      </c>
      <c r="AI144" s="475">
        <v>-76230.23</v>
      </c>
      <c r="AJ144" s="475">
        <v>-60799.307671000024</v>
      </c>
      <c r="AK144" s="476">
        <v>-68618.794852000021</v>
      </c>
      <c r="AL144" s="477">
        <v>-76058.155228999996</v>
      </c>
      <c r="AM144" s="478">
        <v>-281706.48775200004</v>
      </c>
      <c r="AN144" s="478"/>
      <c r="AO144" s="467"/>
      <c r="AP144" s="479">
        <f t="shared" si="28"/>
        <v>-205476.25775200003</v>
      </c>
      <c r="AQ144" s="467"/>
      <c r="AR144" s="467"/>
      <c r="AS144" s="509">
        <f t="shared" si="29"/>
        <v>-60799.307671000024</v>
      </c>
      <c r="AT144" s="476">
        <v>-68618.794852000021</v>
      </c>
      <c r="AU144" s="477">
        <v>-76058.155228999996</v>
      </c>
      <c r="AV144" s="494">
        <f t="shared" si="30"/>
        <v>-205476.25775200003</v>
      </c>
      <c r="AW144" s="494">
        <f t="shared" si="31"/>
        <v>0</v>
      </c>
      <c r="AX144" s="468"/>
      <c r="AY144" s="589">
        <v>-94830.976801999961</v>
      </c>
      <c r="AZ144" s="510">
        <f t="shared" si="32"/>
        <v>-300307.23455399997</v>
      </c>
      <c r="BA144" s="511">
        <f t="shared" si="33"/>
        <v>0</v>
      </c>
      <c r="BB144" s="460"/>
      <c r="BC144" s="464">
        <f t="shared" si="24"/>
        <v>0</v>
      </c>
    </row>
    <row r="145" spans="1:55" ht="15">
      <c r="A145" s="431">
        <v>139</v>
      </c>
      <c r="B145" s="431">
        <v>43</v>
      </c>
      <c r="C145" t="s">
        <v>233</v>
      </c>
      <c r="D145" t="s">
        <v>857</v>
      </c>
      <c r="E145" s="372">
        <v>-64443.982029430539</v>
      </c>
      <c r="F145" s="476">
        <v>0</v>
      </c>
      <c r="G145" s="477">
        <v>0</v>
      </c>
      <c r="H145" s="590">
        <v>-932847.63610200025</v>
      </c>
      <c r="I145" s="358">
        <f t="shared" si="25"/>
        <v>-997291.61813143082</v>
      </c>
      <c r="K145" s="66">
        <f t="shared" si="23"/>
        <v>0</v>
      </c>
      <c r="L145" s="66"/>
      <c r="M145" s="431">
        <v>139</v>
      </c>
      <c r="N145" s="431">
        <v>43</v>
      </c>
      <c r="O145" s="443" t="s">
        <v>233</v>
      </c>
      <c r="P145" s="443" t="s">
        <v>857</v>
      </c>
      <c r="Q145" s="203">
        <v>-932847.63610200025</v>
      </c>
      <c r="R145" s="457" t="s">
        <v>2509</v>
      </c>
      <c r="S145" s="253"/>
      <c r="T145" s="159">
        <v>138</v>
      </c>
      <c r="U145" t="s">
        <v>233</v>
      </c>
      <c r="V145" t="s">
        <v>857</v>
      </c>
      <c r="W145" s="372">
        <v>-177093.74</v>
      </c>
      <c r="X145" s="372">
        <v>-64443.982029430539</v>
      </c>
      <c r="Y145" s="377">
        <v>18573.025871717546</v>
      </c>
      <c r="Z145" s="378">
        <v>130586.16454166122</v>
      </c>
      <c r="AA145" s="358">
        <f t="shared" si="26"/>
        <v>-92378.531616051769</v>
      </c>
      <c r="AE145" s="159">
        <f t="shared" si="27"/>
        <v>0</v>
      </c>
      <c r="AG145" s="471" t="s">
        <v>233</v>
      </c>
      <c r="AH145" s="467" t="s">
        <v>857</v>
      </c>
      <c r="AI145" s="480">
        <v>-177093.74</v>
      </c>
      <c r="AJ145" s="475">
        <v>-64443.982029430539</v>
      </c>
      <c r="AK145" s="481">
        <v>18573.025871717546</v>
      </c>
      <c r="AL145" s="482">
        <v>130586.16454166122</v>
      </c>
      <c r="AM145" s="478">
        <v>-92378.531616051769</v>
      </c>
      <c r="AN145" s="478"/>
      <c r="AO145" s="467"/>
      <c r="AP145" s="479">
        <f t="shared" si="28"/>
        <v>84715.208383948222</v>
      </c>
      <c r="AQ145" s="467"/>
      <c r="AR145" s="467"/>
      <c r="AS145" s="509">
        <f t="shared" si="29"/>
        <v>-64443.982029430539</v>
      </c>
      <c r="AT145" s="476">
        <v>0</v>
      </c>
      <c r="AU145" s="477">
        <v>0</v>
      </c>
      <c r="AV145" s="494">
        <f t="shared" si="30"/>
        <v>-64443.982029430539</v>
      </c>
      <c r="AW145" s="494">
        <f t="shared" si="31"/>
        <v>-149159.19041337876</v>
      </c>
      <c r="AX145" s="468"/>
      <c r="AY145" s="589">
        <v>-932847.63610200025</v>
      </c>
      <c r="AZ145" s="510">
        <f t="shared" si="32"/>
        <v>-997291.61813143082</v>
      </c>
      <c r="BA145" s="511">
        <f t="shared" si="33"/>
        <v>0</v>
      </c>
      <c r="BB145" s="460"/>
      <c r="BC145" s="464">
        <f t="shared" si="24"/>
        <v>0</v>
      </c>
    </row>
    <row r="146" spans="1:55" ht="15">
      <c r="A146" s="431">
        <v>140</v>
      </c>
      <c r="B146" s="431">
        <v>267</v>
      </c>
      <c r="C146" t="s">
        <v>628</v>
      </c>
      <c r="D146" t="s">
        <v>1032</v>
      </c>
      <c r="E146" s="372">
        <v>-183131.88562300007</v>
      </c>
      <c r="F146" s="372">
        <v>-142979.84973400002</v>
      </c>
      <c r="G146" s="377">
        <v>-161885.89389800004</v>
      </c>
      <c r="H146" s="590">
        <v>-179615.93544999996</v>
      </c>
      <c r="I146" s="358">
        <f t="shared" si="25"/>
        <v>-667613.56470500014</v>
      </c>
      <c r="K146" s="66">
        <f t="shared" si="23"/>
        <v>0</v>
      </c>
      <c r="L146" s="66"/>
      <c r="M146" s="431">
        <v>140</v>
      </c>
      <c r="N146" s="431">
        <v>267</v>
      </c>
      <c r="O146" s="443" t="s">
        <v>628</v>
      </c>
      <c r="P146" s="443" t="s">
        <v>1032</v>
      </c>
      <c r="Q146" s="203">
        <v>-179615.93544999996</v>
      </c>
      <c r="R146" s="457" t="s">
        <v>2509</v>
      </c>
      <c r="S146" s="253"/>
      <c r="T146" s="159">
        <v>139</v>
      </c>
      <c r="U146" t="s">
        <v>628</v>
      </c>
      <c r="V146" t="s">
        <v>1032</v>
      </c>
      <c r="W146" s="372">
        <v>-130716.75</v>
      </c>
      <c r="X146" s="372">
        <v>-183131.88562300007</v>
      </c>
      <c r="Y146" s="377">
        <v>-142979.84973400002</v>
      </c>
      <c r="Z146" s="378">
        <v>-161885.89389800004</v>
      </c>
      <c r="AA146" s="358">
        <f t="shared" si="26"/>
        <v>-618714.37925500015</v>
      </c>
      <c r="AE146" s="159">
        <f t="shared" si="27"/>
        <v>0</v>
      </c>
      <c r="AG146" s="471" t="s">
        <v>628</v>
      </c>
      <c r="AH146" s="467" t="s">
        <v>1032</v>
      </c>
      <c r="AI146" s="475">
        <v>-130716.75</v>
      </c>
      <c r="AJ146" s="475">
        <v>-183131.88562300007</v>
      </c>
      <c r="AK146" s="476">
        <v>-142979.84973400002</v>
      </c>
      <c r="AL146" s="477">
        <v>-161885.89389800004</v>
      </c>
      <c r="AM146" s="478">
        <v>-618714.37925500015</v>
      </c>
      <c r="AN146" s="478"/>
      <c r="AO146" s="467"/>
      <c r="AP146" s="479">
        <f t="shared" si="28"/>
        <v>-487997.62925500015</v>
      </c>
      <c r="AQ146" s="467"/>
      <c r="AR146" s="467"/>
      <c r="AS146" s="509">
        <f t="shared" si="29"/>
        <v>-183131.88562300007</v>
      </c>
      <c r="AT146" s="476">
        <v>-142979.84973400002</v>
      </c>
      <c r="AU146" s="477">
        <v>-161885.89389800004</v>
      </c>
      <c r="AV146" s="494">
        <f t="shared" si="30"/>
        <v>-487997.62925500015</v>
      </c>
      <c r="AW146" s="494">
        <f t="shared" si="31"/>
        <v>0</v>
      </c>
      <c r="AX146" s="468"/>
      <c r="AY146" s="589">
        <v>-179615.93544999996</v>
      </c>
      <c r="AZ146" s="510">
        <f t="shared" si="32"/>
        <v>-667613.56470500014</v>
      </c>
      <c r="BA146" s="511">
        <f t="shared" si="33"/>
        <v>0</v>
      </c>
      <c r="BB146" s="460"/>
      <c r="BC146" s="464">
        <f t="shared" si="24"/>
        <v>0</v>
      </c>
    </row>
    <row r="147" spans="1:55" ht="15">
      <c r="A147" s="431">
        <v>141</v>
      </c>
      <c r="B147" s="431">
        <v>216</v>
      </c>
      <c r="C147" t="s">
        <v>539</v>
      </c>
      <c r="D147" t="s">
        <v>540</v>
      </c>
      <c r="E147" s="372">
        <v>-26938.582875000004</v>
      </c>
      <c r="F147" s="372">
        <v>-69020.283839999989</v>
      </c>
      <c r="G147" s="377">
        <v>-190090.63075399998</v>
      </c>
      <c r="H147" s="590">
        <v>-152522.49765000003</v>
      </c>
      <c r="I147" s="358">
        <f t="shared" si="25"/>
        <v>-438571.99511900003</v>
      </c>
      <c r="K147" s="66">
        <f t="shared" si="23"/>
        <v>0</v>
      </c>
      <c r="L147" s="66"/>
      <c r="M147" s="431">
        <v>141</v>
      </c>
      <c r="N147" s="431">
        <v>216</v>
      </c>
      <c r="O147" s="443" t="s">
        <v>539</v>
      </c>
      <c r="P147" s="443" t="s">
        <v>540</v>
      </c>
      <c r="Q147" s="203">
        <v>-152522.49765000003</v>
      </c>
      <c r="R147" s="457" t="s">
        <v>2509</v>
      </c>
      <c r="S147" s="253"/>
      <c r="T147" s="159">
        <v>140</v>
      </c>
      <c r="U147" t="s">
        <v>539</v>
      </c>
      <c r="V147" t="s">
        <v>540</v>
      </c>
      <c r="W147" s="372">
        <v>-131825.97</v>
      </c>
      <c r="X147" s="372">
        <v>-26938.582875000004</v>
      </c>
      <c r="Y147" s="377">
        <v>-69020.283839999989</v>
      </c>
      <c r="Z147" s="378">
        <v>-190090.63075399998</v>
      </c>
      <c r="AA147" s="358">
        <f t="shared" si="26"/>
        <v>-417875.46746899997</v>
      </c>
      <c r="AE147" s="159">
        <f t="shared" si="27"/>
        <v>0</v>
      </c>
      <c r="AG147" s="471" t="s">
        <v>539</v>
      </c>
      <c r="AH147" s="467" t="s">
        <v>540</v>
      </c>
      <c r="AI147" s="475">
        <v>-131825.97</v>
      </c>
      <c r="AJ147" s="475">
        <v>-26938.582875000004</v>
      </c>
      <c r="AK147" s="476">
        <v>-69020.283839999989</v>
      </c>
      <c r="AL147" s="477">
        <v>-190090.63075399998</v>
      </c>
      <c r="AM147" s="478">
        <v>-417875.46746899997</v>
      </c>
      <c r="AN147" s="478"/>
      <c r="AO147" s="467"/>
      <c r="AP147" s="479">
        <f t="shared" si="28"/>
        <v>-286049.49746899999</v>
      </c>
      <c r="AQ147" s="467"/>
      <c r="AR147" s="467"/>
      <c r="AS147" s="509">
        <f t="shared" si="29"/>
        <v>-26938.582875000004</v>
      </c>
      <c r="AT147" s="476">
        <v>-69020.283839999989</v>
      </c>
      <c r="AU147" s="477">
        <v>-190090.63075399998</v>
      </c>
      <c r="AV147" s="494">
        <f t="shared" si="30"/>
        <v>-286049.49746899999</v>
      </c>
      <c r="AW147" s="494">
        <f t="shared" si="31"/>
        <v>0</v>
      </c>
      <c r="AX147" s="468"/>
      <c r="AY147" s="589">
        <v>-152522.49765000003</v>
      </c>
      <c r="AZ147" s="510">
        <f t="shared" si="32"/>
        <v>-438571.99511900003</v>
      </c>
      <c r="BA147" s="511">
        <f t="shared" si="33"/>
        <v>0</v>
      </c>
      <c r="BB147" s="460"/>
      <c r="BC147" s="464">
        <f t="shared" si="24"/>
        <v>0</v>
      </c>
    </row>
    <row r="148" spans="1:55" ht="15">
      <c r="A148" s="431">
        <v>142</v>
      </c>
      <c r="B148" s="431">
        <v>260</v>
      </c>
      <c r="C148" t="s">
        <v>1627</v>
      </c>
      <c r="D148" t="s">
        <v>1679</v>
      </c>
      <c r="E148" s="372">
        <v>-4682.3500000000004</v>
      </c>
      <c r="F148" s="372">
        <v>-5213.68</v>
      </c>
      <c r="G148" s="377">
        <v>-3576.4449999999983</v>
      </c>
      <c r="H148" s="590">
        <v>-28152.757368000021</v>
      </c>
      <c r="I148" s="358">
        <f t="shared" si="25"/>
        <v>-41625.232368000019</v>
      </c>
      <c r="K148" s="66">
        <f t="shared" si="23"/>
        <v>0</v>
      </c>
      <c r="L148" s="66"/>
      <c r="M148" s="431">
        <v>142</v>
      </c>
      <c r="N148" s="431">
        <v>260</v>
      </c>
      <c r="O148" s="443" t="s">
        <v>1627</v>
      </c>
      <c r="P148" s="443" t="s">
        <v>1679</v>
      </c>
      <c r="Q148" s="203">
        <v>-28152.757368000021</v>
      </c>
      <c r="R148" s="457" t="s">
        <v>2509</v>
      </c>
      <c r="S148" s="253"/>
      <c r="T148" s="159">
        <v>141</v>
      </c>
      <c r="U148" t="s">
        <v>1627</v>
      </c>
      <c r="V148" t="s">
        <v>1679</v>
      </c>
      <c r="W148" s="372">
        <v>0</v>
      </c>
      <c r="X148" s="372">
        <v>-4682.3500000000004</v>
      </c>
      <c r="Y148" s="377">
        <v>-5213.68</v>
      </c>
      <c r="Z148" s="378">
        <v>-3576.4449999999983</v>
      </c>
      <c r="AA148" s="358">
        <f t="shared" si="26"/>
        <v>-13472.474999999999</v>
      </c>
      <c r="AE148" s="159">
        <f t="shared" si="27"/>
        <v>0</v>
      </c>
      <c r="AG148" s="471" t="s">
        <v>1627</v>
      </c>
      <c r="AH148" s="467" t="s">
        <v>1679</v>
      </c>
      <c r="AI148" s="475">
        <v>0</v>
      </c>
      <c r="AJ148" s="475">
        <v>-4682.3500000000004</v>
      </c>
      <c r="AK148" s="476">
        <v>-5213.68</v>
      </c>
      <c r="AL148" s="477">
        <v>-3576.4449999999983</v>
      </c>
      <c r="AM148" s="478">
        <v>-13472.474999999999</v>
      </c>
      <c r="AN148" s="478"/>
      <c r="AO148" s="467"/>
      <c r="AP148" s="479">
        <f t="shared" si="28"/>
        <v>-13472.474999999999</v>
      </c>
      <c r="AQ148" s="467"/>
      <c r="AR148" s="467"/>
      <c r="AS148" s="509">
        <f t="shared" si="29"/>
        <v>-4682.3500000000004</v>
      </c>
      <c r="AT148" s="476">
        <v>-5213.68</v>
      </c>
      <c r="AU148" s="477">
        <v>-3576.4449999999983</v>
      </c>
      <c r="AV148" s="494">
        <f t="shared" si="30"/>
        <v>-13472.474999999999</v>
      </c>
      <c r="AW148" s="494">
        <f t="shared" si="31"/>
        <v>0</v>
      </c>
      <c r="AX148" s="468"/>
      <c r="AY148" s="589">
        <v>-28152.757368000021</v>
      </c>
      <c r="AZ148" s="510">
        <f t="shared" si="32"/>
        <v>-41625.232368000019</v>
      </c>
      <c r="BA148" s="511">
        <f t="shared" si="33"/>
        <v>0</v>
      </c>
      <c r="BB148" s="460"/>
      <c r="BC148" s="464">
        <f t="shared" si="24"/>
        <v>0</v>
      </c>
    </row>
    <row r="149" spans="1:55" ht="15">
      <c r="A149" s="431">
        <v>143</v>
      </c>
      <c r="B149" s="431">
        <v>300</v>
      </c>
      <c r="C149" t="s">
        <v>1179</v>
      </c>
      <c r="D149" t="s">
        <v>1591</v>
      </c>
      <c r="E149" s="372">
        <v>0</v>
      </c>
      <c r="F149" s="372">
        <v>-27217.479999999923</v>
      </c>
      <c r="G149" s="377">
        <v>-25772.401000000002</v>
      </c>
      <c r="H149" s="590">
        <v>0</v>
      </c>
      <c r="I149" s="358">
        <f t="shared" si="25"/>
        <v>-52989.880999999921</v>
      </c>
      <c r="K149" s="66">
        <f t="shared" si="23"/>
        <v>0</v>
      </c>
      <c r="L149" s="66"/>
      <c r="M149" s="431">
        <v>143</v>
      </c>
      <c r="N149" s="431">
        <v>300</v>
      </c>
      <c r="O149" s="443" t="s">
        <v>1179</v>
      </c>
      <c r="P149" s="443" t="s">
        <v>1591</v>
      </c>
      <c r="Q149" s="203">
        <v>0</v>
      </c>
      <c r="R149" s="457" t="s">
        <v>2509</v>
      </c>
      <c r="S149" s="253"/>
      <c r="T149" s="159">
        <v>142</v>
      </c>
      <c r="U149" t="s">
        <v>1179</v>
      </c>
      <c r="V149" t="s">
        <v>1591</v>
      </c>
      <c r="W149" s="372">
        <v>-14386.4</v>
      </c>
      <c r="X149" s="372">
        <v>0</v>
      </c>
      <c r="Y149" s="377">
        <v>-27217.479999999923</v>
      </c>
      <c r="Z149" s="378">
        <v>-25772.401000000002</v>
      </c>
      <c r="AA149" s="358">
        <f t="shared" si="26"/>
        <v>-67376.28099999993</v>
      </c>
      <c r="AE149" s="159">
        <f t="shared" si="27"/>
        <v>0</v>
      </c>
      <c r="AG149" s="471" t="s">
        <v>1179</v>
      </c>
      <c r="AH149" s="467" t="s">
        <v>1591</v>
      </c>
      <c r="AI149" s="475">
        <v>-14386.4</v>
      </c>
      <c r="AJ149" s="475">
        <v>0</v>
      </c>
      <c r="AK149" s="476">
        <v>-27217.479999999923</v>
      </c>
      <c r="AL149" s="477">
        <v>-25772.401000000002</v>
      </c>
      <c r="AM149" s="478">
        <v>-67376.28099999993</v>
      </c>
      <c r="AN149" s="478"/>
      <c r="AO149" s="467"/>
      <c r="AP149" s="479">
        <f t="shared" si="28"/>
        <v>-52989.880999999921</v>
      </c>
      <c r="AQ149" s="467"/>
      <c r="AR149" s="467"/>
      <c r="AS149" s="509">
        <f t="shared" si="29"/>
        <v>0</v>
      </c>
      <c r="AT149" s="476">
        <v>-27217.479999999923</v>
      </c>
      <c r="AU149" s="477">
        <v>-25772.401000000002</v>
      </c>
      <c r="AV149" s="494">
        <f t="shared" si="30"/>
        <v>-52989.880999999921</v>
      </c>
      <c r="AW149" s="494">
        <f t="shared" si="31"/>
        <v>0</v>
      </c>
      <c r="AX149" s="468"/>
      <c r="AY149" s="589">
        <v>0</v>
      </c>
      <c r="AZ149" s="510">
        <f t="shared" si="32"/>
        <v>-52989.880999999921</v>
      </c>
      <c r="BA149" s="511">
        <f t="shared" si="33"/>
        <v>0</v>
      </c>
      <c r="BB149" s="460"/>
      <c r="BC149" s="464">
        <f t="shared" si="24"/>
        <v>0</v>
      </c>
    </row>
    <row r="150" spans="1:55" ht="15">
      <c r="A150" s="431">
        <v>144</v>
      </c>
      <c r="B150" s="431">
        <v>149</v>
      </c>
      <c r="C150" t="s">
        <v>414</v>
      </c>
      <c r="D150" t="s">
        <v>938</v>
      </c>
      <c r="E150" s="372">
        <v>-66003.144241999995</v>
      </c>
      <c r="F150" s="372">
        <v>-77870.268944000025</v>
      </c>
      <c r="G150" s="377">
        <v>-91678.677349999984</v>
      </c>
      <c r="H150" s="590">
        <v>-104129.38619999998</v>
      </c>
      <c r="I150" s="358">
        <f t="shared" si="25"/>
        <v>-339681.47673599998</v>
      </c>
      <c r="K150" s="66">
        <f t="shared" si="23"/>
        <v>0</v>
      </c>
      <c r="L150" s="66"/>
      <c r="M150" s="431">
        <v>144</v>
      </c>
      <c r="N150" s="431">
        <v>149</v>
      </c>
      <c r="O150" s="443" t="s">
        <v>414</v>
      </c>
      <c r="P150" s="443" t="s">
        <v>938</v>
      </c>
      <c r="Q150" s="203">
        <v>-104129.38619999998</v>
      </c>
      <c r="R150" s="457" t="s">
        <v>2509</v>
      </c>
      <c r="S150" s="253"/>
      <c r="T150" s="159">
        <v>143</v>
      </c>
      <c r="U150" t="s">
        <v>414</v>
      </c>
      <c r="V150" t="s">
        <v>938</v>
      </c>
      <c r="W150" s="372">
        <v>-122406.56</v>
      </c>
      <c r="X150" s="372">
        <v>-66003.144241999995</v>
      </c>
      <c r="Y150" s="377">
        <v>-77870.268944000025</v>
      </c>
      <c r="Z150" s="378">
        <v>-91678.677349999984</v>
      </c>
      <c r="AA150" s="358">
        <f t="shared" si="26"/>
        <v>-357958.65053600003</v>
      </c>
      <c r="AE150" s="159">
        <f t="shared" si="27"/>
        <v>0</v>
      </c>
      <c r="AG150" s="471" t="s">
        <v>414</v>
      </c>
      <c r="AH150" s="467" t="s">
        <v>938</v>
      </c>
      <c r="AI150" s="475">
        <v>-122406.56</v>
      </c>
      <c r="AJ150" s="475">
        <v>-66003.144241999995</v>
      </c>
      <c r="AK150" s="476">
        <v>-77870.268944000025</v>
      </c>
      <c r="AL150" s="477">
        <v>-91678.677349999984</v>
      </c>
      <c r="AM150" s="478">
        <v>-357958.65053600003</v>
      </c>
      <c r="AN150" s="478"/>
      <c r="AO150" s="467"/>
      <c r="AP150" s="479">
        <f t="shared" si="28"/>
        <v>-235552.090536</v>
      </c>
      <c r="AQ150" s="467"/>
      <c r="AR150" s="467"/>
      <c r="AS150" s="509">
        <f t="shared" si="29"/>
        <v>-66003.144241999995</v>
      </c>
      <c r="AT150" s="476">
        <v>-77870.268944000025</v>
      </c>
      <c r="AU150" s="477">
        <v>-91678.677349999984</v>
      </c>
      <c r="AV150" s="494">
        <f t="shared" si="30"/>
        <v>-235552.090536</v>
      </c>
      <c r="AW150" s="494">
        <f t="shared" si="31"/>
        <v>0</v>
      </c>
      <c r="AX150" s="468"/>
      <c r="AY150" s="589">
        <v>-104129.38619999998</v>
      </c>
      <c r="AZ150" s="510">
        <f t="shared" si="32"/>
        <v>-339681.47673599998</v>
      </c>
      <c r="BA150" s="511">
        <f t="shared" si="33"/>
        <v>0</v>
      </c>
      <c r="BB150" s="460"/>
      <c r="BC150" s="464">
        <f t="shared" si="24"/>
        <v>0</v>
      </c>
    </row>
    <row r="151" spans="1:55" ht="15">
      <c r="A151" s="431">
        <v>145</v>
      </c>
      <c r="B151" s="431">
        <v>295</v>
      </c>
      <c r="C151" t="s">
        <v>677</v>
      </c>
      <c r="D151" t="s">
        <v>1055</v>
      </c>
      <c r="E151" s="372">
        <v>627476.65214182879</v>
      </c>
      <c r="F151" s="372">
        <v>656004.10171130532</v>
      </c>
      <c r="G151" s="377">
        <v>352.34159770321276</v>
      </c>
      <c r="H151" s="590">
        <v>13287.028187999735</v>
      </c>
      <c r="I151" s="358">
        <f t="shared" si="25"/>
        <v>1297120.1236388371</v>
      </c>
      <c r="K151" s="66">
        <f t="shared" si="23"/>
        <v>0</v>
      </c>
      <c r="L151" s="66"/>
      <c r="M151" s="431">
        <v>145</v>
      </c>
      <c r="N151" s="431">
        <v>295</v>
      </c>
      <c r="O151" s="443" t="s">
        <v>677</v>
      </c>
      <c r="P151" s="443" t="s">
        <v>1055</v>
      </c>
      <c r="Q151" s="203">
        <v>13287.028187999735</v>
      </c>
      <c r="R151" s="457" t="s">
        <v>2509</v>
      </c>
      <c r="S151" s="253"/>
      <c r="T151" s="159">
        <v>144</v>
      </c>
      <c r="U151" t="s">
        <v>677</v>
      </c>
      <c r="V151" t="s">
        <v>1055</v>
      </c>
      <c r="W151" s="372">
        <v>293483.12999999989</v>
      </c>
      <c r="X151" s="372">
        <v>333993.52214182896</v>
      </c>
      <c r="Y151" s="377">
        <v>656004.10171130532</v>
      </c>
      <c r="Z151" s="378">
        <v>352.34159770321276</v>
      </c>
      <c r="AA151" s="358">
        <f t="shared" si="26"/>
        <v>1283833.0954508374</v>
      </c>
      <c r="AE151" s="159">
        <f t="shared" si="27"/>
        <v>0</v>
      </c>
      <c r="AG151" s="471" t="s">
        <v>677</v>
      </c>
      <c r="AH151" s="467" t="s">
        <v>1055</v>
      </c>
      <c r="AI151" s="480">
        <v>293483.12999999989</v>
      </c>
      <c r="AJ151" s="480">
        <v>333993.52214182896</v>
      </c>
      <c r="AK151" s="476">
        <v>656004.10171130532</v>
      </c>
      <c r="AL151" s="477">
        <v>352.34159770321276</v>
      </c>
      <c r="AM151" s="478">
        <v>1283833.0954508374</v>
      </c>
      <c r="AN151" s="478"/>
      <c r="AO151" s="467"/>
      <c r="AP151" s="479">
        <f t="shared" si="28"/>
        <v>990349.96545083739</v>
      </c>
      <c r="AQ151" s="467"/>
      <c r="AR151" s="467"/>
      <c r="AS151" s="512">
        <f>+AI151+AJ151</f>
        <v>627476.65214182879</v>
      </c>
      <c r="AT151" s="476">
        <v>656004.10171130532</v>
      </c>
      <c r="AU151" s="477">
        <v>352.34159770321276</v>
      </c>
      <c r="AV151" s="494">
        <f t="shared" si="30"/>
        <v>1283833.0954508374</v>
      </c>
      <c r="AW151" s="513">
        <f>+AV151-AM151</f>
        <v>0</v>
      </c>
      <c r="AX151" s="468"/>
      <c r="AY151" s="589">
        <v>13287.028187999735</v>
      </c>
      <c r="AZ151" s="510">
        <f t="shared" si="32"/>
        <v>1297120.1236388371</v>
      </c>
      <c r="BA151" s="511">
        <f t="shared" si="33"/>
        <v>0</v>
      </c>
      <c r="BB151" s="460"/>
      <c r="BC151" s="464">
        <f t="shared" si="24"/>
        <v>0</v>
      </c>
    </row>
    <row r="152" spans="1:55" ht="15">
      <c r="A152" s="431">
        <v>146</v>
      </c>
      <c r="B152" s="431">
        <v>319</v>
      </c>
      <c r="C152" t="s">
        <v>720</v>
      </c>
      <c r="D152" t="s">
        <v>1072</v>
      </c>
      <c r="E152" s="372">
        <v>59767.158399999782</v>
      </c>
      <c r="F152" s="372">
        <v>81357.500400000019</v>
      </c>
      <c r="G152" s="377">
        <v>41131.091314000092</v>
      </c>
      <c r="H152" s="590">
        <v>-83271.908752000076</v>
      </c>
      <c r="I152" s="358">
        <f t="shared" si="25"/>
        <v>98983.841361999803</v>
      </c>
      <c r="K152" s="66">
        <f t="shared" si="23"/>
        <v>0</v>
      </c>
      <c r="L152" s="66"/>
      <c r="M152" s="431">
        <v>146</v>
      </c>
      <c r="N152" s="431">
        <v>319</v>
      </c>
      <c r="O152" s="443" t="s">
        <v>720</v>
      </c>
      <c r="P152" s="449" t="s">
        <v>1072</v>
      </c>
      <c r="Q152" s="203">
        <v>-83271.908752000076</v>
      </c>
      <c r="R152" s="457" t="s">
        <v>2509</v>
      </c>
      <c r="S152" s="253"/>
      <c r="T152" s="159">
        <v>145</v>
      </c>
      <c r="U152" t="s">
        <v>720</v>
      </c>
      <c r="V152" t="s">
        <v>1072</v>
      </c>
      <c r="W152" s="372">
        <v>115855.23999999977</v>
      </c>
      <c r="X152" s="372">
        <v>-56088.08159999999</v>
      </c>
      <c r="Y152" s="377">
        <v>81357.500400000019</v>
      </c>
      <c r="Z152" s="378">
        <v>41131.091314000092</v>
      </c>
      <c r="AA152" s="358">
        <f t="shared" si="26"/>
        <v>182255.75011399988</v>
      </c>
      <c r="AE152" s="159">
        <f t="shared" si="27"/>
        <v>0</v>
      </c>
      <c r="AG152" s="471" t="s">
        <v>720</v>
      </c>
      <c r="AH152" s="467" t="s">
        <v>1072</v>
      </c>
      <c r="AI152" s="480">
        <v>115855.23999999977</v>
      </c>
      <c r="AJ152" s="480">
        <v>-56088.08159999999</v>
      </c>
      <c r="AK152" s="476">
        <v>81357.500400000019</v>
      </c>
      <c r="AL152" s="477">
        <v>41131.091314000092</v>
      </c>
      <c r="AM152" s="478">
        <v>182255.75011399988</v>
      </c>
      <c r="AN152" s="478"/>
      <c r="AO152" s="467"/>
      <c r="AP152" s="479">
        <f t="shared" si="28"/>
        <v>66400.510114000121</v>
      </c>
      <c r="AQ152" s="467"/>
      <c r="AR152" s="467"/>
      <c r="AS152" s="512">
        <f>+AI152+AJ152</f>
        <v>59767.158399999782</v>
      </c>
      <c r="AT152" s="476">
        <v>81357.500400000019</v>
      </c>
      <c r="AU152" s="477">
        <v>41131.091314000092</v>
      </c>
      <c r="AV152" s="494">
        <f t="shared" si="30"/>
        <v>182255.75011399988</v>
      </c>
      <c r="AW152" s="513">
        <f>+AV152-AM152</f>
        <v>0</v>
      </c>
      <c r="AX152" s="468"/>
      <c r="AY152" s="589">
        <v>-83271.908752000076</v>
      </c>
      <c r="AZ152" s="510">
        <f t="shared" si="32"/>
        <v>98983.841361999803</v>
      </c>
      <c r="BA152" s="511">
        <f t="shared" si="33"/>
        <v>0</v>
      </c>
      <c r="BB152" s="460"/>
      <c r="BC152" s="464">
        <f t="shared" si="24"/>
        <v>0</v>
      </c>
    </row>
    <row r="153" spans="1:55" ht="15">
      <c r="A153" s="431">
        <v>147</v>
      </c>
      <c r="B153" s="431">
        <v>53</v>
      </c>
      <c r="C153" t="s">
        <v>253</v>
      </c>
      <c r="D153" t="s">
        <v>867</v>
      </c>
      <c r="E153" s="372">
        <v>-57975.438483999998</v>
      </c>
      <c r="F153" s="372">
        <v>-48677.278245000009</v>
      </c>
      <c r="G153" s="377">
        <v>-71811.46661600002</v>
      </c>
      <c r="H153" s="590">
        <v>-89033.139156000019</v>
      </c>
      <c r="I153" s="358">
        <f t="shared" si="25"/>
        <v>-267497.32250100002</v>
      </c>
      <c r="K153" s="66">
        <f t="shared" si="23"/>
        <v>0</v>
      </c>
      <c r="L153" s="66"/>
      <c r="M153" s="431">
        <v>147</v>
      </c>
      <c r="N153" s="431">
        <v>53</v>
      </c>
      <c r="O153" s="443" t="s">
        <v>253</v>
      </c>
      <c r="P153" s="443" t="s">
        <v>867</v>
      </c>
      <c r="Q153" s="203">
        <v>-89033.139156000019</v>
      </c>
      <c r="R153" s="457" t="s">
        <v>2509</v>
      </c>
      <c r="S153" s="253"/>
      <c r="T153" s="159">
        <v>146</v>
      </c>
      <c r="U153" t="s">
        <v>253</v>
      </c>
      <c r="V153" t="s">
        <v>867</v>
      </c>
      <c r="W153" s="372">
        <v>-79220.160000000003</v>
      </c>
      <c r="X153" s="372">
        <v>-57975.438483999998</v>
      </c>
      <c r="Y153" s="377">
        <v>-48677.278245000009</v>
      </c>
      <c r="Z153" s="378">
        <v>-71811.46661600002</v>
      </c>
      <c r="AA153" s="358">
        <f t="shared" si="26"/>
        <v>-257684.34334500003</v>
      </c>
      <c r="AE153" s="159">
        <f t="shared" si="27"/>
        <v>0</v>
      </c>
      <c r="AG153" s="471" t="s">
        <v>253</v>
      </c>
      <c r="AH153" s="467" t="s">
        <v>867</v>
      </c>
      <c r="AI153" s="475">
        <v>-79220.160000000003</v>
      </c>
      <c r="AJ153" s="475">
        <v>-57975.438483999998</v>
      </c>
      <c r="AK153" s="476">
        <v>-48677.278245000009</v>
      </c>
      <c r="AL153" s="477">
        <v>-71811.46661600002</v>
      </c>
      <c r="AM153" s="478">
        <v>-257684.34334500003</v>
      </c>
      <c r="AN153" s="478"/>
      <c r="AO153" s="467"/>
      <c r="AP153" s="479">
        <f t="shared" si="28"/>
        <v>-178464.18334500003</v>
      </c>
      <c r="AQ153" s="467"/>
      <c r="AR153" s="467"/>
      <c r="AS153" s="509">
        <f t="shared" si="29"/>
        <v>-57975.438483999998</v>
      </c>
      <c r="AT153" s="476">
        <v>-48677.278245000009</v>
      </c>
      <c r="AU153" s="477">
        <v>-71811.46661600002</v>
      </c>
      <c r="AV153" s="494">
        <f t="shared" si="30"/>
        <v>-178464.18334500003</v>
      </c>
      <c r="AW153" s="494">
        <f t="shared" si="31"/>
        <v>0</v>
      </c>
      <c r="AX153" s="468"/>
      <c r="AY153" s="589">
        <v>-89033.139156000019</v>
      </c>
      <c r="AZ153" s="510">
        <f t="shared" si="32"/>
        <v>-267497.32250100002</v>
      </c>
      <c r="BA153" s="511">
        <f t="shared" si="33"/>
        <v>0</v>
      </c>
      <c r="BB153" s="460"/>
      <c r="BC153" s="464">
        <f t="shared" si="24"/>
        <v>0</v>
      </c>
    </row>
    <row r="154" spans="1:55" ht="15">
      <c r="A154" s="431">
        <v>148</v>
      </c>
      <c r="B154" s="431">
        <v>14</v>
      </c>
      <c r="C154" t="s">
        <v>189</v>
      </c>
      <c r="D154" t="s">
        <v>838</v>
      </c>
      <c r="E154" s="372">
        <v>-60262.116419999948</v>
      </c>
      <c r="F154" s="372">
        <v>-122826.52264000016</v>
      </c>
      <c r="G154" s="377">
        <v>-158400.60794000002</v>
      </c>
      <c r="H154" s="590">
        <v>-94167.143662000075</v>
      </c>
      <c r="I154" s="358">
        <f t="shared" si="25"/>
        <v>-435656.39066200017</v>
      </c>
      <c r="K154" s="66">
        <f t="shared" si="23"/>
        <v>0</v>
      </c>
      <c r="L154" s="66"/>
      <c r="M154" s="431">
        <v>148</v>
      </c>
      <c r="N154" s="431">
        <v>14</v>
      </c>
      <c r="O154" s="443" t="s">
        <v>189</v>
      </c>
      <c r="P154" s="443" t="s">
        <v>838</v>
      </c>
      <c r="Q154" s="203">
        <v>-94167.143662000075</v>
      </c>
      <c r="R154" s="457" t="s">
        <v>2509</v>
      </c>
      <c r="S154" s="253"/>
      <c r="T154" s="159">
        <v>147</v>
      </c>
      <c r="U154" t="s">
        <v>189</v>
      </c>
      <c r="V154" t="s">
        <v>838</v>
      </c>
      <c r="W154" s="372">
        <v>-179864.48</v>
      </c>
      <c r="X154" s="372">
        <v>-60262.116419999948</v>
      </c>
      <c r="Y154" s="377">
        <v>-122826.52264000016</v>
      </c>
      <c r="Z154" s="378">
        <v>-158400.60794000002</v>
      </c>
      <c r="AA154" s="358">
        <f t="shared" si="26"/>
        <v>-521353.72700000013</v>
      </c>
      <c r="AE154" s="159">
        <f t="shared" si="27"/>
        <v>0</v>
      </c>
      <c r="AG154" s="471" t="s">
        <v>189</v>
      </c>
      <c r="AH154" s="467" t="s">
        <v>838</v>
      </c>
      <c r="AI154" s="475">
        <v>-179864.48</v>
      </c>
      <c r="AJ154" s="475">
        <v>-60262.116419999948</v>
      </c>
      <c r="AK154" s="476">
        <v>-122826.52264000016</v>
      </c>
      <c r="AL154" s="477">
        <v>-158400.60794000002</v>
      </c>
      <c r="AM154" s="478">
        <v>-521353.72700000013</v>
      </c>
      <c r="AN154" s="478"/>
      <c r="AO154" s="467"/>
      <c r="AP154" s="479">
        <f t="shared" si="28"/>
        <v>-341489.24700000009</v>
      </c>
      <c r="AQ154" s="467"/>
      <c r="AR154" s="467"/>
      <c r="AS154" s="509">
        <f t="shared" si="29"/>
        <v>-60262.116419999948</v>
      </c>
      <c r="AT154" s="476">
        <v>-122826.52264000016</v>
      </c>
      <c r="AU154" s="477">
        <v>-158400.60794000002</v>
      </c>
      <c r="AV154" s="494">
        <f t="shared" si="30"/>
        <v>-341489.24700000009</v>
      </c>
      <c r="AW154" s="494">
        <f t="shared" si="31"/>
        <v>0</v>
      </c>
      <c r="AX154" s="468"/>
      <c r="AY154" s="589">
        <v>-94167.143662000075</v>
      </c>
      <c r="AZ154" s="510">
        <f t="shared" si="32"/>
        <v>-435656.39066200017</v>
      </c>
      <c r="BA154" s="511">
        <f t="shared" si="33"/>
        <v>0</v>
      </c>
      <c r="BB154" s="460"/>
      <c r="BC154" s="464">
        <f t="shared" si="24"/>
        <v>0</v>
      </c>
    </row>
    <row r="155" spans="1:55" ht="15">
      <c r="A155" s="431">
        <v>149</v>
      </c>
      <c r="B155" s="431">
        <v>174</v>
      </c>
      <c r="C155" t="s">
        <v>464</v>
      </c>
      <c r="D155" t="s">
        <v>961</v>
      </c>
      <c r="E155" s="372">
        <v>-72728.420000000027</v>
      </c>
      <c r="F155" s="372">
        <v>-48385.056183999986</v>
      </c>
      <c r="G155" s="377">
        <v>-40631.699431999965</v>
      </c>
      <c r="H155" s="590">
        <v>-45372.239059999964</v>
      </c>
      <c r="I155" s="358">
        <f t="shared" si="25"/>
        <v>-207117.41467599993</v>
      </c>
      <c r="K155" s="66">
        <f t="shared" si="23"/>
        <v>0</v>
      </c>
      <c r="L155" s="66"/>
      <c r="M155" s="431">
        <v>149</v>
      </c>
      <c r="N155" s="431">
        <v>174</v>
      </c>
      <c r="O155" s="443" t="s">
        <v>464</v>
      </c>
      <c r="P155" s="443" t="s">
        <v>961</v>
      </c>
      <c r="Q155" s="203">
        <v>-45372.239059999964</v>
      </c>
      <c r="R155" s="457" t="s">
        <v>2509</v>
      </c>
      <c r="S155" s="253"/>
      <c r="T155" s="159">
        <v>148</v>
      </c>
      <c r="U155" t="s">
        <v>464</v>
      </c>
      <c r="V155" t="s">
        <v>961</v>
      </c>
      <c r="W155" s="372">
        <v>-65164.76</v>
      </c>
      <c r="X155" s="372">
        <v>-72728.420000000027</v>
      </c>
      <c r="Y155" s="377">
        <v>-48385.056183999986</v>
      </c>
      <c r="Z155" s="378">
        <v>-40631.699431999965</v>
      </c>
      <c r="AA155" s="358">
        <f t="shared" si="26"/>
        <v>-226909.93561599997</v>
      </c>
      <c r="AE155" s="159">
        <f t="shared" si="27"/>
        <v>0</v>
      </c>
      <c r="AG155" s="471" t="s">
        <v>464</v>
      </c>
      <c r="AH155" s="467" t="s">
        <v>961</v>
      </c>
      <c r="AI155" s="475">
        <v>-65164.76</v>
      </c>
      <c r="AJ155" s="475">
        <v>-72728.420000000027</v>
      </c>
      <c r="AK155" s="476">
        <v>-48385.056183999986</v>
      </c>
      <c r="AL155" s="477">
        <v>-40631.699431999965</v>
      </c>
      <c r="AM155" s="478">
        <v>-226909.93561599997</v>
      </c>
      <c r="AN155" s="478"/>
      <c r="AO155" s="467"/>
      <c r="AP155" s="479">
        <f t="shared" si="28"/>
        <v>-161745.17561599996</v>
      </c>
      <c r="AQ155" s="467"/>
      <c r="AR155" s="467"/>
      <c r="AS155" s="509">
        <f t="shared" si="29"/>
        <v>-72728.420000000027</v>
      </c>
      <c r="AT155" s="476">
        <v>-48385.056183999986</v>
      </c>
      <c r="AU155" s="477">
        <v>-40631.699431999965</v>
      </c>
      <c r="AV155" s="494">
        <f t="shared" si="30"/>
        <v>-161745.17561599996</v>
      </c>
      <c r="AW155" s="494">
        <f t="shared" si="31"/>
        <v>0</v>
      </c>
      <c r="AX155" s="468"/>
      <c r="AY155" s="589">
        <v>-45372.239059999964</v>
      </c>
      <c r="AZ155" s="510">
        <f t="shared" si="32"/>
        <v>-207117.41467599993</v>
      </c>
      <c r="BA155" s="511">
        <f t="shared" si="33"/>
        <v>0</v>
      </c>
      <c r="BB155" s="460"/>
      <c r="BC155" s="464">
        <f t="shared" si="24"/>
        <v>0</v>
      </c>
    </row>
    <row r="156" spans="1:55" ht="15">
      <c r="A156" s="431">
        <v>150</v>
      </c>
      <c r="B156" s="431">
        <v>271</v>
      </c>
      <c r="C156" t="s">
        <v>634</v>
      </c>
      <c r="D156" t="s">
        <v>1034</v>
      </c>
      <c r="E156" s="372">
        <v>103597.49212500005</v>
      </c>
      <c r="F156" s="372">
        <v>36373.682682999992</v>
      </c>
      <c r="G156" s="377">
        <v>45022.445359999976</v>
      </c>
      <c r="H156" s="590">
        <v>25616.55359200004</v>
      </c>
      <c r="I156" s="358">
        <f t="shared" si="25"/>
        <v>210610.17376000006</v>
      </c>
      <c r="K156" s="66">
        <f t="shared" si="23"/>
        <v>0</v>
      </c>
      <c r="L156" s="66"/>
      <c r="M156" s="431">
        <v>150</v>
      </c>
      <c r="N156" s="431">
        <v>271</v>
      </c>
      <c r="O156" s="443" t="s">
        <v>634</v>
      </c>
      <c r="P156" s="443" t="s">
        <v>1034</v>
      </c>
      <c r="Q156" s="203">
        <v>25616.55359200004</v>
      </c>
      <c r="R156" s="457" t="s">
        <v>2509</v>
      </c>
      <c r="S156" s="253"/>
      <c r="T156" s="159">
        <v>149</v>
      </c>
      <c r="U156" t="s">
        <v>634</v>
      </c>
      <c r="V156" t="s">
        <v>1034</v>
      </c>
      <c r="W156" s="372">
        <v>-70743.69</v>
      </c>
      <c r="X156" s="372">
        <v>174341.18212500005</v>
      </c>
      <c r="Y156" s="377">
        <v>36373.682682999992</v>
      </c>
      <c r="Z156" s="378">
        <v>45022.445359999976</v>
      </c>
      <c r="AA156" s="358">
        <f t="shared" si="26"/>
        <v>184993.62016800002</v>
      </c>
      <c r="AE156" s="159">
        <f t="shared" si="27"/>
        <v>0</v>
      </c>
      <c r="AG156" s="471" t="s">
        <v>634</v>
      </c>
      <c r="AH156" s="467" t="s">
        <v>1034</v>
      </c>
      <c r="AI156" s="480">
        <v>-70743.69</v>
      </c>
      <c r="AJ156" s="480">
        <v>174341.18212500005</v>
      </c>
      <c r="AK156" s="476">
        <v>36373.682682999992</v>
      </c>
      <c r="AL156" s="477">
        <v>45022.445359999976</v>
      </c>
      <c r="AM156" s="478">
        <v>184993.62016800002</v>
      </c>
      <c r="AN156" s="478"/>
      <c r="AO156" s="467"/>
      <c r="AP156" s="479">
        <f t="shared" si="28"/>
        <v>255737.31016800003</v>
      </c>
      <c r="AQ156" s="467"/>
      <c r="AR156" s="467"/>
      <c r="AS156" s="512">
        <f>+AI156+AJ156</f>
        <v>103597.49212500005</v>
      </c>
      <c r="AT156" s="476">
        <v>36373.682682999992</v>
      </c>
      <c r="AU156" s="477">
        <v>45022.445359999976</v>
      </c>
      <c r="AV156" s="494">
        <f t="shared" si="30"/>
        <v>184993.62016800002</v>
      </c>
      <c r="AW156" s="513">
        <f>+AV156-AM156</f>
        <v>0</v>
      </c>
      <c r="AX156" s="468"/>
      <c r="AY156" s="589">
        <v>25616.55359200004</v>
      </c>
      <c r="AZ156" s="510">
        <f t="shared" si="32"/>
        <v>210610.17376000006</v>
      </c>
      <c r="BA156" s="511">
        <f t="shared" si="33"/>
        <v>0</v>
      </c>
      <c r="BB156" s="460"/>
      <c r="BC156" s="464">
        <f t="shared" si="24"/>
        <v>0</v>
      </c>
    </row>
    <row r="157" spans="1:55" ht="15">
      <c r="A157" s="431">
        <v>151</v>
      </c>
      <c r="B157" s="431">
        <v>235</v>
      </c>
      <c r="C157" t="s">
        <v>574</v>
      </c>
      <c r="D157" t="s">
        <v>1009</v>
      </c>
      <c r="E157" s="372">
        <v>-261545.88486164337</v>
      </c>
      <c r="F157" s="372">
        <v>0</v>
      </c>
      <c r="G157" s="377">
        <v>0</v>
      </c>
      <c r="H157" s="590">
        <v>-558821.29720000084</v>
      </c>
      <c r="I157" s="358">
        <f t="shared" si="25"/>
        <v>-820367.18206164427</v>
      </c>
      <c r="K157" s="66">
        <f t="shared" si="23"/>
        <v>0</v>
      </c>
      <c r="L157" s="66"/>
      <c r="M157" s="431">
        <v>151</v>
      </c>
      <c r="N157" s="431">
        <v>235</v>
      </c>
      <c r="O157" s="443" t="s">
        <v>574</v>
      </c>
      <c r="P157" s="449" t="s">
        <v>1009</v>
      </c>
      <c r="Q157" s="203">
        <v>-558821.29720000084</v>
      </c>
      <c r="R157" s="457" t="s">
        <v>2509</v>
      </c>
      <c r="S157" s="253"/>
      <c r="T157" s="159">
        <v>150</v>
      </c>
      <c r="U157" t="s">
        <v>574</v>
      </c>
      <c r="V157" t="s">
        <v>1009</v>
      </c>
      <c r="W157" s="372">
        <v>-1425197.85</v>
      </c>
      <c r="X157" s="372">
        <v>-261545.88486164337</v>
      </c>
      <c r="Y157" s="377">
        <v>0</v>
      </c>
      <c r="Z157" s="378">
        <v>1313724.9303025112</v>
      </c>
      <c r="AA157" s="358">
        <f t="shared" si="26"/>
        <v>-373018.80455913232</v>
      </c>
      <c r="AE157" s="159">
        <f t="shared" si="27"/>
        <v>0</v>
      </c>
      <c r="AG157" s="471" t="s">
        <v>574</v>
      </c>
      <c r="AH157" s="467" t="s">
        <v>1009</v>
      </c>
      <c r="AI157" s="480">
        <v>-1425197.85</v>
      </c>
      <c r="AJ157" s="475">
        <v>-261545.88486164337</v>
      </c>
      <c r="AK157" s="476">
        <v>0</v>
      </c>
      <c r="AL157" s="482">
        <v>1313724.9303025112</v>
      </c>
      <c r="AM157" s="478">
        <v>-373018.80455913232</v>
      </c>
      <c r="AN157" s="478"/>
      <c r="AO157" s="467"/>
      <c r="AP157" s="479">
        <f t="shared" si="28"/>
        <v>1052179.0454408678</v>
      </c>
      <c r="AQ157" s="467"/>
      <c r="AR157" s="467"/>
      <c r="AS157" s="509">
        <f t="shared" si="29"/>
        <v>-261545.88486164337</v>
      </c>
      <c r="AT157" s="476">
        <v>0</v>
      </c>
      <c r="AU157" s="482">
        <v>0</v>
      </c>
      <c r="AV157" s="494">
        <f t="shared" si="30"/>
        <v>-261545.88486164337</v>
      </c>
      <c r="AW157" s="494">
        <f t="shared" si="31"/>
        <v>-1313724.9303025112</v>
      </c>
      <c r="AX157" s="468"/>
      <c r="AY157" s="589">
        <v>-558821.29720000084</v>
      </c>
      <c r="AZ157" s="510">
        <f t="shared" si="32"/>
        <v>-820367.18206164427</v>
      </c>
      <c r="BA157" s="511">
        <f t="shared" si="33"/>
        <v>0</v>
      </c>
      <c r="BB157" s="460"/>
      <c r="BC157" s="464">
        <f t="shared" si="24"/>
        <v>0</v>
      </c>
    </row>
    <row r="158" spans="1:55" ht="15">
      <c r="A158" s="431">
        <v>152</v>
      </c>
      <c r="B158" s="431">
        <v>79</v>
      </c>
      <c r="C158" t="s">
        <v>303</v>
      </c>
      <c r="D158" t="s">
        <v>1665</v>
      </c>
      <c r="E158" s="372">
        <v>-25419.127711999983</v>
      </c>
      <c r="F158" s="372">
        <v>-60714.005157999985</v>
      </c>
      <c r="G158" s="377">
        <v>-56800.895652000021</v>
      </c>
      <c r="H158" s="590">
        <v>-81800.349408000009</v>
      </c>
      <c r="I158" s="358">
        <f t="shared" si="25"/>
        <v>-224734.37793000002</v>
      </c>
      <c r="K158" s="66">
        <f t="shared" si="23"/>
        <v>0</v>
      </c>
      <c r="L158" s="66"/>
      <c r="M158" s="431">
        <v>152</v>
      </c>
      <c r="N158" s="431">
        <v>79</v>
      </c>
      <c r="O158" s="443" t="s">
        <v>303</v>
      </c>
      <c r="P158" s="443" t="s">
        <v>1665</v>
      </c>
      <c r="Q158" s="203">
        <v>-81800.349408000009</v>
      </c>
      <c r="R158" s="457" t="s">
        <v>2509</v>
      </c>
      <c r="S158" s="253"/>
      <c r="T158" s="159">
        <v>151</v>
      </c>
      <c r="U158" t="s">
        <v>303</v>
      </c>
      <c r="V158" t="s">
        <v>1665</v>
      </c>
      <c r="W158" s="372">
        <v>-90639.39</v>
      </c>
      <c r="X158" s="372">
        <v>-25419.127711999983</v>
      </c>
      <c r="Y158" s="377">
        <v>-60714.005157999985</v>
      </c>
      <c r="Z158" s="378">
        <v>-56800.895652000021</v>
      </c>
      <c r="AA158" s="358">
        <f t="shared" si="26"/>
        <v>-233573.41852200002</v>
      </c>
      <c r="AE158" s="159">
        <f t="shared" si="27"/>
        <v>0</v>
      </c>
      <c r="AG158" s="471" t="s">
        <v>303</v>
      </c>
      <c r="AH158" s="467" t="s">
        <v>1665</v>
      </c>
      <c r="AI158" s="475">
        <v>-90639.39</v>
      </c>
      <c r="AJ158" s="475">
        <v>-25419.127711999983</v>
      </c>
      <c r="AK158" s="476">
        <v>-60714.005157999985</v>
      </c>
      <c r="AL158" s="477">
        <v>-56800.895652000021</v>
      </c>
      <c r="AM158" s="478">
        <v>-233573.41852200002</v>
      </c>
      <c r="AN158" s="478"/>
      <c r="AO158" s="467"/>
      <c r="AP158" s="479">
        <f t="shared" si="28"/>
        <v>-142934.02852200001</v>
      </c>
      <c r="AQ158" s="467"/>
      <c r="AR158" s="467"/>
      <c r="AS158" s="509">
        <f t="shared" si="29"/>
        <v>-25419.127711999983</v>
      </c>
      <c r="AT158" s="476">
        <v>-60714.005157999985</v>
      </c>
      <c r="AU158" s="477">
        <v>-56800.895652000021</v>
      </c>
      <c r="AV158" s="494">
        <f t="shared" si="30"/>
        <v>-142934.02852200001</v>
      </c>
      <c r="AW158" s="494">
        <f t="shared" si="31"/>
        <v>0</v>
      </c>
      <c r="AX158" s="468"/>
      <c r="AY158" s="589">
        <v>-81800.349408000009</v>
      </c>
      <c r="AZ158" s="510">
        <f t="shared" si="32"/>
        <v>-224734.37793000002</v>
      </c>
      <c r="BA158" s="511">
        <f t="shared" si="33"/>
        <v>0</v>
      </c>
      <c r="BB158" s="460"/>
      <c r="BC158" s="464">
        <f t="shared" si="24"/>
        <v>0</v>
      </c>
    </row>
    <row r="159" spans="1:55" ht="15">
      <c r="A159" s="431">
        <v>153</v>
      </c>
      <c r="B159" s="431">
        <v>249</v>
      </c>
      <c r="C159" t="s">
        <v>602</v>
      </c>
      <c r="D159" t="s">
        <v>1020</v>
      </c>
      <c r="E159" s="372">
        <v>297037.0032236884</v>
      </c>
      <c r="F159" s="372">
        <v>1437306.0641535223</v>
      </c>
      <c r="G159" s="377">
        <v>355801.84511667694</v>
      </c>
      <c r="H159" s="590">
        <v>-289295.614604</v>
      </c>
      <c r="I159" s="358">
        <f t="shared" si="25"/>
        <v>1800849.2978898876</v>
      </c>
      <c r="K159" s="66">
        <f t="shared" si="23"/>
        <v>0</v>
      </c>
      <c r="L159" s="66"/>
      <c r="M159" s="431">
        <v>153</v>
      </c>
      <c r="N159" s="431">
        <v>249</v>
      </c>
      <c r="O159" s="443" t="s">
        <v>602</v>
      </c>
      <c r="P159" s="443" t="s">
        <v>1020</v>
      </c>
      <c r="Q159" s="203">
        <v>-289295.614604</v>
      </c>
      <c r="R159" s="457" t="s">
        <v>2509</v>
      </c>
      <c r="S159" s="253"/>
      <c r="T159" s="159">
        <v>152</v>
      </c>
      <c r="U159" t="s">
        <v>602</v>
      </c>
      <c r="V159" t="s">
        <v>1020</v>
      </c>
      <c r="W159" s="372">
        <v>-151309.19</v>
      </c>
      <c r="X159" s="372">
        <v>448346.1932236884</v>
      </c>
      <c r="Y159" s="377">
        <v>1437306.0641535223</v>
      </c>
      <c r="Z159" s="378">
        <v>355801.84511667694</v>
      </c>
      <c r="AA159" s="358">
        <f t="shared" si="26"/>
        <v>2090144.9124938876</v>
      </c>
      <c r="AE159" s="159">
        <f t="shared" si="27"/>
        <v>0</v>
      </c>
      <c r="AG159" s="471" t="s">
        <v>602</v>
      </c>
      <c r="AH159" s="467" t="s">
        <v>1020</v>
      </c>
      <c r="AI159" s="480">
        <v>-151309.19</v>
      </c>
      <c r="AJ159" s="480">
        <v>448346.1932236884</v>
      </c>
      <c r="AK159" s="476">
        <v>1437306.0641535223</v>
      </c>
      <c r="AL159" s="477">
        <v>355801.84511667694</v>
      </c>
      <c r="AM159" s="478">
        <v>2090144.9124938876</v>
      </c>
      <c r="AN159" s="478"/>
      <c r="AO159" s="467"/>
      <c r="AP159" s="479">
        <f t="shared" si="28"/>
        <v>2241454.1024938873</v>
      </c>
      <c r="AQ159" s="467"/>
      <c r="AR159" s="467"/>
      <c r="AS159" s="512">
        <f>+AI159+AJ159</f>
        <v>297037.0032236884</v>
      </c>
      <c r="AT159" s="476">
        <v>1437306.0641535223</v>
      </c>
      <c r="AU159" s="477">
        <v>355801.84511667694</v>
      </c>
      <c r="AV159" s="494">
        <f t="shared" si="30"/>
        <v>2090144.9124938876</v>
      </c>
      <c r="AW159" s="513">
        <f>+AV159-AM159</f>
        <v>0</v>
      </c>
      <c r="AX159" s="468"/>
      <c r="AY159" s="589">
        <v>-289295.614604</v>
      </c>
      <c r="AZ159" s="510">
        <f t="shared" si="32"/>
        <v>1800849.2978898876</v>
      </c>
      <c r="BA159" s="511">
        <f t="shared" si="33"/>
        <v>0</v>
      </c>
      <c r="BB159" s="460"/>
      <c r="BC159" s="464">
        <f t="shared" si="24"/>
        <v>0</v>
      </c>
    </row>
    <row r="160" spans="1:55" ht="15">
      <c r="A160" s="431">
        <v>154</v>
      </c>
      <c r="B160" s="431">
        <v>248</v>
      </c>
      <c r="C160" t="s">
        <v>600</v>
      </c>
      <c r="D160" t="s">
        <v>1019</v>
      </c>
      <c r="E160" s="372">
        <v>-231544.20767500001</v>
      </c>
      <c r="F160" s="372">
        <v>-186917.21016899985</v>
      </c>
      <c r="G160" s="377">
        <v>-418107.49812400009</v>
      </c>
      <c r="H160" s="590">
        <v>-548041.23189999978</v>
      </c>
      <c r="I160" s="358">
        <f t="shared" si="25"/>
        <v>-1384610.1478679997</v>
      </c>
      <c r="K160" s="66">
        <f t="shared" si="23"/>
        <v>0</v>
      </c>
      <c r="L160" s="66"/>
      <c r="M160" s="431">
        <v>154</v>
      </c>
      <c r="N160" s="431">
        <v>248</v>
      </c>
      <c r="O160" s="443" t="s">
        <v>600</v>
      </c>
      <c r="P160" s="443" t="s">
        <v>1019</v>
      </c>
      <c r="Q160" s="203">
        <v>-548041.23189999978</v>
      </c>
      <c r="R160" s="457" t="s">
        <v>2509</v>
      </c>
      <c r="S160" s="253"/>
      <c r="T160" s="159">
        <v>153</v>
      </c>
      <c r="U160" t="s">
        <v>600</v>
      </c>
      <c r="V160" t="s">
        <v>1019</v>
      </c>
      <c r="W160" s="372">
        <v>-271923.73</v>
      </c>
      <c r="X160" s="372">
        <v>-231544.20767500001</v>
      </c>
      <c r="Y160" s="377">
        <v>-186917.21016899985</v>
      </c>
      <c r="Z160" s="378">
        <v>-418107.49812400009</v>
      </c>
      <c r="AA160" s="358">
        <f t="shared" si="26"/>
        <v>-1108492.6459679999</v>
      </c>
      <c r="AE160" s="159">
        <f t="shared" si="27"/>
        <v>0</v>
      </c>
      <c r="AG160" s="471" t="s">
        <v>600</v>
      </c>
      <c r="AH160" s="467" t="s">
        <v>1019</v>
      </c>
      <c r="AI160" s="475">
        <v>-271923.73</v>
      </c>
      <c r="AJ160" s="475">
        <v>-231544.20767500001</v>
      </c>
      <c r="AK160" s="476">
        <v>-186917.21016899985</v>
      </c>
      <c r="AL160" s="477">
        <v>-418107.49812400009</v>
      </c>
      <c r="AM160" s="478">
        <v>-1108492.6459679999</v>
      </c>
      <c r="AN160" s="478"/>
      <c r="AO160" s="467"/>
      <c r="AP160" s="479">
        <f t="shared" si="28"/>
        <v>-836568.91596799996</v>
      </c>
      <c r="AQ160" s="467"/>
      <c r="AR160" s="467"/>
      <c r="AS160" s="509">
        <f t="shared" si="29"/>
        <v>-231544.20767500001</v>
      </c>
      <c r="AT160" s="476">
        <v>-186917.21016899985</v>
      </c>
      <c r="AU160" s="477">
        <v>-418107.49812400009</v>
      </c>
      <c r="AV160" s="494">
        <f t="shared" si="30"/>
        <v>-836568.91596799996</v>
      </c>
      <c r="AW160" s="494">
        <f t="shared" si="31"/>
        <v>0</v>
      </c>
      <c r="AX160" s="468"/>
      <c r="AY160" s="589">
        <v>-548041.23189999978</v>
      </c>
      <c r="AZ160" s="510">
        <f t="shared" si="32"/>
        <v>-1384610.1478679997</v>
      </c>
      <c r="BA160" s="511">
        <f t="shared" si="33"/>
        <v>0</v>
      </c>
      <c r="BB160" s="460"/>
      <c r="BC160" s="464">
        <f t="shared" si="24"/>
        <v>0</v>
      </c>
    </row>
    <row r="161" spans="1:55" ht="15">
      <c r="A161" s="431">
        <v>155</v>
      </c>
      <c r="B161" s="431">
        <v>100</v>
      </c>
      <c r="C161" t="s">
        <v>344</v>
      </c>
      <c r="D161" t="s">
        <v>909</v>
      </c>
      <c r="E161" s="372">
        <v>0</v>
      </c>
      <c r="F161" s="372">
        <v>-91042.906208596658</v>
      </c>
      <c r="G161" s="377">
        <v>-433681.8898075528</v>
      </c>
      <c r="H161" s="590">
        <v>-40773.316009999719</v>
      </c>
      <c r="I161" s="358">
        <f t="shared" si="25"/>
        <v>-565498.11202614917</v>
      </c>
      <c r="K161" s="66">
        <f t="shared" si="23"/>
        <v>0</v>
      </c>
      <c r="L161" s="66"/>
      <c r="M161" s="431">
        <v>155</v>
      </c>
      <c r="N161" s="431">
        <v>100</v>
      </c>
      <c r="O161" s="443" t="s">
        <v>344</v>
      </c>
      <c r="P161" s="443" t="s">
        <v>909</v>
      </c>
      <c r="Q161" s="203">
        <v>-40773.316009999719</v>
      </c>
      <c r="R161" s="457" t="s">
        <v>2509</v>
      </c>
      <c r="S161" s="253"/>
      <c r="T161" s="159">
        <v>154</v>
      </c>
      <c r="U161" t="s">
        <v>344</v>
      </c>
      <c r="V161" t="s">
        <v>909</v>
      </c>
      <c r="W161" s="372">
        <v>-27029.69</v>
      </c>
      <c r="X161" s="372">
        <v>0</v>
      </c>
      <c r="Y161" s="377">
        <v>-91042.906208596658</v>
      </c>
      <c r="Z161" s="378">
        <v>-433681.8898075528</v>
      </c>
      <c r="AA161" s="358">
        <f t="shared" si="26"/>
        <v>-551754.4860161494</v>
      </c>
      <c r="AE161" s="159">
        <f t="shared" si="27"/>
        <v>0</v>
      </c>
      <c r="AG161" s="471" t="s">
        <v>344</v>
      </c>
      <c r="AH161" s="467" t="s">
        <v>909</v>
      </c>
      <c r="AI161" s="475">
        <v>-27029.69</v>
      </c>
      <c r="AJ161" s="475">
        <v>0</v>
      </c>
      <c r="AK161" s="476">
        <v>-91042.906208596658</v>
      </c>
      <c r="AL161" s="477">
        <v>-433681.8898075528</v>
      </c>
      <c r="AM161" s="478">
        <v>-551754.4860161494</v>
      </c>
      <c r="AN161" s="478"/>
      <c r="AO161" s="467"/>
      <c r="AP161" s="479">
        <f t="shared" si="28"/>
        <v>-524724.79601614946</v>
      </c>
      <c r="AQ161" s="467"/>
      <c r="AR161" s="467"/>
      <c r="AS161" s="509">
        <f t="shared" si="29"/>
        <v>0</v>
      </c>
      <c r="AT161" s="476">
        <v>-91042.906208596658</v>
      </c>
      <c r="AU161" s="477">
        <v>-433681.8898075528</v>
      </c>
      <c r="AV161" s="494">
        <f t="shared" si="30"/>
        <v>-524724.79601614946</v>
      </c>
      <c r="AW161" s="494">
        <f t="shared" si="31"/>
        <v>0</v>
      </c>
      <c r="AX161" s="468"/>
      <c r="AY161" s="589">
        <v>-40773.316009999719</v>
      </c>
      <c r="AZ161" s="510">
        <f t="shared" si="32"/>
        <v>-565498.11202614917</v>
      </c>
      <c r="BA161" s="511">
        <f t="shared" si="33"/>
        <v>0</v>
      </c>
      <c r="BB161" s="460"/>
      <c r="BC161" s="464">
        <f t="shared" si="24"/>
        <v>0</v>
      </c>
    </row>
    <row r="162" spans="1:55" ht="15">
      <c r="A162" s="431">
        <v>156</v>
      </c>
      <c r="B162" s="431">
        <v>296</v>
      </c>
      <c r="C162" t="s">
        <v>679</v>
      </c>
      <c r="D162" t="s">
        <v>1056</v>
      </c>
      <c r="E162" s="372">
        <v>95137.948452000026</v>
      </c>
      <c r="F162" s="372">
        <v>-42261.082734999945</v>
      </c>
      <c r="G162" s="377">
        <v>-122519.57513600009</v>
      </c>
      <c r="H162" s="590">
        <v>-54174.097424999927</v>
      </c>
      <c r="I162" s="358">
        <f t="shared" si="25"/>
        <v>-123816.80684399993</v>
      </c>
      <c r="K162" s="66">
        <f t="shared" si="23"/>
        <v>0</v>
      </c>
      <c r="L162" s="66"/>
      <c r="M162" s="431">
        <v>156</v>
      </c>
      <c r="N162" s="431">
        <v>296</v>
      </c>
      <c r="O162" s="443" t="s">
        <v>679</v>
      </c>
      <c r="P162" s="443" t="s">
        <v>1056</v>
      </c>
      <c r="Q162" s="203">
        <v>-54174.097424999927</v>
      </c>
      <c r="R162" s="457" t="s">
        <v>2509</v>
      </c>
      <c r="S162" s="253"/>
      <c r="T162" s="159">
        <v>155</v>
      </c>
      <c r="U162" t="s">
        <v>679</v>
      </c>
      <c r="V162" t="s">
        <v>1056</v>
      </c>
      <c r="W162" s="372">
        <v>-14472.28</v>
      </c>
      <c r="X162" s="372">
        <v>109610.22845200002</v>
      </c>
      <c r="Y162" s="377">
        <v>-42261.082734999945</v>
      </c>
      <c r="Z162" s="378">
        <v>-122519.57513600009</v>
      </c>
      <c r="AA162" s="358">
        <f t="shared" si="26"/>
        <v>-69642.709419000006</v>
      </c>
      <c r="AE162" s="159">
        <f t="shared" si="27"/>
        <v>0</v>
      </c>
      <c r="AG162" s="471" t="s">
        <v>679</v>
      </c>
      <c r="AH162" s="467" t="s">
        <v>1056</v>
      </c>
      <c r="AI162" s="480">
        <v>-14472.28</v>
      </c>
      <c r="AJ162" s="480">
        <v>109610.22845200002</v>
      </c>
      <c r="AK162" s="476">
        <v>-42261.082734999945</v>
      </c>
      <c r="AL162" s="477">
        <v>-122519.57513600009</v>
      </c>
      <c r="AM162" s="478">
        <v>-69642.709419000006</v>
      </c>
      <c r="AN162" s="478"/>
      <c r="AO162" s="467"/>
      <c r="AP162" s="479">
        <f t="shared" si="28"/>
        <v>-55170.429419000007</v>
      </c>
      <c r="AQ162" s="467"/>
      <c r="AR162" s="467"/>
      <c r="AS162" s="512">
        <f>+AI162+AJ162</f>
        <v>95137.948452000026</v>
      </c>
      <c r="AT162" s="476">
        <v>-42261.082734999945</v>
      </c>
      <c r="AU162" s="477">
        <v>-122519.57513600009</v>
      </c>
      <c r="AV162" s="494">
        <f t="shared" si="30"/>
        <v>-69642.709419000006</v>
      </c>
      <c r="AW162" s="513">
        <f>+AV162-AM162</f>
        <v>0</v>
      </c>
      <c r="AX162" s="468"/>
      <c r="AY162" s="589">
        <v>-54174.097424999927</v>
      </c>
      <c r="AZ162" s="510">
        <f t="shared" si="32"/>
        <v>-123816.80684399993</v>
      </c>
      <c r="BA162" s="511">
        <f t="shared" si="33"/>
        <v>0</v>
      </c>
      <c r="BB162" s="460"/>
      <c r="BC162" s="464">
        <f t="shared" si="24"/>
        <v>0</v>
      </c>
    </row>
    <row r="163" spans="1:55" ht="15">
      <c r="A163" s="431">
        <v>157</v>
      </c>
      <c r="B163" s="431">
        <v>183</v>
      </c>
      <c r="C163" t="s">
        <v>482</v>
      </c>
      <c r="D163" t="s">
        <v>970</v>
      </c>
      <c r="E163" s="372">
        <v>-151343.66263199999</v>
      </c>
      <c r="F163" s="372">
        <v>-60195.889557999908</v>
      </c>
      <c r="G163" s="377">
        <v>-140747.98052000004</v>
      </c>
      <c r="H163" s="590">
        <v>-148551.26988999994</v>
      </c>
      <c r="I163" s="358">
        <f t="shared" si="25"/>
        <v>-500838.80259999988</v>
      </c>
      <c r="K163" s="66">
        <f t="shared" si="23"/>
        <v>0</v>
      </c>
      <c r="L163" s="66"/>
      <c r="M163" s="431">
        <v>157</v>
      </c>
      <c r="N163" s="431">
        <v>183</v>
      </c>
      <c r="O163" s="443" t="s">
        <v>482</v>
      </c>
      <c r="P163" s="443" t="s">
        <v>970</v>
      </c>
      <c r="Q163" s="203">
        <v>-148551.26988999994</v>
      </c>
      <c r="R163" s="457" t="s">
        <v>2509</v>
      </c>
      <c r="S163" s="253"/>
      <c r="T163" s="159">
        <v>156</v>
      </c>
      <c r="U163" t="s">
        <v>482</v>
      </c>
      <c r="V163" t="s">
        <v>970</v>
      </c>
      <c r="W163" s="372">
        <v>-101399.35</v>
      </c>
      <c r="X163" s="372">
        <v>-151343.66263199999</v>
      </c>
      <c r="Y163" s="377">
        <v>-60195.889557999908</v>
      </c>
      <c r="Z163" s="378">
        <v>-140747.98052000004</v>
      </c>
      <c r="AA163" s="358">
        <f t="shared" si="26"/>
        <v>-453686.88270999998</v>
      </c>
      <c r="AE163" s="159">
        <f t="shared" si="27"/>
        <v>0</v>
      </c>
      <c r="AG163" s="471" t="s">
        <v>482</v>
      </c>
      <c r="AH163" s="467" t="s">
        <v>970</v>
      </c>
      <c r="AI163" s="475">
        <v>-101399.35</v>
      </c>
      <c r="AJ163" s="475">
        <v>-151343.66263199999</v>
      </c>
      <c r="AK163" s="476">
        <v>-60195.889557999908</v>
      </c>
      <c r="AL163" s="477">
        <v>-140747.98052000004</v>
      </c>
      <c r="AM163" s="478">
        <v>-453686.88270999998</v>
      </c>
      <c r="AN163" s="478"/>
      <c r="AO163" s="467"/>
      <c r="AP163" s="479">
        <f t="shared" si="28"/>
        <v>-352287.53270999994</v>
      </c>
      <c r="AQ163" s="467"/>
      <c r="AR163" s="467"/>
      <c r="AS163" s="509">
        <f t="shared" si="29"/>
        <v>-151343.66263199999</v>
      </c>
      <c r="AT163" s="476">
        <v>-60195.889557999908</v>
      </c>
      <c r="AU163" s="477">
        <v>-140747.98052000004</v>
      </c>
      <c r="AV163" s="494">
        <f t="shared" si="30"/>
        <v>-352287.53270999994</v>
      </c>
      <c r="AW163" s="494">
        <f t="shared" si="31"/>
        <v>0</v>
      </c>
      <c r="AX163" s="468"/>
      <c r="AY163" s="589">
        <v>-148551.26988999994</v>
      </c>
      <c r="AZ163" s="510">
        <f t="shared" si="32"/>
        <v>-500838.80259999988</v>
      </c>
      <c r="BA163" s="511">
        <f t="shared" si="33"/>
        <v>0</v>
      </c>
      <c r="BB163" s="460"/>
      <c r="BC163" s="464">
        <f t="shared" si="24"/>
        <v>0</v>
      </c>
    </row>
    <row r="164" spans="1:55" ht="15">
      <c r="A164" s="431">
        <v>158</v>
      </c>
      <c r="B164" s="431">
        <v>228</v>
      </c>
      <c r="C164" t="s">
        <v>560</v>
      </c>
      <c r="D164" t="s">
        <v>1003</v>
      </c>
      <c r="E164" s="372">
        <v>-36033.161083999999</v>
      </c>
      <c r="F164" s="372">
        <v>-67286.516527999978</v>
      </c>
      <c r="G164" s="377">
        <v>-63245.651627999992</v>
      </c>
      <c r="H164" s="590">
        <v>-53482.505056000002</v>
      </c>
      <c r="I164" s="358">
        <f t="shared" si="25"/>
        <v>-220047.83429599996</v>
      </c>
      <c r="K164" s="66">
        <f t="shared" si="23"/>
        <v>0</v>
      </c>
      <c r="L164" s="66"/>
      <c r="M164" s="431">
        <v>158</v>
      </c>
      <c r="N164" s="431">
        <v>228</v>
      </c>
      <c r="O164" s="443" t="s">
        <v>560</v>
      </c>
      <c r="P164" s="443" t="s">
        <v>1003</v>
      </c>
      <c r="Q164" s="203">
        <v>-53482.505056000002</v>
      </c>
      <c r="R164" s="457" t="s">
        <v>2509</v>
      </c>
      <c r="S164" s="253"/>
      <c r="T164" s="159">
        <v>157</v>
      </c>
      <c r="U164" t="s">
        <v>560</v>
      </c>
      <c r="V164" t="s">
        <v>1003</v>
      </c>
      <c r="W164" s="372">
        <v>-44851.25</v>
      </c>
      <c r="X164" s="372">
        <v>-36033.161083999999</v>
      </c>
      <c r="Y164" s="377">
        <v>-67286.516527999978</v>
      </c>
      <c r="Z164" s="378">
        <v>-63245.651627999992</v>
      </c>
      <c r="AA164" s="358">
        <f t="shared" si="26"/>
        <v>-211416.57923999996</v>
      </c>
      <c r="AE164" s="159">
        <f t="shared" si="27"/>
        <v>0</v>
      </c>
      <c r="AG164" s="471" t="s">
        <v>560</v>
      </c>
      <c r="AH164" s="467" t="s">
        <v>1003</v>
      </c>
      <c r="AI164" s="475">
        <v>-44851.25</v>
      </c>
      <c r="AJ164" s="475">
        <v>-36033.161083999999</v>
      </c>
      <c r="AK164" s="476">
        <v>-67286.516527999978</v>
      </c>
      <c r="AL164" s="477">
        <v>-63245.651627999992</v>
      </c>
      <c r="AM164" s="478">
        <v>-211416.57923999996</v>
      </c>
      <c r="AN164" s="478"/>
      <c r="AO164" s="467"/>
      <c r="AP164" s="479">
        <f t="shared" si="28"/>
        <v>-166565.32923999996</v>
      </c>
      <c r="AQ164" s="467"/>
      <c r="AR164" s="467"/>
      <c r="AS164" s="509">
        <f t="shared" si="29"/>
        <v>-36033.161083999999</v>
      </c>
      <c r="AT164" s="476">
        <v>-67286.516527999978</v>
      </c>
      <c r="AU164" s="477">
        <v>-63245.651627999992</v>
      </c>
      <c r="AV164" s="494">
        <f t="shared" si="30"/>
        <v>-166565.32923999996</v>
      </c>
      <c r="AW164" s="494">
        <f t="shared" si="31"/>
        <v>0</v>
      </c>
      <c r="AX164" s="468"/>
      <c r="AY164" s="589">
        <v>-53482.505056000002</v>
      </c>
      <c r="AZ164" s="510">
        <f t="shared" si="32"/>
        <v>-220047.83429599996</v>
      </c>
      <c r="BA164" s="511">
        <f t="shared" si="33"/>
        <v>0</v>
      </c>
      <c r="BB164" s="460"/>
      <c r="BC164" s="464">
        <f t="shared" si="24"/>
        <v>0</v>
      </c>
    </row>
    <row r="165" spans="1:55" ht="15">
      <c r="A165" s="431">
        <v>159</v>
      </c>
      <c r="B165" s="431">
        <v>237</v>
      </c>
      <c r="C165" t="s">
        <v>578</v>
      </c>
      <c r="D165" t="s">
        <v>1011</v>
      </c>
      <c r="E165" s="372">
        <v>51169.375808000259</v>
      </c>
      <c r="F165" s="372">
        <v>43134.259329999608</v>
      </c>
      <c r="G165" s="377">
        <v>53290.983080000035</v>
      </c>
      <c r="H165" s="590">
        <v>-100425.23822999978</v>
      </c>
      <c r="I165" s="358">
        <f t="shared" si="25"/>
        <v>47169.379988000117</v>
      </c>
      <c r="K165" s="66">
        <f t="shared" si="23"/>
        <v>0</v>
      </c>
      <c r="L165" s="66"/>
      <c r="M165" s="431">
        <v>159</v>
      </c>
      <c r="N165" s="431">
        <v>237</v>
      </c>
      <c r="O165" s="443" t="s">
        <v>578</v>
      </c>
      <c r="P165" s="443" t="s">
        <v>1011</v>
      </c>
      <c r="Q165" s="203">
        <v>-100425.23822999978</v>
      </c>
      <c r="R165" s="457" t="s">
        <v>2509</v>
      </c>
      <c r="S165" s="253"/>
      <c r="T165" s="159">
        <v>158</v>
      </c>
      <c r="U165" t="s">
        <v>578</v>
      </c>
      <c r="V165" t="s">
        <v>1011</v>
      </c>
      <c r="W165" s="372">
        <v>-35799.33</v>
      </c>
      <c r="X165" s="372">
        <v>86968.705808000261</v>
      </c>
      <c r="Y165" s="377">
        <v>43134.259329999608</v>
      </c>
      <c r="Z165" s="378">
        <v>53290.983080000035</v>
      </c>
      <c r="AA165" s="358">
        <f t="shared" si="26"/>
        <v>147594.6182179999</v>
      </c>
      <c r="AE165" s="159">
        <f t="shared" si="27"/>
        <v>0</v>
      </c>
      <c r="AG165" s="471" t="s">
        <v>578</v>
      </c>
      <c r="AH165" s="467" t="s">
        <v>1011</v>
      </c>
      <c r="AI165" s="480">
        <v>-35799.33</v>
      </c>
      <c r="AJ165" s="480">
        <v>86968.705808000261</v>
      </c>
      <c r="AK165" s="476">
        <v>43134.259329999608</v>
      </c>
      <c r="AL165" s="477">
        <v>53290.983080000035</v>
      </c>
      <c r="AM165" s="478">
        <v>147594.6182179999</v>
      </c>
      <c r="AN165" s="478"/>
      <c r="AO165" s="467"/>
      <c r="AP165" s="479">
        <f t="shared" si="28"/>
        <v>183393.94821799989</v>
      </c>
      <c r="AQ165" s="467"/>
      <c r="AR165" s="467"/>
      <c r="AS165" s="512">
        <f>+AI165+AJ165</f>
        <v>51169.375808000259</v>
      </c>
      <c r="AT165" s="476">
        <v>43134.259329999608</v>
      </c>
      <c r="AU165" s="477">
        <v>53290.983080000035</v>
      </c>
      <c r="AV165" s="494">
        <f t="shared" si="30"/>
        <v>147594.6182179999</v>
      </c>
      <c r="AW165" s="513">
        <f>+AV165-AM165</f>
        <v>0</v>
      </c>
      <c r="AX165" s="468"/>
      <c r="AY165" s="589">
        <v>-100425.23822999978</v>
      </c>
      <c r="AZ165" s="510">
        <f t="shared" si="32"/>
        <v>47169.379988000117</v>
      </c>
      <c r="BA165" s="511">
        <f t="shared" si="33"/>
        <v>0</v>
      </c>
      <c r="BB165" s="460"/>
      <c r="BC165" s="464">
        <f t="shared" si="24"/>
        <v>0</v>
      </c>
    </row>
    <row r="166" spans="1:55" ht="15">
      <c r="A166" s="431">
        <v>160</v>
      </c>
      <c r="B166" s="431">
        <v>80</v>
      </c>
      <c r="C166" t="s">
        <v>305</v>
      </c>
      <c r="D166" t="s">
        <v>890</v>
      </c>
      <c r="E166" s="372">
        <v>-63412.22119999992</v>
      </c>
      <c r="F166" s="372">
        <v>1374.1864750001114</v>
      </c>
      <c r="G166" s="377">
        <v>-74013.351280000163</v>
      </c>
      <c r="H166" s="590">
        <v>-132125.85943000007</v>
      </c>
      <c r="I166" s="358">
        <f t="shared" si="25"/>
        <v>-268177.24543500005</v>
      </c>
      <c r="K166" s="66">
        <f t="shared" si="23"/>
        <v>0</v>
      </c>
      <c r="L166" s="66"/>
      <c r="M166" s="431">
        <v>160</v>
      </c>
      <c r="N166" s="431">
        <v>80</v>
      </c>
      <c r="O166" s="443" t="s">
        <v>305</v>
      </c>
      <c r="P166" s="443" t="s">
        <v>890</v>
      </c>
      <c r="Q166" s="203">
        <v>-132125.85943000007</v>
      </c>
      <c r="R166" s="457" t="s">
        <v>2509</v>
      </c>
      <c r="S166" s="253"/>
      <c r="T166" s="159">
        <v>159</v>
      </c>
      <c r="U166" t="s">
        <v>305</v>
      </c>
      <c r="V166" t="s">
        <v>890</v>
      </c>
      <c r="W166" s="372">
        <v>-139487.31</v>
      </c>
      <c r="X166" s="372">
        <v>-63412.22119999992</v>
      </c>
      <c r="Y166" s="377">
        <v>1374.1864750001114</v>
      </c>
      <c r="Z166" s="378">
        <v>-74013.351280000163</v>
      </c>
      <c r="AA166" s="358">
        <f t="shared" si="26"/>
        <v>-275538.69600499998</v>
      </c>
      <c r="AE166" s="159">
        <f t="shared" si="27"/>
        <v>0</v>
      </c>
      <c r="AG166" s="471" t="s">
        <v>305</v>
      </c>
      <c r="AH166" s="467" t="s">
        <v>890</v>
      </c>
      <c r="AI166" s="475">
        <v>-139487.31</v>
      </c>
      <c r="AJ166" s="475">
        <v>-63412.22119999992</v>
      </c>
      <c r="AK166" s="476">
        <v>1374.1864750001114</v>
      </c>
      <c r="AL166" s="477">
        <v>-74013.351280000163</v>
      </c>
      <c r="AM166" s="478">
        <v>-275538.69600499998</v>
      </c>
      <c r="AN166" s="478"/>
      <c r="AO166" s="467"/>
      <c r="AP166" s="479">
        <f t="shared" si="28"/>
        <v>-136051.38600499998</v>
      </c>
      <c r="AQ166" s="467"/>
      <c r="AR166" s="467"/>
      <c r="AS166" s="509">
        <f t="shared" si="29"/>
        <v>-63412.22119999992</v>
      </c>
      <c r="AT166" s="476">
        <v>1374.1864750001114</v>
      </c>
      <c r="AU166" s="477">
        <v>-74013.351280000163</v>
      </c>
      <c r="AV166" s="494">
        <f t="shared" si="30"/>
        <v>-136051.38600499998</v>
      </c>
      <c r="AW166" s="494">
        <f t="shared" si="31"/>
        <v>0</v>
      </c>
      <c r="AX166" s="468"/>
      <c r="AY166" s="589">
        <v>-132125.85943000007</v>
      </c>
      <c r="AZ166" s="510">
        <f t="shared" si="32"/>
        <v>-268177.24543500005</v>
      </c>
      <c r="BA166" s="511">
        <f t="shared" si="33"/>
        <v>0</v>
      </c>
      <c r="BB166" s="460"/>
      <c r="BC166" s="464">
        <f t="shared" si="24"/>
        <v>0</v>
      </c>
    </row>
    <row r="167" spans="1:55" ht="15">
      <c r="A167" s="431">
        <v>161</v>
      </c>
      <c r="B167" s="431">
        <v>153</v>
      </c>
      <c r="C167" t="s">
        <v>422</v>
      </c>
      <c r="D167" t="s">
        <v>941</v>
      </c>
      <c r="E167" s="372">
        <v>-53267.641173999997</v>
      </c>
      <c r="F167" s="372">
        <v>-58207.793790000025</v>
      </c>
      <c r="G167" s="377">
        <v>-16408.024164999973</v>
      </c>
      <c r="H167" s="590">
        <v>-25064.243828000035</v>
      </c>
      <c r="I167" s="358">
        <f t="shared" si="25"/>
        <v>-152947.70295700003</v>
      </c>
      <c r="K167" s="66">
        <f t="shared" si="23"/>
        <v>0</v>
      </c>
      <c r="L167" s="66"/>
      <c r="M167" s="431">
        <v>161</v>
      </c>
      <c r="N167" s="431">
        <v>153</v>
      </c>
      <c r="O167" s="443" t="s">
        <v>422</v>
      </c>
      <c r="P167" s="443" t="s">
        <v>941</v>
      </c>
      <c r="Q167" s="203">
        <v>-25064.243828000035</v>
      </c>
      <c r="R167" s="457" t="s">
        <v>2509</v>
      </c>
      <c r="S167" s="253"/>
      <c r="T167" s="159">
        <v>160</v>
      </c>
      <c r="U167" t="s">
        <v>422</v>
      </c>
      <c r="V167" t="s">
        <v>941</v>
      </c>
      <c r="W167" s="372">
        <v>-45809.54</v>
      </c>
      <c r="X167" s="372">
        <v>-53267.641173999997</v>
      </c>
      <c r="Y167" s="377">
        <v>-58207.793790000025</v>
      </c>
      <c r="Z167" s="378">
        <v>-16408.024164999973</v>
      </c>
      <c r="AA167" s="358">
        <f t="shared" si="26"/>
        <v>-173692.999129</v>
      </c>
      <c r="AE167" s="159">
        <f t="shared" si="27"/>
        <v>0</v>
      </c>
      <c r="AG167" s="471" t="s">
        <v>422</v>
      </c>
      <c r="AH167" s="467" t="s">
        <v>941</v>
      </c>
      <c r="AI167" s="475">
        <v>-45809.54</v>
      </c>
      <c r="AJ167" s="475">
        <v>-53267.641173999997</v>
      </c>
      <c r="AK167" s="476">
        <v>-58207.793790000025</v>
      </c>
      <c r="AL167" s="477">
        <v>-16408.024164999973</v>
      </c>
      <c r="AM167" s="478">
        <v>-173692.999129</v>
      </c>
      <c r="AN167" s="478"/>
      <c r="AO167" s="467"/>
      <c r="AP167" s="479">
        <f t="shared" si="28"/>
        <v>-127883.459129</v>
      </c>
      <c r="AQ167" s="467"/>
      <c r="AR167" s="467"/>
      <c r="AS167" s="509">
        <f t="shared" si="29"/>
        <v>-53267.641173999997</v>
      </c>
      <c r="AT167" s="476">
        <v>-58207.793790000025</v>
      </c>
      <c r="AU167" s="477">
        <v>-16408.024164999973</v>
      </c>
      <c r="AV167" s="494">
        <f t="shared" si="30"/>
        <v>-127883.459129</v>
      </c>
      <c r="AW167" s="494">
        <f t="shared" si="31"/>
        <v>0</v>
      </c>
      <c r="AX167" s="468"/>
      <c r="AY167" s="589">
        <v>-25064.243828000035</v>
      </c>
      <c r="AZ167" s="510">
        <f t="shared" si="32"/>
        <v>-152947.70295700003</v>
      </c>
      <c r="BA167" s="511">
        <f t="shared" si="33"/>
        <v>0</v>
      </c>
      <c r="BB167" s="460"/>
      <c r="BC167" s="464">
        <f t="shared" si="24"/>
        <v>0</v>
      </c>
    </row>
    <row r="168" spans="1:55" ht="15">
      <c r="A168" s="431">
        <v>162</v>
      </c>
      <c r="B168" s="431">
        <v>72</v>
      </c>
      <c r="C168" t="s">
        <v>289</v>
      </c>
      <c r="D168" t="s">
        <v>883</v>
      </c>
      <c r="E168" s="372">
        <v>-658525.62757999974</v>
      </c>
      <c r="F168" s="372">
        <v>-157362.82635232899</v>
      </c>
      <c r="G168" s="377">
        <v>255513.91446310899</v>
      </c>
      <c r="H168" s="590">
        <v>-220077.29082099907</v>
      </c>
      <c r="I168" s="358">
        <f t="shared" si="25"/>
        <v>-780451.83029021882</v>
      </c>
      <c r="K168" s="66">
        <f t="shared" si="23"/>
        <v>0</v>
      </c>
      <c r="L168" s="66"/>
      <c r="M168" s="431">
        <v>162</v>
      </c>
      <c r="N168" s="431">
        <v>72</v>
      </c>
      <c r="O168" s="443" t="s">
        <v>289</v>
      </c>
      <c r="P168" s="443" t="s">
        <v>883</v>
      </c>
      <c r="Q168" s="203">
        <v>-220077.29082099907</v>
      </c>
      <c r="R168" s="457" t="s">
        <v>2509</v>
      </c>
      <c r="S168" s="253"/>
      <c r="T168" s="159">
        <v>161</v>
      </c>
      <c r="U168" t="s">
        <v>289</v>
      </c>
      <c r="V168" t="s">
        <v>883</v>
      </c>
      <c r="W168" s="372">
        <v>-1101612.05</v>
      </c>
      <c r="X168" s="372">
        <v>-658525.62757999974</v>
      </c>
      <c r="Y168" s="377">
        <v>-157362.82635232899</v>
      </c>
      <c r="Z168" s="378">
        <v>255513.91446310899</v>
      </c>
      <c r="AA168" s="358">
        <f t="shared" si="26"/>
        <v>-1661986.58946922</v>
      </c>
      <c r="AE168" s="159">
        <f t="shared" si="27"/>
        <v>0</v>
      </c>
      <c r="AG168" s="471" t="s">
        <v>289</v>
      </c>
      <c r="AH168" s="467" t="s">
        <v>883</v>
      </c>
      <c r="AI168" s="475">
        <v>-1101612.05</v>
      </c>
      <c r="AJ168" s="475">
        <v>-658525.62757999974</v>
      </c>
      <c r="AK168" s="476">
        <v>-157362.82635232899</v>
      </c>
      <c r="AL168" s="477">
        <v>255513.91446310899</v>
      </c>
      <c r="AM168" s="478">
        <v>-1661986.58946922</v>
      </c>
      <c r="AN168" s="478"/>
      <c r="AO168" s="467"/>
      <c r="AP168" s="479">
        <f t="shared" si="28"/>
        <v>-560374.53946921974</v>
      </c>
      <c r="AQ168" s="467"/>
      <c r="AR168" s="467"/>
      <c r="AS168" s="509">
        <f t="shared" si="29"/>
        <v>-658525.62757999974</v>
      </c>
      <c r="AT168" s="476">
        <v>-157362.82635232899</v>
      </c>
      <c r="AU168" s="477">
        <v>255513.91446310899</v>
      </c>
      <c r="AV168" s="494">
        <f t="shared" si="30"/>
        <v>-560374.53946921974</v>
      </c>
      <c r="AW168" s="494">
        <f t="shared" si="31"/>
        <v>0</v>
      </c>
      <c r="AX168" s="468"/>
      <c r="AY168" s="589">
        <v>-220077.29082099907</v>
      </c>
      <c r="AZ168" s="510">
        <f t="shared" si="32"/>
        <v>-780451.83029021882</v>
      </c>
      <c r="BA168" s="511">
        <f t="shared" si="33"/>
        <v>0</v>
      </c>
      <c r="BB168" s="460"/>
      <c r="BC168" s="464">
        <f t="shared" si="24"/>
        <v>0</v>
      </c>
    </row>
    <row r="169" spans="1:55" ht="15">
      <c r="A169" s="431">
        <v>163</v>
      </c>
      <c r="B169" s="431">
        <v>152</v>
      </c>
      <c r="C169" t="s">
        <v>420</v>
      </c>
      <c r="D169" t="s">
        <v>940</v>
      </c>
      <c r="E169" s="372">
        <v>-8786.1536320000123</v>
      </c>
      <c r="F169" s="372">
        <v>58568.694999000021</v>
      </c>
      <c r="G169" s="377">
        <v>-5206.2245560000083</v>
      </c>
      <c r="H169" s="590">
        <v>-16012.556749999989</v>
      </c>
      <c r="I169" s="358">
        <f t="shared" si="25"/>
        <v>28563.760061000015</v>
      </c>
      <c r="K169" s="66">
        <f t="shared" si="23"/>
        <v>0</v>
      </c>
      <c r="L169" s="66"/>
      <c r="M169" s="431">
        <v>163</v>
      </c>
      <c r="N169" s="431">
        <v>152</v>
      </c>
      <c r="O169" s="443" t="s">
        <v>420</v>
      </c>
      <c r="P169" s="443" t="s">
        <v>940</v>
      </c>
      <c r="Q169" s="203">
        <v>-16012.556749999989</v>
      </c>
      <c r="R169" s="457" t="s">
        <v>2509</v>
      </c>
      <c r="S169" s="253"/>
      <c r="T169" s="159">
        <v>162</v>
      </c>
      <c r="U169" t="s">
        <v>420</v>
      </c>
      <c r="V169" t="s">
        <v>940</v>
      </c>
      <c r="W169" s="372">
        <v>-15586.9</v>
      </c>
      <c r="X169" s="372">
        <v>-8786.1536320000123</v>
      </c>
      <c r="Y169" s="377">
        <v>58568.694999000021</v>
      </c>
      <c r="Z169" s="378">
        <v>-5206.2245560000083</v>
      </c>
      <c r="AA169" s="358">
        <f t="shared" si="26"/>
        <v>28989.416811000003</v>
      </c>
      <c r="AE169" s="159">
        <f t="shared" si="27"/>
        <v>0</v>
      </c>
      <c r="AG169" s="471" t="s">
        <v>420</v>
      </c>
      <c r="AH169" s="467" t="s">
        <v>940</v>
      </c>
      <c r="AI169" s="475">
        <v>-15586.9</v>
      </c>
      <c r="AJ169" s="475">
        <v>-8786.1536320000123</v>
      </c>
      <c r="AK169" s="476">
        <v>58568.694999000021</v>
      </c>
      <c r="AL169" s="477">
        <v>-5206.2245560000083</v>
      </c>
      <c r="AM169" s="478">
        <v>28989.416811000003</v>
      </c>
      <c r="AN169" s="478"/>
      <c r="AO169" s="467"/>
      <c r="AP169" s="479">
        <f t="shared" si="28"/>
        <v>44576.316811000004</v>
      </c>
      <c r="AQ169" s="467"/>
      <c r="AR169" s="467"/>
      <c r="AS169" s="509">
        <f t="shared" si="29"/>
        <v>-8786.1536320000123</v>
      </c>
      <c r="AT169" s="476">
        <v>58568.694999000021</v>
      </c>
      <c r="AU169" s="477">
        <v>-5206.2245560000083</v>
      </c>
      <c r="AV169" s="494">
        <f t="shared" si="30"/>
        <v>44576.316811000004</v>
      </c>
      <c r="AW169" s="494">
        <f t="shared" si="31"/>
        <v>0</v>
      </c>
      <c r="AX169" s="468"/>
      <c r="AY169" s="589">
        <v>-16012.556749999989</v>
      </c>
      <c r="AZ169" s="510">
        <f t="shared" si="32"/>
        <v>28563.760061000015</v>
      </c>
      <c r="BA169" s="511">
        <f t="shared" si="33"/>
        <v>0</v>
      </c>
      <c r="BB169" s="460"/>
      <c r="BC169" s="464">
        <f t="shared" si="24"/>
        <v>0</v>
      </c>
    </row>
    <row r="170" spans="1:55" ht="15">
      <c r="A170" s="431">
        <v>164</v>
      </c>
      <c r="B170" s="431">
        <v>328</v>
      </c>
      <c r="C170" t="s">
        <v>737</v>
      </c>
      <c r="D170" t="s">
        <v>1080</v>
      </c>
      <c r="E170" s="372">
        <v>0</v>
      </c>
      <c r="F170" s="372">
        <v>-12763.446739591658</v>
      </c>
      <c r="G170" s="377">
        <v>-232813.05159741582</v>
      </c>
      <c r="H170" s="590">
        <v>-270449.57638099988</v>
      </c>
      <c r="I170" s="358">
        <f t="shared" si="25"/>
        <v>-516026.07471800735</v>
      </c>
      <c r="K170" s="66">
        <f t="shared" si="23"/>
        <v>0</v>
      </c>
      <c r="L170" s="66"/>
      <c r="M170" s="431">
        <v>164</v>
      </c>
      <c r="N170" s="431">
        <v>328</v>
      </c>
      <c r="O170" s="443" t="s">
        <v>737</v>
      </c>
      <c r="P170" s="443" t="s">
        <v>1080</v>
      </c>
      <c r="Q170" s="203">
        <v>-270449.57638099988</v>
      </c>
      <c r="R170" s="457" t="s">
        <v>2509</v>
      </c>
      <c r="S170" s="253"/>
      <c r="T170" s="159">
        <v>163</v>
      </c>
      <c r="U170" t="s">
        <v>737</v>
      </c>
      <c r="V170" t="s">
        <v>1080</v>
      </c>
      <c r="W170" s="372">
        <v>-64265.780000000006</v>
      </c>
      <c r="X170" s="372">
        <v>24308.356998247971</v>
      </c>
      <c r="Y170" s="377">
        <v>-12763.446739591658</v>
      </c>
      <c r="Z170" s="378">
        <v>-232813.05159741582</v>
      </c>
      <c r="AA170" s="358">
        <f t="shared" si="26"/>
        <v>-285533.92133875948</v>
      </c>
      <c r="AE170" s="159">
        <f t="shared" si="27"/>
        <v>0</v>
      </c>
      <c r="AG170" s="471" t="s">
        <v>737</v>
      </c>
      <c r="AH170" s="467" t="s">
        <v>1080</v>
      </c>
      <c r="AI170" s="480">
        <v>-64265.780000000006</v>
      </c>
      <c r="AJ170" s="480">
        <v>24308.356998247971</v>
      </c>
      <c r="AK170" s="520">
        <v>-12763.446739591658</v>
      </c>
      <c r="AL170" s="521">
        <v>-232813.05159741582</v>
      </c>
      <c r="AM170" s="478">
        <v>-285533.92133875948</v>
      </c>
      <c r="AN170" s="478"/>
      <c r="AO170" s="467"/>
      <c r="AP170" s="492">
        <f>+AK170+AL170</f>
        <v>-245576.49833700748</v>
      </c>
      <c r="AQ170" s="467"/>
      <c r="AR170" s="467"/>
      <c r="AS170" s="515">
        <v>0</v>
      </c>
      <c r="AT170" s="476">
        <v>-12763.446739591658</v>
      </c>
      <c r="AU170" s="477">
        <v>-232813.05159741582</v>
      </c>
      <c r="AV170" s="494">
        <f t="shared" si="30"/>
        <v>-245576.49833700748</v>
      </c>
      <c r="AW170" s="516">
        <f>+AV170-AP170</f>
        <v>0</v>
      </c>
      <c r="AX170" s="468"/>
      <c r="AY170" s="589">
        <v>-270449.57638099988</v>
      </c>
      <c r="AZ170" s="510">
        <f t="shared" si="32"/>
        <v>-516026.07471800735</v>
      </c>
      <c r="BA170" s="511">
        <f t="shared" si="33"/>
        <v>0</v>
      </c>
      <c r="BB170" s="460"/>
      <c r="BC170" s="464">
        <f t="shared" si="24"/>
        <v>0</v>
      </c>
    </row>
    <row r="171" spans="1:55" ht="15">
      <c r="A171" s="431">
        <v>165</v>
      </c>
      <c r="B171" s="431">
        <v>298</v>
      </c>
      <c r="C171" t="s">
        <v>683</v>
      </c>
      <c r="D171" t="s">
        <v>1058</v>
      </c>
      <c r="E171" s="372">
        <v>467356.33943247551</v>
      </c>
      <c r="F171" s="372">
        <v>-53713.668623075355</v>
      </c>
      <c r="G171" s="377">
        <v>-83120.006480000302</v>
      </c>
      <c r="H171" s="590">
        <v>-20780.614000000525</v>
      </c>
      <c r="I171" s="358">
        <f t="shared" si="25"/>
        <v>309742.0503293993</v>
      </c>
      <c r="K171" s="66">
        <f t="shared" si="23"/>
        <v>0</v>
      </c>
      <c r="L171" s="66"/>
      <c r="M171" s="431">
        <v>165</v>
      </c>
      <c r="N171" s="431">
        <v>298</v>
      </c>
      <c r="O171" s="443" t="s">
        <v>683</v>
      </c>
      <c r="P171" s="443" t="s">
        <v>1058</v>
      </c>
      <c r="Q171" s="203">
        <v>-20780.614000000525</v>
      </c>
      <c r="R171" s="457" t="s">
        <v>2509</v>
      </c>
      <c r="S171" s="253"/>
      <c r="T171" s="159">
        <v>164</v>
      </c>
      <c r="U171" t="s">
        <v>683</v>
      </c>
      <c r="V171" t="s">
        <v>1058</v>
      </c>
      <c r="W171" s="372">
        <v>133164.65</v>
      </c>
      <c r="X171" s="372">
        <v>334191.68943247548</v>
      </c>
      <c r="Y171" s="377">
        <v>-53713.668623075355</v>
      </c>
      <c r="Z171" s="378">
        <v>-83120.006480000302</v>
      </c>
      <c r="AA171" s="358">
        <f t="shared" si="26"/>
        <v>330522.66432939982</v>
      </c>
      <c r="AE171" s="159">
        <f t="shared" si="27"/>
        <v>0</v>
      </c>
      <c r="AG171" s="471" t="s">
        <v>683</v>
      </c>
      <c r="AH171" s="467" t="s">
        <v>1058</v>
      </c>
      <c r="AI171" s="475">
        <v>133164.65</v>
      </c>
      <c r="AJ171" s="475">
        <v>334191.68943247548</v>
      </c>
      <c r="AK171" s="476">
        <v>-53713.668623075355</v>
      </c>
      <c r="AL171" s="477">
        <v>-83120.006480000302</v>
      </c>
      <c r="AM171" s="478">
        <v>330522.66432939982</v>
      </c>
      <c r="AN171" s="478"/>
      <c r="AO171" s="467"/>
      <c r="AP171" s="479">
        <f t="shared" si="28"/>
        <v>197358.01432939983</v>
      </c>
      <c r="AQ171" s="467"/>
      <c r="AR171" s="467"/>
      <c r="AS171" s="512">
        <f>+AI171+AJ171</f>
        <v>467356.33943247551</v>
      </c>
      <c r="AT171" s="476">
        <v>-53713.668623075355</v>
      </c>
      <c r="AU171" s="477">
        <v>-83120.006480000302</v>
      </c>
      <c r="AV171" s="494">
        <f t="shared" si="30"/>
        <v>330522.66432939982</v>
      </c>
      <c r="AW171" s="513">
        <f>+AV171-AM171</f>
        <v>0</v>
      </c>
      <c r="AX171" s="468"/>
      <c r="AY171" s="589">
        <v>-20780.614000000525</v>
      </c>
      <c r="AZ171" s="510">
        <f t="shared" si="32"/>
        <v>309742.0503293993</v>
      </c>
      <c r="BA171" s="511">
        <f t="shared" si="33"/>
        <v>0</v>
      </c>
      <c r="BB171" s="460"/>
      <c r="BC171" s="464">
        <f t="shared" si="24"/>
        <v>0</v>
      </c>
    </row>
    <row r="172" spans="1:55" ht="15">
      <c r="A172" s="431">
        <v>166</v>
      </c>
      <c r="B172" s="431">
        <v>227</v>
      </c>
      <c r="C172" s="347" t="s">
        <v>558</v>
      </c>
      <c r="D172" s="348" t="s">
        <v>559</v>
      </c>
      <c r="E172" s="380">
        <v>0</v>
      </c>
      <c r="F172" s="371"/>
      <c r="G172" s="377"/>
      <c r="H172" s="590">
        <v>-568.27441799999997</v>
      </c>
      <c r="I172" s="358">
        <f t="shared" si="25"/>
        <v>-568.27441799999997</v>
      </c>
      <c r="K172" s="66">
        <f t="shared" si="23"/>
        <v>0</v>
      </c>
      <c r="L172" s="66"/>
      <c r="M172" s="431">
        <v>166</v>
      </c>
      <c r="N172" s="431">
        <v>227</v>
      </c>
      <c r="O172" s="445" t="s">
        <v>558</v>
      </c>
      <c r="P172" s="446" t="s">
        <v>2383</v>
      </c>
      <c r="Q172" s="203">
        <v>-568.27441799999997</v>
      </c>
      <c r="R172" s="457" t="s">
        <v>2509</v>
      </c>
      <c r="S172" s="253"/>
      <c r="T172" s="159">
        <v>165</v>
      </c>
      <c r="U172" s="347" t="s">
        <v>558</v>
      </c>
      <c r="V172" s="348" t="s">
        <v>559</v>
      </c>
      <c r="W172" s="380">
        <v>0</v>
      </c>
      <c r="X172" s="371"/>
      <c r="Y172" s="377"/>
      <c r="Z172" s="378"/>
      <c r="AA172" s="358">
        <f t="shared" si="26"/>
        <v>0</v>
      </c>
      <c r="AE172" s="159">
        <f t="shared" si="27"/>
        <v>0</v>
      </c>
      <c r="AG172" s="471" t="s">
        <v>558</v>
      </c>
      <c r="AH172" s="467" t="s">
        <v>559</v>
      </c>
      <c r="AI172" s="484">
        <v>0</v>
      </c>
      <c r="AJ172" s="485"/>
      <c r="AK172" s="476"/>
      <c r="AL172" s="477"/>
      <c r="AM172" s="478">
        <v>0</v>
      </c>
      <c r="AN172" s="478"/>
      <c r="AO172" s="467"/>
      <c r="AP172" s="479">
        <f t="shared" si="28"/>
        <v>0</v>
      </c>
      <c r="AQ172" s="467"/>
      <c r="AR172" s="467"/>
      <c r="AS172" s="509">
        <f t="shared" si="29"/>
        <v>0</v>
      </c>
      <c r="AT172" s="476"/>
      <c r="AU172" s="477"/>
      <c r="AV172" s="494">
        <f t="shared" si="30"/>
        <v>0</v>
      </c>
      <c r="AW172" s="494">
        <f t="shared" si="31"/>
        <v>0</v>
      </c>
      <c r="AX172" s="468"/>
      <c r="AY172" s="589">
        <v>-568.27441799999997</v>
      </c>
      <c r="AZ172" s="510">
        <f t="shared" si="32"/>
        <v>-568.27441799999997</v>
      </c>
      <c r="BA172" s="511">
        <f t="shared" si="33"/>
        <v>0</v>
      </c>
      <c r="BB172" s="460"/>
      <c r="BC172" s="464">
        <f t="shared" si="24"/>
        <v>0</v>
      </c>
    </row>
    <row r="173" spans="1:55" ht="15">
      <c r="A173" s="431">
        <v>167</v>
      </c>
      <c r="B173" s="431">
        <v>224</v>
      </c>
      <c r="C173" t="s">
        <v>554</v>
      </c>
      <c r="D173" t="s">
        <v>1674</v>
      </c>
      <c r="E173" s="381">
        <v>-498114.97839499969</v>
      </c>
      <c r="F173" s="372">
        <v>-314525.32392800041</v>
      </c>
      <c r="G173" s="377">
        <v>-197204.02557200007</v>
      </c>
      <c r="H173" s="590">
        <v>-195475.04015999939</v>
      </c>
      <c r="I173" s="358">
        <f t="shared" si="25"/>
        <v>-1205319.3680549995</v>
      </c>
      <c r="K173" s="66">
        <f t="shared" si="23"/>
        <v>0</v>
      </c>
      <c r="L173" s="66"/>
      <c r="M173" s="431">
        <v>167</v>
      </c>
      <c r="N173" s="431">
        <v>224</v>
      </c>
      <c r="O173" s="443" t="s">
        <v>554</v>
      </c>
      <c r="P173" s="443" t="s">
        <v>1674</v>
      </c>
      <c r="Q173" s="203">
        <v>-195475.04015999939</v>
      </c>
      <c r="R173" s="457" t="s">
        <v>2509</v>
      </c>
      <c r="S173" s="253"/>
      <c r="T173" s="159">
        <v>166</v>
      </c>
      <c r="U173" t="s">
        <v>554</v>
      </c>
      <c r="V173" t="s">
        <v>1674</v>
      </c>
      <c r="W173" s="381">
        <v>-470712.84</v>
      </c>
      <c r="X173" s="372">
        <v>-498114.97839499969</v>
      </c>
      <c r="Y173" s="377">
        <v>-314525.32392800041</v>
      </c>
      <c r="Z173" s="378">
        <v>-197204.02557200007</v>
      </c>
      <c r="AA173" s="358">
        <f t="shared" si="26"/>
        <v>-1480557.1678950002</v>
      </c>
      <c r="AE173" s="159">
        <f t="shared" si="27"/>
        <v>0</v>
      </c>
      <c r="AG173" s="471" t="s">
        <v>554</v>
      </c>
      <c r="AH173" s="467" t="s">
        <v>1674</v>
      </c>
      <c r="AI173" s="486">
        <v>-470712.84</v>
      </c>
      <c r="AJ173" s="475">
        <v>-498114.97839499969</v>
      </c>
      <c r="AK173" s="476">
        <v>-314525.32392800041</v>
      </c>
      <c r="AL173" s="477">
        <v>-197204.02557200007</v>
      </c>
      <c r="AM173" s="478">
        <v>-1480557.1678950002</v>
      </c>
      <c r="AN173" s="478"/>
      <c r="AO173" s="467"/>
      <c r="AP173" s="479">
        <f t="shared" si="28"/>
        <v>-1009844.3278950001</v>
      </c>
      <c r="AQ173" s="467"/>
      <c r="AR173" s="467"/>
      <c r="AS173" s="509">
        <f t="shared" si="29"/>
        <v>-498114.97839499969</v>
      </c>
      <c r="AT173" s="476">
        <v>-314525.32392800041</v>
      </c>
      <c r="AU173" s="477">
        <v>-197204.02557200007</v>
      </c>
      <c r="AV173" s="494">
        <f t="shared" si="30"/>
        <v>-1009844.3278950001</v>
      </c>
      <c r="AW173" s="494">
        <f t="shared" si="31"/>
        <v>0</v>
      </c>
      <c r="AX173" s="468"/>
      <c r="AY173" s="589">
        <v>-195475.04015999939</v>
      </c>
      <c r="AZ173" s="510">
        <f t="shared" si="32"/>
        <v>-1205319.3680549995</v>
      </c>
      <c r="BA173" s="511">
        <f t="shared" si="33"/>
        <v>0</v>
      </c>
      <c r="BB173" s="460"/>
      <c r="BC173" s="464">
        <f t="shared" si="24"/>
        <v>0</v>
      </c>
    </row>
    <row r="174" spans="1:55" ht="15">
      <c r="A174" s="431">
        <v>168</v>
      </c>
      <c r="B174" s="431">
        <v>118</v>
      </c>
      <c r="C174" s="353" t="s">
        <v>1177</v>
      </c>
      <c r="D174" s="354" t="s">
        <v>1189</v>
      </c>
      <c r="E174" s="381">
        <v>0</v>
      </c>
      <c r="F174" s="372"/>
      <c r="G174" s="377"/>
      <c r="H174" s="590">
        <v>0</v>
      </c>
      <c r="I174" s="358">
        <f t="shared" si="25"/>
        <v>0</v>
      </c>
      <c r="K174" s="66">
        <f t="shared" si="23"/>
        <v>0</v>
      </c>
      <c r="L174" s="66"/>
      <c r="M174" s="431">
        <v>168</v>
      </c>
      <c r="N174" s="431">
        <v>118</v>
      </c>
      <c r="O174" s="443" t="s">
        <v>1177</v>
      </c>
      <c r="P174" s="443" t="s">
        <v>2500</v>
      </c>
      <c r="Q174" s="203">
        <v>0</v>
      </c>
      <c r="R174" s="457" t="s">
        <v>2509</v>
      </c>
      <c r="S174" s="253"/>
      <c r="T174" s="159">
        <v>167</v>
      </c>
      <c r="U174" s="353" t="s">
        <v>1177</v>
      </c>
      <c r="V174" s="354" t="s">
        <v>1189</v>
      </c>
      <c r="W174" s="381">
        <v>0</v>
      </c>
      <c r="X174" s="372"/>
      <c r="Y174" s="377"/>
      <c r="Z174" s="378"/>
      <c r="AA174" s="358">
        <f t="shared" si="26"/>
        <v>0</v>
      </c>
      <c r="AE174" s="159">
        <f t="shared" si="27"/>
        <v>0</v>
      </c>
      <c r="AG174" s="471" t="s">
        <v>1177</v>
      </c>
      <c r="AH174" s="467" t="s">
        <v>1189</v>
      </c>
      <c r="AI174" s="486">
        <v>0</v>
      </c>
      <c r="AJ174" s="475"/>
      <c r="AK174" s="476"/>
      <c r="AL174" s="477"/>
      <c r="AM174" s="478">
        <v>0</v>
      </c>
      <c r="AN174" s="478"/>
      <c r="AO174" s="467"/>
      <c r="AP174" s="479">
        <f t="shared" si="28"/>
        <v>0</v>
      </c>
      <c r="AQ174" s="467"/>
      <c r="AR174" s="467"/>
      <c r="AS174" s="509">
        <f t="shared" si="29"/>
        <v>0</v>
      </c>
      <c r="AT174" s="476"/>
      <c r="AU174" s="477"/>
      <c r="AV174" s="494">
        <f t="shared" si="30"/>
        <v>0</v>
      </c>
      <c r="AW174" s="494">
        <f t="shared" si="31"/>
        <v>0</v>
      </c>
      <c r="AX174" s="468"/>
      <c r="AY174" s="589">
        <v>0</v>
      </c>
      <c r="AZ174" s="510">
        <f t="shared" si="32"/>
        <v>0</v>
      </c>
      <c r="BA174" s="511">
        <f t="shared" si="33"/>
        <v>0</v>
      </c>
      <c r="BB174" s="460"/>
      <c r="BC174" s="464">
        <f t="shared" si="24"/>
        <v>0</v>
      </c>
    </row>
    <row r="175" spans="1:55" ht="15">
      <c r="A175" s="431">
        <v>169</v>
      </c>
      <c r="B175" s="431">
        <v>232</v>
      </c>
      <c r="C175" t="s">
        <v>568</v>
      </c>
      <c r="D175" t="s">
        <v>1006</v>
      </c>
      <c r="E175" s="381">
        <v>-295.94858400069643</v>
      </c>
      <c r="F175" s="372">
        <v>0</v>
      </c>
      <c r="G175" s="377">
        <v>-90601.082346167997</v>
      </c>
      <c r="H175" s="590">
        <v>696075.55413400196</v>
      </c>
      <c r="I175" s="358">
        <f t="shared" si="25"/>
        <v>605178.52320383326</v>
      </c>
      <c r="K175" s="66">
        <f t="shared" si="23"/>
        <v>0</v>
      </c>
      <c r="L175" s="66"/>
      <c r="M175" s="431">
        <v>169</v>
      </c>
      <c r="N175" s="431">
        <v>232</v>
      </c>
      <c r="O175" s="443" t="s">
        <v>568</v>
      </c>
      <c r="P175" s="443" t="s">
        <v>1006</v>
      </c>
      <c r="Q175" s="203">
        <v>696075.55413400196</v>
      </c>
      <c r="R175" s="457" t="s">
        <v>2509</v>
      </c>
      <c r="S175" s="253"/>
      <c r="T175" s="159">
        <v>168</v>
      </c>
      <c r="U175" t="s">
        <v>568</v>
      </c>
      <c r="V175" t="s">
        <v>1006</v>
      </c>
      <c r="W175" s="381">
        <v>-1776049.08</v>
      </c>
      <c r="X175" s="372">
        <v>-295.94858400069643</v>
      </c>
      <c r="Y175" s="377">
        <v>0</v>
      </c>
      <c r="Z175" s="378">
        <v>-90601.082346167997</v>
      </c>
      <c r="AA175" s="358">
        <f t="shared" si="26"/>
        <v>-1866946.1109301685</v>
      </c>
      <c r="AE175" s="159">
        <f t="shared" si="27"/>
        <v>0</v>
      </c>
      <c r="AG175" s="471" t="s">
        <v>568</v>
      </c>
      <c r="AH175" s="467" t="s">
        <v>1006</v>
      </c>
      <c r="AI175" s="486">
        <v>-1776049.08</v>
      </c>
      <c r="AJ175" s="475">
        <v>-295.94858400069643</v>
      </c>
      <c r="AK175" s="476">
        <v>0</v>
      </c>
      <c r="AL175" s="477">
        <v>-90601.082346167997</v>
      </c>
      <c r="AM175" s="478">
        <v>-1866946.1109301685</v>
      </c>
      <c r="AN175" s="478"/>
      <c r="AO175" s="467"/>
      <c r="AP175" s="479">
        <f t="shared" si="28"/>
        <v>-90897.030930168694</v>
      </c>
      <c r="AQ175" s="467"/>
      <c r="AR175" s="467"/>
      <c r="AS175" s="509">
        <f t="shared" si="29"/>
        <v>-295.94858400069643</v>
      </c>
      <c r="AT175" s="476">
        <v>0</v>
      </c>
      <c r="AU175" s="477">
        <v>-90601.082346167997</v>
      </c>
      <c r="AV175" s="494">
        <f t="shared" si="30"/>
        <v>-90897.030930168694</v>
      </c>
      <c r="AW175" s="494">
        <f t="shared" si="31"/>
        <v>0</v>
      </c>
      <c r="AX175" s="468"/>
      <c r="AY175" s="589">
        <v>696075.55413400196</v>
      </c>
      <c r="AZ175" s="510">
        <f t="shared" si="32"/>
        <v>605178.52320383326</v>
      </c>
      <c r="BA175" s="511">
        <f t="shared" si="33"/>
        <v>0</v>
      </c>
      <c r="BB175" s="460"/>
      <c r="BC175" s="464">
        <f t="shared" si="24"/>
        <v>0</v>
      </c>
    </row>
    <row r="176" spans="1:55" ht="15">
      <c r="A176" s="431">
        <v>170</v>
      </c>
      <c r="B176" s="431">
        <v>315</v>
      </c>
      <c r="C176" t="s">
        <v>713</v>
      </c>
      <c r="D176" t="s">
        <v>1069</v>
      </c>
      <c r="E176" s="381">
        <v>-33111.315049999917</v>
      </c>
      <c r="F176" s="372">
        <v>-97272.827544999891</v>
      </c>
      <c r="G176" s="377">
        <v>-288705.22216052451</v>
      </c>
      <c r="H176" s="590">
        <v>-248783.96953999996</v>
      </c>
      <c r="I176" s="358">
        <f t="shared" si="25"/>
        <v>-667873.33429552428</v>
      </c>
      <c r="K176" s="66">
        <f t="shared" si="23"/>
        <v>0</v>
      </c>
      <c r="L176" s="66"/>
      <c r="M176" s="431">
        <v>170</v>
      </c>
      <c r="N176" s="431">
        <v>315</v>
      </c>
      <c r="O176" s="443" t="s">
        <v>713</v>
      </c>
      <c r="P176" s="443" t="s">
        <v>1069</v>
      </c>
      <c r="Q176" s="203">
        <v>-248783.96953999996</v>
      </c>
      <c r="R176" s="457" t="s">
        <v>2509</v>
      </c>
      <c r="S176" s="253"/>
      <c r="T176" s="159">
        <v>169</v>
      </c>
      <c r="U176" t="s">
        <v>713</v>
      </c>
      <c r="V176" t="s">
        <v>1069</v>
      </c>
      <c r="W176" s="381">
        <v>-191764.77</v>
      </c>
      <c r="X176" s="372">
        <v>-33111.315049999917</v>
      </c>
      <c r="Y176" s="377">
        <v>-97272.827544999891</v>
      </c>
      <c r="Z176" s="378">
        <v>-288705.22216052451</v>
      </c>
      <c r="AA176" s="358">
        <f t="shared" si="26"/>
        <v>-610854.13475552434</v>
      </c>
      <c r="AE176" s="159">
        <f t="shared" si="27"/>
        <v>0</v>
      </c>
      <c r="AG176" s="471" t="s">
        <v>713</v>
      </c>
      <c r="AH176" s="467" t="s">
        <v>1069</v>
      </c>
      <c r="AI176" s="486">
        <v>-191764.77</v>
      </c>
      <c r="AJ176" s="475">
        <v>-33111.315049999917</v>
      </c>
      <c r="AK176" s="476">
        <v>-97272.827544999891</v>
      </c>
      <c r="AL176" s="477">
        <v>-288705.22216052451</v>
      </c>
      <c r="AM176" s="478">
        <v>-610854.13475552434</v>
      </c>
      <c r="AN176" s="478"/>
      <c r="AO176" s="467"/>
      <c r="AP176" s="479">
        <f t="shared" si="28"/>
        <v>-419089.36475552432</v>
      </c>
      <c r="AQ176" s="467"/>
      <c r="AR176" s="467"/>
      <c r="AS176" s="509">
        <f t="shared" si="29"/>
        <v>-33111.315049999917</v>
      </c>
      <c r="AT176" s="476">
        <v>-97272.827544999891</v>
      </c>
      <c r="AU176" s="477">
        <v>-288705.22216052451</v>
      </c>
      <c r="AV176" s="494">
        <f t="shared" si="30"/>
        <v>-419089.36475552432</v>
      </c>
      <c r="AW176" s="494">
        <f t="shared" si="31"/>
        <v>0</v>
      </c>
      <c r="AX176" s="468"/>
      <c r="AY176" s="589">
        <v>-248783.96953999996</v>
      </c>
      <c r="AZ176" s="510">
        <f t="shared" si="32"/>
        <v>-667873.33429552428</v>
      </c>
      <c r="BA176" s="511">
        <f t="shared" si="33"/>
        <v>0</v>
      </c>
      <c r="BB176" s="460"/>
      <c r="BC176" s="464">
        <f t="shared" si="24"/>
        <v>0</v>
      </c>
    </row>
    <row r="177" spans="1:55" ht="15">
      <c r="A177" s="431">
        <v>171</v>
      </c>
      <c r="B177" s="431">
        <v>150</v>
      </c>
      <c r="C177" t="s">
        <v>416</v>
      </c>
      <c r="D177" t="s">
        <v>939</v>
      </c>
      <c r="E177" s="381">
        <v>16273.752171532928</v>
      </c>
      <c r="F177" s="372">
        <v>12933.584014800639</v>
      </c>
      <c r="G177" s="377">
        <v>17982.505630999985</v>
      </c>
      <c r="H177" s="590">
        <v>-2554.5326350000687</v>
      </c>
      <c r="I177" s="358">
        <f t="shared" si="25"/>
        <v>44635.309182333483</v>
      </c>
      <c r="K177" s="66">
        <f t="shared" si="23"/>
        <v>0</v>
      </c>
      <c r="L177" s="66"/>
      <c r="M177" s="431">
        <v>171</v>
      </c>
      <c r="N177" s="431">
        <v>150</v>
      </c>
      <c r="O177" s="443" t="s">
        <v>416</v>
      </c>
      <c r="P177" s="443" t="s">
        <v>939</v>
      </c>
      <c r="Q177" s="203">
        <v>-2554.5326350000687</v>
      </c>
      <c r="R177" s="457" t="s">
        <v>2509</v>
      </c>
      <c r="S177" s="253"/>
      <c r="T177" s="159">
        <v>170</v>
      </c>
      <c r="U177" t="s">
        <v>416</v>
      </c>
      <c r="V177" t="s">
        <v>939</v>
      </c>
      <c r="W177" s="381">
        <v>-1621.73</v>
      </c>
      <c r="X177" s="372">
        <v>17895.482171532927</v>
      </c>
      <c r="Y177" s="377">
        <v>12933.584014800639</v>
      </c>
      <c r="Z177" s="378">
        <v>17982.505630999985</v>
      </c>
      <c r="AA177" s="358">
        <f t="shared" si="26"/>
        <v>47189.841817333552</v>
      </c>
      <c r="AE177" s="159">
        <f t="shared" si="27"/>
        <v>0</v>
      </c>
      <c r="AG177" s="471" t="s">
        <v>416</v>
      </c>
      <c r="AH177" s="467" t="s">
        <v>939</v>
      </c>
      <c r="AI177" s="495">
        <v>-1621.73</v>
      </c>
      <c r="AJ177" s="480">
        <v>17895.482171532927</v>
      </c>
      <c r="AK177" s="476">
        <v>12933.584014800639</v>
      </c>
      <c r="AL177" s="477">
        <v>17982.505630999985</v>
      </c>
      <c r="AM177" s="478">
        <v>47189.841817333552</v>
      </c>
      <c r="AN177" s="478"/>
      <c r="AO177" s="467"/>
      <c r="AP177" s="479">
        <f t="shared" si="28"/>
        <v>48811.571817333548</v>
      </c>
      <c r="AQ177" s="467"/>
      <c r="AR177" s="467"/>
      <c r="AS177" s="512">
        <f>+AI177+AJ177</f>
        <v>16273.752171532928</v>
      </c>
      <c r="AT177" s="476">
        <v>12933.584014800639</v>
      </c>
      <c r="AU177" s="477">
        <v>17982.505630999985</v>
      </c>
      <c r="AV177" s="494">
        <f t="shared" si="30"/>
        <v>47189.841817333552</v>
      </c>
      <c r="AW177" s="513">
        <f>+AV177-AM177</f>
        <v>0</v>
      </c>
      <c r="AX177" s="468"/>
      <c r="AY177" s="589">
        <v>-2554.5326350000687</v>
      </c>
      <c r="AZ177" s="510">
        <f t="shared" si="32"/>
        <v>44635.309182333483</v>
      </c>
      <c r="BA177" s="511">
        <f t="shared" si="33"/>
        <v>0</v>
      </c>
      <c r="BB177" s="460"/>
      <c r="BC177" s="464">
        <f t="shared" si="24"/>
        <v>0</v>
      </c>
    </row>
    <row r="178" spans="1:55" ht="15">
      <c r="A178" s="431">
        <v>172</v>
      </c>
      <c r="B178" s="431">
        <v>190</v>
      </c>
      <c r="C178" t="s">
        <v>494</v>
      </c>
      <c r="D178" t="s">
        <v>1670</v>
      </c>
      <c r="E178" s="381">
        <v>-62324.005560000012</v>
      </c>
      <c r="F178" s="372">
        <v>-67033.690501000034</v>
      </c>
      <c r="G178" s="377">
        <v>7447.7265300000217</v>
      </c>
      <c r="H178" s="590">
        <v>-15181.197451999964</v>
      </c>
      <c r="I178" s="358">
        <f t="shared" si="25"/>
        <v>-137091.166983</v>
      </c>
      <c r="K178" s="66">
        <f t="shared" si="23"/>
        <v>0</v>
      </c>
      <c r="L178" s="66"/>
      <c r="M178" s="431">
        <v>172</v>
      </c>
      <c r="N178" s="431">
        <v>190</v>
      </c>
      <c r="O178" s="443" t="s">
        <v>494</v>
      </c>
      <c r="P178" s="443" t="s">
        <v>1670</v>
      </c>
      <c r="Q178" s="203">
        <v>-15181.197451999964</v>
      </c>
      <c r="R178" s="457" t="s">
        <v>2509</v>
      </c>
      <c r="S178" s="253"/>
      <c r="T178" s="159">
        <v>171</v>
      </c>
      <c r="U178" t="s">
        <v>494</v>
      </c>
      <c r="V178" t="s">
        <v>1670</v>
      </c>
      <c r="W178" s="381">
        <v>-52330.97</v>
      </c>
      <c r="X178" s="372">
        <v>-62324.005560000012</v>
      </c>
      <c r="Y178" s="377">
        <v>-67033.690501000034</v>
      </c>
      <c r="Z178" s="378">
        <v>7447.7265300000217</v>
      </c>
      <c r="AA178" s="358">
        <f t="shared" si="26"/>
        <v>-174240.93953100004</v>
      </c>
      <c r="AE178" s="159">
        <f t="shared" si="27"/>
        <v>0</v>
      </c>
      <c r="AG178" s="471" t="s">
        <v>494</v>
      </c>
      <c r="AH178" s="467" t="s">
        <v>1670</v>
      </c>
      <c r="AI178" s="486">
        <v>-52330.97</v>
      </c>
      <c r="AJ178" s="475">
        <v>-62324.005560000012</v>
      </c>
      <c r="AK178" s="476">
        <v>-67033.690501000034</v>
      </c>
      <c r="AL178" s="477">
        <v>7447.7265300000217</v>
      </c>
      <c r="AM178" s="478">
        <v>-174240.93953100004</v>
      </c>
      <c r="AN178" s="478"/>
      <c r="AO178" s="467"/>
      <c r="AP178" s="479">
        <f t="shared" si="28"/>
        <v>-121909.96953100004</v>
      </c>
      <c r="AQ178" s="467"/>
      <c r="AR178" s="467"/>
      <c r="AS178" s="509">
        <f t="shared" si="29"/>
        <v>-62324.005560000012</v>
      </c>
      <c r="AT178" s="476">
        <v>-67033.690501000034</v>
      </c>
      <c r="AU178" s="477">
        <v>7447.7265300000217</v>
      </c>
      <c r="AV178" s="494">
        <f t="shared" si="30"/>
        <v>-121909.96953100004</v>
      </c>
      <c r="AW178" s="494">
        <f t="shared" si="31"/>
        <v>0</v>
      </c>
      <c r="AX178" s="468"/>
      <c r="AY178" s="589">
        <v>-15181.197451999964</v>
      </c>
      <c r="AZ178" s="510">
        <f t="shared" si="32"/>
        <v>-137091.166983</v>
      </c>
      <c r="BA178" s="511">
        <f t="shared" si="33"/>
        <v>0</v>
      </c>
      <c r="BB178" s="460"/>
      <c r="BC178" s="464">
        <f t="shared" si="24"/>
        <v>0</v>
      </c>
    </row>
    <row r="179" spans="1:55" ht="15">
      <c r="A179" s="431">
        <v>173</v>
      </c>
      <c r="B179" s="431">
        <v>178</v>
      </c>
      <c r="C179" t="s">
        <v>472</v>
      </c>
      <c r="D179" t="s">
        <v>965</v>
      </c>
      <c r="E179" s="381">
        <v>-32852.772935000023</v>
      </c>
      <c r="F179" s="372">
        <v>-76859.912744000016</v>
      </c>
      <c r="G179" s="377">
        <v>-231161.05609200004</v>
      </c>
      <c r="H179" s="590">
        <v>-138206.25490200002</v>
      </c>
      <c r="I179" s="358">
        <f t="shared" si="25"/>
        <v>-479079.9966730001</v>
      </c>
      <c r="K179" s="66">
        <f t="shared" si="23"/>
        <v>0</v>
      </c>
      <c r="L179" s="66"/>
      <c r="M179" s="431">
        <v>173</v>
      </c>
      <c r="N179" s="431">
        <v>178</v>
      </c>
      <c r="O179" s="443" t="s">
        <v>472</v>
      </c>
      <c r="P179" s="443" t="s">
        <v>965</v>
      </c>
      <c r="Q179" s="203">
        <v>-138206.25490200002</v>
      </c>
      <c r="R179" s="457" t="s">
        <v>2509</v>
      </c>
      <c r="S179" s="253"/>
      <c r="T179" s="159">
        <v>172</v>
      </c>
      <c r="U179" t="s">
        <v>472</v>
      </c>
      <c r="V179" t="s">
        <v>965</v>
      </c>
      <c r="W179" s="381">
        <v>-45079.32</v>
      </c>
      <c r="X179" s="372">
        <v>-32852.772935000023</v>
      </c>
      <c r="Y179" s="377">
        <v>-76859.912744000016</v>
      </c>
      <c r="Z179" s="378">
        <v>-231161.05609200004</v>
      </c>
      <c r="AA179" s="358">
        <f t="shared" si="26"/>
        <v>-385953.0617710001</v>
      </c>
      <c r="AE179" s="159">
        <f t="shared" si="27"/>
        <v>0</v>
      </c>
      <c r="AG179" s="471" t="s">
        <v>472</v>
      </c>
      <c r="AH179" s="467" t="s">
        <v>965</v>
      </c>
      <c r="AI179" s="486">
        <v>-45079.32</v>
      </c>
      <c r="AJ179" s="475">
        <v>-32852.772935000023</v>
      </c>
      <c r="AK179" s="476">
        <v>-76859.912744000016</v>
      </c>
      <c r="AL179" s="477">
        <v>-231161.05609200004</v>
      </c>
      <c r="AM179" s="478">
        <v>-385953.0617710001</v>
      </c>
      <c r="AN179" s="478"/>
      <c r="AO179" s="467"/>
      <c r="AP179" s="479">
        <f t="shared" si="28"/>
        <v>-340873.74177100009</v>
      </c>
      <c r="AQ179" s="467"/>
      <c r="AR179" s="467"/>
      <c r="AS179" s="509">
        <f t="shared" si="29"/>
        <v>-32852.772935000023</v>
      </c>
      <c r="AT179" s="476">
        <v>-76859.912744000016</v>
      </c>
      <c r="AU179" s="477">
        <v>-231161.05609200004</v>
      </c>
      <c r="AV179" s="494">
        <f t="shared" si="30"/>
        <v>-340873.74177100009</v>
      </c>
      <c r="AW179" s="494">
        <f t="shared" si="31"/>
        <v>0</v>
      </c>
      <c r="AX179" s="468"/>
      <c r="AY179" s="589">
        <v>-138206.25490200002</v>
      </c>
      <c r="AZ179" s="510">
        <f t="shared" si="32"/>
        <v>-479079.9966730001</v>
      </c>
      <c r="BA179" s="511">
        <f t="shared" si="33"/>
        <v>0</v>
      </c>
      <c r="BB179" s="460"/>
      <c r="BC179" s="464">
        <f t="shared" si="24"/>
        <v>0</v>
      </c>
    </row>
    <row r="180" spans="1:55" ht="15">
      <c r="A180" s="431">
        <v>174</v>
      </c>
      <c r="B180" s="431">
        <v>193</v>
      </c>
      <c r="C180" t="s">
        <v>499</v>
      </c>
      <c r="D180" t="s">
        <v>979</v>
      </c>
      <c r="E180" s="381">
        <v>-63160.426460999974</v>
      </c>
      <c r="F180" s="372">
        <v>-47638.984994000057</v>
      </c>
      <c r="G180" s="377">
        <v>87163.224320000067</v>
      </c>
      <c r="H180" s="590">
        <v>-32899.332912000013</v>
      </c>
      <c r="I180" s="358">
        <f t="shared" si="25"/>
        <v>-56535.520046999969</v>
      </c>
      <c r="K180" s="66">
        <f t="shared" si="23"/>
        <v>0</v>
      </c>
      <c r="L180" s="66"/>
      <c r="M180" s="431">
        <v>174</v>
      </c>
      <c r="N180" s="431">
        <v>193</v>
      </c>
      <c r="O180" s="443" t="s">
        <v>499</v>
      </c>
      <c r="P180" s="443" t="s">
        <v>979</v>
      </c>
      <c r="Q180" s="203">
        <v>-32899.332912000013</v>
      </c>
      <c r="R180" s="457" t="s">
        <v>2509</v>
      </c>
      <c r="S180" s="253"/>
      <c r="T180" s="159">
        <v>173</v>
      </c>
      <c r="U180" t="s">
        <v>499</v>
      </c>
      <c r="V180" t="s">
        <v>979</v>
      </c>
      <c r="W180" s="381">
        <v>-111460</v>
      </c>
      <c r="X180" s="372">
        <v>-63160.426460999974</v>
      </c>
      <c r="Y180" s="377">
        <v>-47638.984994000057</v>
      </c>
      <c r="Z180" s="378">
        <v>87163.224320000067</v>
      </c>
      <c r="AA180" s="358">
        <f t="shared" si="26"/>
        <v>-135096.18713499996</v>
      </c>
      <c r="AE180" s="159">
        <f t="shared" si="27"/>
        <v>0</v>
      </c>
      <c r="AG180" s="471" t="s">
        <v>499</v>
      </c>
      <c r="AH180" s="467" t="s">
        <v>979</v>
      </c>
      <c r="AI180" s="486">
        <v>-111460</v>
      </c>
      <c r="AJ180" s="475">
        <v>-63160.426460999974</v>
      </c>
      <c r="AK180" s="476">
        <v>-47638.984994000057</v>
      </c>
      <c r="AL180" s="477">
        <v>87163.224320000067</v>
      </c>
      <c r="AM180" s="478">
        <v>-135096.18713499996</v>
      </c>
      <c r="AN180" s="478"/>
      <c r="AO180" s="467"/>
      <c r="AP180" s="479">
        <f t="shared" si="28"/>
        <v>-23636.187134999956</v>
      </c>
      <c r="AQ180" s="467"/>
      <c r="AR180" s="467"/>
      <c r="AS180" s="509">
        <f t="shared" si="29"/>
        <v>-63160.426460999974</v>
      </c>
      <c r="AT180" s="476">
        <v>-47638.984994000057</v>
      </c>
      <c r="AU180" s="477">
        <v>87163.224320000067</v>
      </c>
      <c r="AV180" s="494">
        <f t="shared" si="30"/>
        <v>-23636.187134999956</v>
      </c>
      <c r="AW180" s="494">
        <f t="shared" si="31"/>
        <v>0</v>
      </c>
      <c r="AX180" s="468"/>
      <c r="AY180" s="589">
        <v>-32899.332912000013</v>
      </c>
      <c r="AZ180" s="510">
        <f t="shared" si="32"/>
        <v>-56535.520046999969</v>
      </c>
      <c r="BA180" s="511">
        <f t="shared" si="33"/>
        <v>0</v>
      </c>
      <c r="BB180" s="460"/>
      <c r="BC180" s="464">
        <f t="shared" si="24"/>
        <v>0</v>
      </c>
    </row>
    <row r="181" spans="1:55" ht="15">
      <c r="A181" s="431">
        <v>175</v>
      </c>
      <c r="B181" s="431">
        <v>247</v>
      </c>
      <c r="C181" t="s">
        <v>598</v>
      </c>
      <c r="D181" t="s">
        <v>1018</v>
      </c>
      <c r="E181" s="381">
        <v>-96740.19316999997</v>
      </c>
      <c r="F181" s="372">
        <v>0</v>
      </c>
      <c r="G181" s="377">
        <v>-165095.44952121488</v>
      </c>
      <c r="H181" s="590">
        <v>-168440.54937599995</v>
      </c>
      <c r="I181" s="358">
        <f t="shared" si="25"/>
        <v>-430276.19206721481</v>
      </c>
      <c r="K181" s="66">
        <f t="shared" si="23"/>
        <v>0</v>
      </c>
      <c r="L181" s="66"/>
      <c r="M181" s="431">
        <v>175</v>
      </c>
      <c r="N181" s="431">
        <v>247</v>
      </c>
      <c r="O181" s="443" t="s">
        <v>598</v>
      </c>
      <c r="P181" s="443" t="s">
        <v>1018</v>
      </c>
      <c r="Q181" s="203">
        <v>-168440.54937599995</v>
      </c>
      <c r="R181" s="457" t="s">
        <v>2509</v>
      </c>
      <c r="S181" s="253"/>
      <c r="T181" s="159">
        <v>174</v>
      </c>
      <c r="U181" t="s">
        <v>598</v>
      </c>
      <c r="V181" t="s">
        <v>1018</v>
      </c>
      <c r="W181" s="381">
        <v>-123528.88</v>
      </c>
      <c r="X181" s="372">
        <v>-96740.19316999997</v>
      </c>
      <c r="Y181" s="377">
        <v>0</v>
      </c>
      <c r="Z181" s="378">
        <v>-165095.44952121488</v>
      </c>
      <c r="AA181" s="358">
        <f t="shared" si="26"/>
        <v>-385364.52269121486</v>
      </c>
      <c r="AE181" s="159">
        <f t="shared" si="27"/>
        <v>0</v>
      </c>
      <c r="AG181" s="471" t="s">
        <v>598</v>
      </c>
      <c r="AH181" s="467" t="s">
        <v>1018</v>
      </c>
      <c r="AI181" s="486">
        <v>-123528.88</v>
      </c>
      <c r="AJ181" s="475">
        <v>-96740.19316999997</v>
      </c>
      <c r="AK181" s="476">
        <v>0</v>
      </c>
      <c r="AL181" s="477">
        <v>-165095.44952121488</v>
      </c>
      <c r="AM181" s="478">
        <v>-385364.52269121486</v>
      </c>
      <c r="AN181" s="478"/>
      <c r="AO181" s="467"/>
      <c r="AP181" s="479">
        <f t="shared" si="28"/>
        <v>-261835.64269121486</v>
      </c>
      <c r="AQ181" s="467"/>
      <c r="AR181" s="467"/>
      <c r="AS181" s="509">
        <f t="shared" si="29"/>
        <v>-96740.19316999997</v>
      </c>
      <c r="AT181" s="476">
        <v>0</v>
      </c>
      <c r="AU181" s="477">
        <v>-165095.44952121488</v>
      </c>
      <c r="AV181" s="494">
        <f t="shared" si="30"/>
        <v>-261835.64269121486</v>
      </c>
      <c r="AW181" s="494">
        <f t="shared" si="31"/>
        <v>0</v>
      </c>
      <c r="AX181" s="468"/>
      <c r="AY181" s="589">
        <v>-168440.54937599995</v>
      </c>
      <c r="AZ181" s="510">
        <f t="shared" si="32"/>
        <v>-430276.19206721481</v>
      </c>
      <c r="BA181" s="511">
        <f t="shared" si="33"/>
        <v>0</v>
      </c>
      <c r="BB181" s="460"/>
      <c r="BC181" s="464">
        <f t="shared" si="24"/>
        <v>0</v>
      </c>
    </row>
    <row r="182" spans="1:55" ht="15">
      <c r="A182" s="431">
        <v>176</v>
      </c>
      <c r="B182" s="431">
        <v>297</v>
      </c>
      <c r="C182" t="s">
        <v>681</v>
      </c>
      <c r="D182" t="s">
        <v>1057</v>
      </c>
      <c r="E182" s="381">
        <v>217752.68382900013</v>
      </c>
      <c r="F182" s="372">
        <v>89716.148205999983</v>
      </c>
      <c r="G182" s="377">
        <v>68959.471296999996</v>
      </c>
      <c r="H182" s="590">
        <v>-81505.257150000194</v>
      </c>
      <c r="I182" s="358">
        <f t="shared" si="25"/>
        <v>294923.0461819999</v>
      </c>
      <c r="K182" s="66">
        <f t="shared" si="23"/>
        <v>0</v>
      </c>
      <c r="L182" s="66"/>
      <c r="M182" s="431">
        <v>176</v>
      </c>
      <c r="N182" s="431">
        <v>297</v>
      </c>
      <c r="O182" s="443" t="s">
        <v>681</v>
      </c>
      <c r="P182" s="443" t="s">
        <v>1057</v>
      </c>
      <c r="Q182" s="203">
        <v>-81505.257150000194</v>
      </c>
      <c r="R182" s="457" t="s">
        <v>2509</v>
      </c>
      <c r="S182" s="253"/>
      <c r="T182" s="159">
        <v>175</v>
      </c>
      <c r="U182" t="s">
        <v>681</v>
      </c>
      <c r="V182" t="s">
        <v>1057</v>
      </c>
      <c r="W182" s="381">
        <v>161597.65000000002</v>
      </c>
      <c r="X182" s="372">
        <v>56155.033829000109</v>
      </c>
      <c r="Y182" s="377">
        <v>89716.148205999983</v>
      </c>
      <c r="Z182" s="378">
        <v>68959.471296999996</v>
      </c>
      <c r="AA182" s="358">
        <f t="shared" si="26"/>
        <v>376428.3033320001</v>
      </c>
      <c r="AE182" s="159">
        <f t="shared" si="27"/>
        <v>0</v>
      </c>
      <c r="AG182" s="471" t="s">
        <v>681</v>
      </c>
      <c r="AH182" s="467" t="s">
        <v>1057</v>
      </c>
      <c r="AI182" s="486">
        <v>161597.65000000002</v>
      </c>
      <c r="AJ182" s="475">
        <v>56155.033829000109</v>
      </c>
      <c r="AK182" s="476">
        <v>89716.148205999983</v>
      </c>
      <c r="AL182" s="477">
        <v>68959.471296999996</v>
      </c>
      <c r="AM182" s="478">
        <v>376428.3033320001</v>
      </c>
      <c r="AN182" s="478"/>
      <c r="AO182" s="467"/>
      <c r="AP182" s="479">
        <f t="shared" si="28"/>
        <v>214830.65333200007</v>
      </c>
      <c r="AQ182" s="467"/>
      <c r="AR182" s="467"/>
      <c r="AS182" s="512">
        <f>+AI182+AJ182</f>
        <v>217752.68382900013</v>
      </c>
      <c r="AT182" s="476">
        <v>89716.148205999983</v>
      </c>
      <c r="AU182" s="477">
        <v>68959.471296999996</v>
      </c>
      <c r="AV182" s="494">
        <f t="shared" si="30"/>
        <v>376428.3033320001</v>
      </c>
      <c r="AW182" s="513">
        <f>+AV182-AM182</f>
        <v>0</v>
      </c>
      <c r="AX182" s="468"/>
      <c r="AY182" s="589">
        <v>-81505.257150000194</v>
      </c>
      <c r="AZ182" s="510">
        <f t="shared" si="32"/>
        <v>294923.0461819999</v>
      </c>
      <c r="BA182" s="511">
        <f t="shared" si="33"/>
        <v>0</v>
      </c>
      <c r="BB182" s="460"/>
      <c r="BC182" s="464">
        <f t="shared" si="24"/>
        <v>0</v>
      </c>
    </row>
    <row r="183" spans="1:55" ht="15">
      <c r="A183" s="431">
        <v>177</v>
      </c>
      <c r="B183" s="431">
        <v>78</v>
      </c>
      <c r="C183" t="s">
        <v>301</v>
      </c>
      <c r="D183" t="s">
        <v>889</v>
      </c>
      <c r="E183" s="381">
        <v>-110611.47984000001</v>
      </c>
      <c r="F183" s="372">
        <v>-176909.61581599986</v>
      </c>
      <c r="G183" s="377">
        <v>-158321.49606200005</v>
      </c>
      <c r="H183" s="590">
        <v>-142278.84286200011</v>
      </c>
      <c r="I183" s="358">
        <f t="shared" si="25"/>
        <v>-588121.43458</v>
      </c>
      <c r="K183" s="66">
        <f t="shared" si="23"/>
        <v>0</v>
      </c>
      <c r="L183" s="66"/>
      <c r="M183" s="431">
        <v>177</v>
      </c>
      <c r="N183" s="431">
        <v>78</v>
      </c>
      <c r="O183" s="443" t="s">
        <v>301</v>
      </c>
      <c r="P183" s="443" t="s">
        <v>889</v>
      </c>
      <c r="Q183" s="203">
        <v>-142278.84286200011</v>
      </c>
      <c r="R183" s="457" t="s">
        <v>2509</v>
      </c>
      <c r="S183" s="253"/>
      <c r="T183" s="159">
        <v>176</v>
      </c>
      <c r="U183" t="s">
        <v>301</v>
      </c>
      <c r="V183" t="s">
        <v>889</v>
      </c>
      <c r="W183" s="381">
        <v>-199110.36</v>
      </c>
      <c r="X183" s="372">
        <v>-110611.47984000001</v>
      </c>
      <c r="Y183" s="377">
        <v>-176909.61581599986</v>
      </c>
      <c r="Z183" s="378">
        <v>-158321.49606200005</v>
      </c>
      <c r="AA183" s="358">
        <f t="shared" si="26"/>
        <v>-644952.951718</v>
      </c>
      <c r="AE183" s="159">
        <f t="shared" si="27"/>
        <v>0</v>
      </c>
      <c r="AG183" s="471" t="s">
        <v>301</v>
      </c>
      <c r="AH183" s="467" t="s">
        <v>889</v>
      </c>
      <c r="AI183" s="486">
        <v>-199110.36</v>
      </c>
      <c r="AJ183" s="475">
        <v>-110611.47984000001</v>
      </c>
      <c r="AK183" s="476">
        <v>-176909.61581599986</v>
      </c>
      <c r="AL183" s="477">
        <v>-158321.49606200005</v>
      </c>
      <c r="AM183" s="478">
        <v>-644952.951718</v>
      </c>
      <c r="AN183" s="478"/>
      <c r="AO183" s="467"/>
      <c r="AP183" s="479">
        <f t="shared" si="28"/>
        <v>-445842.59171799989</v>
      </c>
      <c r="AQ183" s="467"/>
      <c r="AR183" s="467"/>
      <c r="AS183" s="509">
        <f t="shared" si="29"/>
        <v>-110611.47984000001</v>
      </c>
      <c r="AT183" s="476">
        <v>-176909.61581599986</v>
      </c>
      <c r="AU183" s="477">
        <v>-158321.49606200005</v>
      </c>
      <c r="AV183" s="494">
        <f t="shared" si="30"/>
        <v>-445842.59171799989</v>
      </c>
      <c r="AW183" s="494">
        <f t="shared" si="31"/>
        <v>0</v>
      </c>
      <c r="AX183" s="468"/>
      <c r="AY183" s="589">
        <v>-142278.84286200011</v>
      </c>
      <c r="AZ183" s="510">
        <f t="shared" si="32"/>
        <v>-588121.43458</v>
      </c>
      <c r="BA183" s="511">
        <f t="shared" si="33"/>
        <v>0</v>
      </c>
      <c r="BB183" s="460"/>
      <c r="BC183" s="464">
        <f t="shared" si="24"/>
        <v>0</v>
      </c>
    </row>
    <row r="184" spans="1:55" ht="15">
      <c r="A184" s="431">
        <v>178</v>
      </c>
      <c r="B184" s="431">
        <v>61</v>
      </c>
      <c r="C184" t="s">
        <v>269</v>
      </c>
      <c r="D184" t="s">
        <v>875</v>
      </c>
      <c r="E184" s="381">
        <v>-109624.08280000038</v>
      </c>
      <c r="F184" s="372">
        <v>-192258.11630999995</v>
      </c>
      <c r="G184" s="377">
        <v>-222262.4778099996</v>
      </c>
      <c r="H184" s="590">
        <v>-121477.2723690006</v>
      </c>
      <c r="I184" s="358">
        <f t="shared" si="25"/>
        <v>-645621.94928900059</v>
      </c>
      <c r="K184" s="66">
        <f t="shared" si="23"/>
        <v>0</v>
      </c>
      <c r="L184" s="66"/>
      <c r="M184" s="431">
        <v>178</v>
      </c>
      <c r="N184" s="431">
        <v>61</v>
      </c>
      <c r="O184" s="443" t="s">
        <v>269</v>
      </c>
      <c r="P184" s="443" t="s">
        <v>875</v>
      </c>
      <c r="Q184" s="203">
        <v>-121477.2723690006</v>
      </c>
      <c r="R184" s="457" t="s">
        <v>2509</v>
      </c>
      <c r="S184" s="253"/>
      <c r="T184" s="159">
        <v>177</v>
      </c>
      <c r="U184" t="s">
        <v>269</v>
      </c>
      <c r="V184" t="s">
        <v>875</v>
      </c>
      <c r="W184" s="381">
        <v>-117439.2</v>
      </c>
      <c r="X184" s="372">
        <v>-109624.08280000038</v>
      </c>
      <c r="Y184" s="377">
        <v>-192258.11630999995</v>
      </c>
      <c r="Z184" s="378">
        <v>-222262.4778099996</v>
      </c>
      <c r="AA184" s="358">
        <f t="shared" si="26"/>
        <v>-641583.87691999995</v>
      </c>
      <c r="AE184" s="159">
        <f t="shared" si="27"/>
        <v>0</v>
      </c>
      <c r="AG184" s="471" t="s">
        <v>269</v>
      </c>
      <c r="AH184" s="467" t="s">
        <v>875</v>
      </c>
      <c r="AI184" s="486">
        <v>-117439.2</v>
      </c>
      <c r="AJ184" s="475">
        <v>-109624.08280000038</v>
      </c>
      <c r="AK184" s="476">
        <v>-192258.11630999995</v>
      </c>
      <c r="AL184" s="477">
        <v>-222262.4778099996</v>
      </c>
      <c r="AM184" s="478">
        <v>-641583.87691999995</v>
      </c>
      <c r="AN184" s="478"/>
      <c r="AO184" s="467"/>
      <c r="AP184" s="479">
        <f t="shared" si="28"/>
        <v>-524144.67691999994</v>
      </c>
      <c r="AQ184" s="467"/>
      <c r="AR184" s="467"/>
      <c r="AS184" s="509">
        <f t="shared" si="29"/>
        <v>-109624.08280000038</v>
      </c>
      <c r="AT184" s="476">
        <v>-192258.11630999995</v>
      </c>
      <c r="AU184" s="477">
        <v>-222262.4778099996</v>
      </c>
      <c r="AV184" s="494">
        <f t="shared" si="30"/>
        <v>-524144.67691999994</v>
      </c>
      <c r="AW184" s="494">
        <f t="shared" si="31"/>
        <v>0</v>
      </c>
      <c r="AX184" s="468"/>
      <c r="AY184" s="589">
        <v>-121477.2723690006</v>
      </c>
      <c r="AZ184" s="510">
        <f t="shared" si="32"/>
        <v>-645621.94928900059</v>
      </c>
      <c r="BA184" s="511">
        <f t="shared" si="33"/>
        <v>0</v>
      </c>
      <c r="BB184" s="460"/>
      <c r="BC184" s="464">
        <f t="shared" si="24"/>
        <v>0</v>
      </c>
    </row>
    <row r="185" spans="1:55" ht="15">
      <c r="A185" s="431">
        <v>179</v>
      </c>
      <c r="B185" s="431">
        <v>128</v>
      </c>
      <c r="C185" t="s">
        <v>378</v>
      </c>
      <c r="D185" t="s">
        <v>926</v>
      </c>
      <c r="E185" s="381">
        <v>-664681.52552000026</v>
      </c>
      <c r="F185" s="372">
        <v>-280071.91371457558</v>
      </c>
      <c r="G185" s="377">
        <v>-730810.10282582149</v>
      </c>
      <c r="H185" s="590">
        <v>-665217.97360000014</v>
      </c>
      <c r="I185" s="358">
        <f t="shared" si="25"/>
        <v>-2340781.5156603977</v>
      </c>
      <c r="K185" s="66">
        <f t="shared" si="23"/>
        <v>0</v>
      </c>
      <c r="L185" s="66"/>
      <c r="M185" s="431">
        <v>179</v>
      </c>
      <c r="N185" s="431">
        <v>128</v>
      </c>
      <c r="O185" s="443" t="s">
        <v>378</v>
      </c>
      <c r="P185" s="443" t="s">
        <v>926</v>
      </c>
      <c r="Q185" s="203">
        <v>-665217.97360000014</v>
      </c>
      <c r="R185" s="457" t="s">
        <v>2509</v>
      </c>
      <c r="S185" s="253"/>
      <c r="T185" s="159">
        <v>178</v>
      </c>
      <c r="U185" t="s">
        <v>378</v>
      </c>
      <c r="V185" t="s">
        <v>926</v>
      </c>
      <c r="W185" s="381">
        <v>-716774.12</v>
      </c>
      <c r="X185" s="372">
        <v>-664681.52552000026</v>
      </c>
      <c r="Y185" s="377">
        <v>-280071.91371457558</v>
      </c>
      <c r="Z185" s="378">
        <v>-730810.10282582149</v>
      </c>
      <c r="AA185" s="358">
        <f t="shared" si="26"/>
        <v>-2392337.6620603972</v>
      </c>
      <c r="AE185" s="159">
        <f t="shared" si="27"/>
        <v>0</v>
      </c>
      <c r="AG185" s="471" t="s">
        <v>378</v>
      </c>
      <c r="AH185" s="467" t="s">
        <v>926</v>
      </c>
      <c r="AI185" s="486">
        <v>-716774.12</v>
      </c>
      <c r="AJ185" s="475">
        <v>-664681.52552000026</v>
      </c>
      <c r="AK185" s="476">
        <v>-280071.91371457558</v>
      </c>
      <c r="AL185" s="477">
        <v>-730810.10282582149</v>
      </c>
      <c r="AM185" s="478">
        <v>-2392337.6620603972</v>
      </c>
      <c r="AN185" s="478"/>
      <c r="AO185" s="467"/>
      <c r="AP185" s="479">
        <f t="shared" si="28"/>
        <v>-1675563.5420603973</v>
      </c>
      <c r="AQ185" s="467"/>
      <c r="AR185" s="467"/>
      <c r="AS185" s="509">
        <f t="shared" si="29"/>
        <v>-664681.52552000026</v>
      </c>
      <c r="AT185" s="476">
        <v>-280071.91371457558</v>
      </c>
      <c r="AU185" s="477">
        <v>-730810.10282582149</v>
      </c>
      <c r="AV185" s="494">
        <f t="shared" si="30"/>
        <v>-1675563.5420603973</v>
      </c>
      <c r="AW185" s="494">
        <f t="shared" si="31"/>
        <v>0</v>
      </c>
      <c r="AX185" s="468"/>
      <c r="AY185" s="589">
        <v>-665217.97360000014</v>
      </c>
      <c r="AZ185" s="510">
        <f t="shared" si="32"/>
        <v>-2340781.5156603977</v>
      </c>
      <c r="BA185" s="511">
        <f t="shared" si="33"/>
        <v>0</v>
      </c>
      <c r="BB185" s="460"/>
      <c r="BC185" s="464">
        <f t="shared" si="24"/>
        <v>0</v>
      </c>
    </row>
    <row r="186" spans="1:55" ht="15">
      <c r="A186" s="431">
        <v>180</v>
      </c>
      <c r="B186" s="431">
        <v>176</v>
      </c>
      <c r="C186" t="s">
        <v>468</v>
      </c>
      <c r="D186" t="s">
        <v>963</v>
      </c>
      <c r="E186" s="381">
        <v>217326.34881599949</v>
      </c>
      <c r="F186" s="372">
        <v>-70273.318838491105</v>
      </c>
      <c r="G186" s="377">
        <v>-11169.619039254234</v>
      </c>
      <c r="H186" s="590">
        <v>-9846.4561029996257</v>
      </c>
      <c r="I186" s="358">
        <f t="shared" si="25"/>
        <v>126036.95483525452</v>
      </c>
      <c r="K186" s="66">
        <f t="shared" si="23"/>
        <v>0</v>
      </c>
      <c r="L186" s="66"/>
      <c r="M186" s="431">
        <v>180</v>
      </c>
      <c r="N186" s="431">
        <v>176</v>
      </c>
      <c r="O186" s="443" t="s">
        <v>468</v>
      </c>
      <c r="P186" s="443" t="s">
        <v>963</v>
      </c>
      <c r="Q186" s="203">
        <v>-9846.4561029996257</v>
      </c>
      <c r="R186" s="457" t="s">
        <v>2509</v>
      </c>
      <c r="S186" s="253"/>
      <c r="T186" s="159">
        <v>179</v>
      </c>
      <c r="U186" t="s">
        <v>468</v>
      </c>
      <c r="V186" t="s">
        <v>963</v>
      </c>
      <c r="W186" s="381">
        <v>-30189.34</v>
      </c>
      <c r="X186" s="372">
        <v>247515.68881599949</v>
      </c>
      <c r="Y186" s="377">
        <v>-70273.318838491105</v>
      </c>
      <c r="Z186" s="378">
        <v>-11169.619039254234</v>
      </c>
      <c r="AA186" s="358">
        <f t="shared" si="26"/>
        <v>135883.41093825415</v>
      </c>
      <c r="AE186" s="159">
        <f t="shared" si="27"/>
        <v>0</v>
      </c>
      <c r="AG186" s="471" t="s">
        <v>468</v>
      </c>
      <c r="AH186" s="467" t="s">
        <v>963</v>
      </c>
      <c r="AI186" s="495">
        <v>-30189.34</v>
      </c>
      <c r="AJ186" s="480">
        <v>247515.68881599949</v>
      </c>
      <c r="AK186" s="476">
        <v>-70273.318838491105</v>
      </c>
      <c r="AL186" s="477">
        <v>-11169.619039254234</v>
      </c>
      <c r="AM186" s="478">
        <v>135883.41093825415</v>
      </c>
      <c r="AN186" s="478"/>
      <c r="AO186" s="467"/>
      <c r="AP186" s="479">
        <f t="shared" si="28"/>
        <v>166072.75093825415</v>
      </c>
      <c r="AQ186" s="467"/>
      <c r="AR186" s="467"/>
      <c r="AS186" s="512">
        <f>+AI186+AJ186</f>
        <v>217326.34881599949</v>
      </c>
      <c r="AT186" s="476">
        <v>-70273.318838491105</v>
      </c>
      <c r="AU186" s="477">
        <v>-11169.619039254234</v>
      </c>
      <c r="AV186" s="494">
        <f t="shared" si="30"/>
        <v>135883.41093825415</v>
      </c>
      <c r="AW186" s="513">
        <f>+AV186-AM186</f>
        <v>0</v>
      </c>
      <c r="AX186" s="468"/>
      <c r="AY186" s="589">
        <v>-9846.4561029996257</v>
      </c>
      <c r="AZ186" s="510">
        <f t="shared" si="32"/>
        <v>126036.95483525452</v>
      </c>
      <c r="BA186" s="511">
        <f t="shared" si="33"/>
        <v>0</v>
      </c>
      <c r="BB186" s="460"/>
      <c r="BC186" s="464">
        <f t="shared" si="24"/>
        <v>0</v>
      </c>
    </row>
    <row r="187" spans="1:55" ht="15">
      <c r="A187" s="431">
        <v>181</v>
      </c>
      <c r="B187" s="431">
        <v>192</v>
      </c>
      <c r="C187" t="s">
        <v>497</v>
      </c>
      <c r="D187" t="s">
        <v>978</v>
      </c>
      <c r="E187" s="381">
        <v>-27393.549347999993</v>
      </c>
      <c r="F187" s="372">
        <v>-93542.148549999998</v>
      </c>
      <c r="G187" s="377">
        <v>-85545.633719999969</v>
      </c>
      <c r="H187" s="590">
        <v>-94238.293919999996</v>
      </c>
      <c r="I187" s="358">
        <f t="shared" si="25"/>
        <v>-300719.62553799991</v>
      </c>
      <c r="K187" s="66">
        <f t="shared" si="23"/>
        <v>0</v>
      </c>
      <c r="L187" s="66"/>
      <c r="M187" s="431">
        <v>181</v>
      </c>
      <c r="N187" s="431">
        <v>192</v>
      </c>
      <c r="O187" s="443" t="s">
        <v>497</v>
      </c>
      <c r="P187" s="443" t="s">
        <v>978</v>
      </c>
      <c r="Q187" s="203">
        <v>-94238.293919999996</v>
      </c>
      <c r="R187" s="457" t="s">
        <v>2509</v>
      </c>
      <c r="S187" s="253"/>
      <c r="T187" s="159">
        <v>180</v>
      </c>
      <c r="U187" t="s">
        <v>497</v>
      </c>
      <c r="V187" t="s">
        <v>978</v>
      </c>
      <c r="W187" s="381">
        <v>-81758.53</v>
      </c>
      <c r="X187" s="372">
        <v>-27393.549347999993</v>
      </c>
      <c r="Y187" s="377">
        <v>-93542.148549999998</v>
      </c>
      <c r="Z187" s="378">
        <v>-85545.633719999969</v>
      </c>
      <c r="AA187" s="358">
        <f t="shared" si="26"/>
        <v>-288239.86161799997</v>
      </c>
      <c r="AE187" s="159">
        <f t="shared" si="27"/>
        <v>0</v>
      </c>
      <c r="AG187" s="471" t="s">
        <v>497</v>
      </c>
      <c r="AH187" s="467" t="s">
        <v>978</v>
      </c>
      <c r="AI187" s="486">
        <v>-81758.53</v>
      </c>
      <c r="AJ187" s="475">
        <v>-27393.549347999993</v>
      </c>
      <c r="AK187" s="476">
        <v>-93542.148549999998</v>
      </c>
      <c r="AL187" s="477">
        <v>-85545.633719999969</v>
      </c>
      <c r="AM187" s="478">
        <v>-288239.86161799997</v>
      </c>
      <c r="AN187" s="478"/>
      <c r="AO187" s="467"/>
      <c r="AP187" s="479">
        <f t="shared" si="28"/>
        <v>-206481.33161799994</v>
      </c>
      <c r="AQ187" s="467"/>
      <c r="AR187" s="467"/>
      <c r="AS187" s="509">
        <f t="shared" si="29"/>
        <v>-27393.549347999993</v>
      </c>
      <c r="AT187" s="476">
        <v>-93542.148549999998</v>
      </c>
      <c r="AU187" s="477">
        <v>-85545.633719999969</v>
      </c>
      <c r="AV187" s="494">
        <f t="shared" si="30"/>
        <v>-206481.33161799994</v>
      </c>
      <c r="AW187" s="494">
        <f t="shared" si="31"/>
        <v>0</v>
      </c>
      <c r="AX187" s="468"/>
      <c r="AY187" s="589">
        <v>-94238.293919999996</v>
      </c>
      <c r="AZ187" s="510">
        <f t="shared" si="32"/>
        <v>-300719.62553799991</v>
      </c>
      <c r="BA187" s="511">
        <f t="shared" si="33"/>
        <v>0</v>
      </c>
      <c r="BB187" s="460"/>
      <c r="BC187" s="464">
        <f t="shared" si="24"/>
        <v>0</v>
      </c>
    </row>
    <row r="188" spans="1:55" ht="15">
      <c r="A188" s="431">
        <v>182</v>
      </c>
      <c r="B188" s="431">
        <v>275</v>
      </c>
      <c r="C188" t="s">
        <v>642</v>
      </c>
      <c r="D188" t="s">
        <v>1038</v>
      </c>
      <c r="E188" s="381">
        <v>-1630080.6883127913</v>
      </c>
      <c r="F188" s="372">
        <v>0</v>
      </c>
      <c r="G188" s="377">
        <v>-402688.93301690812</v>
      </c>
      <c r="H188" s="590">
        <v>-572661.1390270004</v>
      </c>
      <c r="I188" s="358">
        <f t="shared" si="25"/>
        <v>-2605430.7603567</v>
      </c>
      <c r="K188" s="66">
        <f t="shared" si="23"/>
        <v>0</v>
      </c>
      <c r="L188" s="66"/>
      <c r="M188" s="431">
        <v>182</v>
      </c>
      <c r="N188" s="431">
        <v>275</v>
      </c>
      <c r="O188" s="443" t="s">
        <v>642</v>
      </c>
      <c r="P188" s="443" t="s">
        <v>1038</v>
      </c>
      <c r="Q188" s="203">
        <v>-572661.1390270004</v>
      </c>
      <c r="R188" s="457" t="s">
        <v>2509</v>
      </c>
      <c r="S188" s="253"/>
      <c r="T188" s="159">
        <v>181</v>
      </c>
      <c r="U188" t="s">
        <v>642</v>
      </c>
      <c r="V188" t="s">
        <v>1038</v>
      </c>
      <c r="W188" s="381">
        <v>-1042563.98</v>
      </c>
      <c r="X188" s="372">
        <v>-1630080.6883127913</v>
      </c>
      <c r="Y188" s="377">
        <v>0</v>
      </c>
      <c r="Z188" s="378">
        <v>-402688.93301690812</v>
      </c>
      <c r="AA188" s="358">
        <f t="shared" si="26"/>
        <v>-3075333.6013296992</v>
      </c>
      <c r="AE188" s="159">
        <f t="shared" si="27"/>
        <v>0</v>
      </c>
      <c r="AG188" s="471" t="s">
        <v>642</v>
      </c>
      <c r="AH188" s="467" t="s">
        <v>1038</v>
      </c>
      <c r="AI188" s="486">
        <v>-1042563.98</v>
      </c>
      <c r="AJ188" s="475">
        <v>-1630080.6883127913</v>
      </c>
      <c r="AK188" s="476">
        <v>0</v>
      </c>
      <c r="AL188" s="477">
        <v>-402688.93301690812</v>
      </c>
      <c r="AM188" s="478">
        <v>-3075333.6013296992</v>
      </c>
      <c r="AN188" s="478"/>
      <c r="AO188" s="467"/>
      <c r="AP188" s="479">
        <f t="shared" si="28"/>
        <v>-2032769.6213296994</v>
      </c>
      <c r="AQ188" s="467"/>
      <c r="AR188" s="467"/>
      <c r="AS188" s="509">
        <f t="shared" si="29"/>
        <v>-1630080.6883127913</v>
      </c>
      <c r="AT188" s="476">
        <v>0</v>
      </c>
      <c r="AU188" s="477">
        <v>-402688.93301690812</v>
      </c>
      <c r="AV188" s="494">
        <f t="shared" si="30"/>
        <v>-2032769.6213296994</v>
      </c>
      <c r="AW188" s="494">
        <f t="shared" si="31"/>
        <v>0</v>
      </c>
      <c r="AX188" s="468"/>
      <c r="AY188" s="589">
        <v>-572661.1390270004</v>
      </c>
      <c r="AZ188" s="510">
        <f t="shared" si="32"/>
        <v>-2605430.7603567</v>
      </c>
      <c r="BA188" s="511">
        <f t="shared" si="33"/>
        <v>0</v>
      </c>
      <c r="BB188" s="460"/>
      <c r="BC188" s="464">
        <f t="shared" si="24"/>
        <v>0</v>
      </c>
    </row>
    <row r="189" spans="1:55" ht="15">
      <c r="A189" s="431">
        <v>183</v>
      </c>
      <c r="B189" s="431">
        <v>272</v>
      </c>
      <c r="C189" t="s">
        <v>636</v>
      </c>
      <c r="D189" t="s">
        <v>1035</v>
      </c>
      <c r="E189" s="381">
        <v>-11556.393620000021</v>
      </c>
      <c r="F189" s="372">
        <v>-38270.439409999992</v>
      </c>
      <c r="G189" s="377">
        <v>-32182.364405000026</v>
      </c>
      <c r="H189" s="590">
        <v>-53790.498954999959</v>
      </c>
      <c r="I189" s="358">
        <f t="shared" si="25"/>
        <v>-135799.69639</v>
      </c>
      <c r="K189" s="66">
        <f t="shared" si="23"/>
        <v>0</v>
      </c>
      <c r="L189" s="66"/>
      <c r="M189" s="431">
        <v>183</v>
      </c>
      <c r="N189" s="431">
        <v>272</v>
      </c>
      <c r="O189" s="443" t="s">
        <v>636</v>
      </c>
      <c r="P189" s="443" t="s">
        <v>1035</v>
      </c>
      <c r="Q189" s="203">
        <v>-53790.498954999959</v>
      </c>
      <c r="R189" s="457" t="s">
        <v>2509</v>
      </c>
      <c r="S189" s="253"/>
      <c r="T189" s="159">
        <v>182</v>
      </c>
      <c r="U189" t="s">
        <v>636</v>
      </c>
      <c r="V189" t="s">
        <v>1035</v>
      </c>
      <c r="W189" s="381">
        <v>-3823.08</v>
      </c>
      <c r="X189" s="372">
        <v>-11556.393620000021</v>
      </c>
      <c r="Y189" s="377">
        <v>-38270.439409999992</v>
      </c>
      <c r="Z189" s="378">
        <v>-32182.364405000026</v>
      </c>
      <c r="AA189" s="358">
        <f t="shared" si="26"/>
        <v>-85832.27743500004</v>
      </c>
      <c r="AE189" s="159">
        <f t="shared" si="27"/>
        <v>0</v>
      </c>
      <c r="AG189" s="471" t="s">
        <v>636</v>
      </c>
      <c r="AH189" s="467" t="s">
        <v>1035</v>
      </c>
      <c r="AI189" s="486">
        <v>-3823.08</v>
      </c>
      <c r="AJ189" s="475">
        <v>-11556.393620000021</v>
      </c>
      <c r="AK189" s="476">
        <v>-38270.439409999992</v>
      </c>
      <c r="AL189" s="477">
        <v>-32182.364405000026</v>
      </c>
      <c r="AM189" s="478">
        <v>-85832.27743500004</v>
      </c>
      <c r="AN189" s="478"/>
      <c r="AO189" s="467"/>
      <c r="AP189" s="479">
        <f t="shared" si="28"/>
        <v>-82009.197435000038</v>
      </c>
      <c r="AQ189" s="467"/>
      <c r="AR189" s="467"/>
      <c r="AS189" s="509">
        <f t="shared" si="29"/>
        <v>-11556.393620000021</v>
      </c>
      <c r="AT189" s="476">
        <v>-38270.439409999992</v>
      </c>
      <c r="AU189" s="477">
        <v>-32182.364405000026</v>
      </c>
      <c r="AV189" s="494">
        <f t="shared" si="30"/>
        <v>-82009.197435000038</v>
      </c>
      <c r="AW189" s="494">
        <f t="shared" si="31"/>
        <v>0</v>
      </c>
      <c r="AX189" s="468"/>
      <c r="AY189" s="589">
        <v>-53790.498954999959</v>
      </c>
      <c r="AZ189" s="510">
        <f t="shared" si="32"/>
        <v>-135799.69639</v>
      </c>
      <c r="BA189" s="511">
        <f t="shared" si="33"/>
        <v>0</v>
      </c>
      <c r="BB189" s="460"/>
      <c r="BC189" s="464">
        <f t="shared" si="24"/>
        <v>0</v>
      </c>
    </row>
    <row r="190" spans="1:55" ht="15">
      <c r="A190" s="431">
        <v>184</v>
      </c>
      <c r="B190" s="431">
        <v>115</v>
      </c>
      <c r="C190" t="s">
        <v>372</v>
      </c>
      <c r="D190" t="s">
        <v>924</v>
      </c>
      <c r="E190" s="381">
        <v>-378362.15223929728</v>
      </c>
      <c r="F190" s="372">
        <v>0</v>
      </c>
      <c r="G190" s="377">
        <v>-711256.7057618351</v>
      </c>
      <c r="H190" s="590">
        <v>-757864.81219800003</v>
      </c>
      <c r="I190" s="358">
        <f t="shared" si="25"/>
        <v>-1847483.6701991325</v>
      </c>
      <c r="K190" s="66">
        <f t="shared" si="23"/>
        <v>0</v>
      </c>
      <c r="L190" s="66"/>
      <c r="M190" s="431">
        <v>184</v>
      </c>
      <c r="N190" s="431">
        <v>115</v>
      </c>
      <c r="O190" s="443" t="s">
        <v>372</v>
      </c>
      <c r="P190" s="443" t="s">
        <v>924</v>
      </c>
      <c r="Q190" s="203">
        <v>-757864.81219800003</v>
      </c>
      <c r="R190" s="457" t="s">
        <v>2509</v>
      </c>
      <c r="S190" s="253"/>
      <c r="T190" s="159">
        <v>183</v>
      </c>
      <c r="U190" t="s">
        <v>372</v>
      </c>
      <c r="V190" t="s">
        <v>924</v>
      </c>
      <c r="W190" s="381">
        <v>-1284834.3999999999</v>
      </c>
      <c r="X190" s="372">
        <v>-378362.15223929728</v>
      </c>
      <c r="Y190" s="377">
        <v>951554.07508270815</v>
      </c>
      <c r="Z190" s="378">
        <v>-711256.7057618351</v>
      </c>
      <c r="AA190" s="358">
        <f t="shared" si="26"/>
        <v>-1422899.1829184243</v>
      </c>
      <c r="AE190" s="159">
        <f t="shared" si="27"/>
        <v>0</v>
      </c>
      <c r="AG190" s="471" t="s">
        <v>372</v>
      </c>
      <c r="AH190" s="467" t="s">
        <v>924</v>
      </c>
      <c r="AI190" s="495">
        <v>-1284834.3999999999</v>
      </c>
      <c r="AJ190" s="475">
        <v>-378362.15223929728</v>
      </c>
      <c r="AK190" s="481">
        <v>951554.07508270815</v>
      </c>
      <c r="AL190" s="477">
        <v>-711256.7057618351</v>
      </c>
      <c r="AM190" s="478">
        <v>-1422899.1829184243</v>
      </c>
      <c r="AN190" s="478"/>
      <c r="AO190" s="467"/>
      <c r="AP190" s="492">
        <f>+AJ190+AL190</f>
        <v>-1089618.8580011325</v>
      </c>
      <c r="AQ190" s="467"/>
      <c r="AR190" s="467"/>
      <c r="AS190" s="509">
        <f t="shared" si="29"/>
        <v>-378362.15223929728</v>
      </c>
      <c r="AT190" s="481">
        <v>0</v>
      </c>
      <c r="AU190" s="477">
        <v>-711256.7057618351</v>
      </c>
      <c r="AV190" s="494">
        <f t="shared" si="30"/>
        <v>-1089618.8580011325</v>
      </c>
      <c r="AW190" s="517">
        <f t="shared" si="31"/>
        <v>0</v>
      </c>
      <c r="AX190" s="468"/>
      <c r="AY190" s="589">
        <v>-757864.81219800003</v>
      </c>
      <c r="AZ190" s="510">
        <f t="shared" si="32"/>
        <v>-1847483.6701991325</v>
      </c>
      <c r="BA190" s="511">
        <f t="shared" si="33"/>
        <v>0</v>
      </c>
      <c r="BB190" s="460"/>
      <c r="BC190" s="464">
        <f t="shared" si="24"/>
        <v>0</v>
      </c>
    </row>
    <row r="191" spans="1:55" ht="15">
      <c r="A191" s="431">
        <v>185</v>
      </c>
      <c r="B191" s="431">
        <v>89</v>
      </c>
      <c r="C191" t="s">
        <v>322</v>
      </c>
      <c r="D191" t="s">
        <v>899</v>
      </c>
      <c r="E191" s="381">
        <v>-930911.565451</v>
      </c>
      <c r="F191" s="372">
        <v>-305525.37310400046</v>
      </c>
      <c r="G191" s="377">
        <v>-1193005.1335299995</v>
      </c>
      <c r="H191" s="590">
        <v>-537297.96555999992</v>
      </c>
      <c r="I191" s="358">
        <f t="shared" si="25"/>
        <v>-2966740.0376449996</v>
      </c>
      <c r="K191" s="66">
        <f t="shared" si="23"/>
        <v>0</v>
      </c>
      <c r="L191" s="66"/>
      <c r="M191" s="431">
        <v>185</v>
      </c>
      <c r="N191" s="431">
        <v>89</v>
      </c>
      <c r="O191" s="443" t="s">
        <v>322</v>
      </c>
      <c r="P191" s="443" t="s">
        <v>899</v>
      </c>
      <c r="Q191" s="203">
        <v>-537297.96555999992</v>
      </c>
      <c r="R191" s="457" t="s">
        <v>2509</v>
      </c>
      <c r="S191" s="253"/>
      <c r="T191" s="159">
        <v>184</v>
      </c>
      <c r="U191" t="s">
        <v>322</v>
      </c>
      <c r="V191" t="s">
        <v>899</v>
      </c>
      <c r="W191" s="381">
        <v>-996357.56</v>
      </c>
      <c r="X191" s="372">
        <v>-930911.565451</v>
      </c>
      <c r="Y191" s="377">
        <v>-305525.37310400046</v>
      </c>
      <c r="Z191" s="378">
        <v>-1193005.1335299995</v>
      </c>
      <c r="AA191" s="358">
        <f t="shared" si="26"/>
        <v>-3425799.6320850002</v>
      </c>
      <c r="AE191" s="159">
        <f t="shared" si="27"/>
        <v>0</v>
      </c>
      <c r="AG191" s="471" t="s">
        <v>322</v>
      </c>
      <c r="AH191" s="467" t="s">
        <v>899</v>
      </c>
      <c r="AI191" s="486">
        <v>-996357.56</v>
      </c>
      <c r="AJ191" s="475">
        <v>-930911.565451</v>
      </c>
      <c r="AK191" s="476">
        <v>-305525.37310400046</v>
      </c>
      <c r="AL191" s="477">
        <v>-1193005.1335299995</v>
      </c>
      <c r="AM191" s="478">
        <v>-3425799.6320850002</v>
      </c>
      <c r="AN191" s="478"/>
      <c r="AO191" s="467"/>
      <c r="AP191" s="479">
        <f t="shared" si="28"/>
        <v>-2429442.0720849996</v>
      </c>
      <c r="AQ191" s="467"/>
      <c r="AR191" s="467"/>
      <c r="AS191" s="509">
        <f t="shared" si="29"/>
        <v>-930911.565451</v>
      </c>
      <c r="AT191" s="476">
        <v>-305525.37310400046</v>
      </c>
      <c r="AU191" s="477">
        <v>-1193005.1335299995</v>
      </c>
      <c r="AV191" s="494">
        <f t="shared" si="30"/>
        <v>-2429442.0720849996</v>
      </c>
      <c r="AW191" s="494">
        <f t="shared" si="31"/>
        <v>0</v>
      </c>
      <c r="AX191" s="468"/>
      <c r="AY191" s="589">
        <v>-537297.96555999992</v>
      </c>
      <c r="AZ191" s="510">
        <f t="shared" si="32"/>
        <v>-2966740.0376449996</v>
      </c>
      <c r="BA191" s="511">
        <f t="shared" si="33"/>
        <v>0</v>
      </c>
      <c r="BB191" s="460"/>
      <c r="BC191" s="464">
        <f t="shared" si="24"/>
        <v>0</v>
      </c>
    </row>
    <row r="192" spans="1:55" ht="15">
      <c r="A192" s="431">
        <v>186</v>
      </c>
      <c r="B192" s="431">
        <v>313</v>
      </c>
      <c r="C192" s="347" t="s">
        <v>709</v>
      </c>
      <c r="D192" s="348" t="s">
        <v>710</v>
      </c>
      <c r="E192" s="380">
        <v>0</v>
      </c>
      <c r="F192" s="371"/>
      <c r="G192" s="377"/>
      <c r="H192" s="590">
        <v>-173643.00075100001</v>
      </c>
      <c r="I192" s="358">
        <f t="shared" si="25"/>
        <v>-173643.00075100001</v>
      </c>
      <c r="K192" s="66">
        <f t="shared" si="23"/>
        <v>0</v>
      </c>
      <c r="L192" s="66"/>
      <c r="M192" s="431">
        <v>186</v>
      </c>
      <c r="N192" s="431">
        <v>313</v>
      </c>
      <c r="O192" s="443" t="s">
        <v>709</v>
      </c>
      <c r="P192" s="443" t="s">
        <v>2501</v>
      </c>
      <c r="Q192" s="203">
        <v>-173643.00075100001</v>
      </c>
      <c r="R192" s="457" t="s">
        <v>2509</v>
      </c>
      <c r="S192" s="253"/>
      <c r="T192" s="159">
        <v>185</v>
      </c>
      <c r="U192" s="347" t="s">
        <v>709</v>
      </c>
      <c r="V192" s="348" t="s">
        <v>710</v>
      </c>
      <c r="W192" s="380">
        <v>0</v>
      </c>
      <c r="X192" s="371"/>
      <c r="Y192" s="377"/>
      <c r="Z192" s="378"/>
      <c r="AA192" s="358">
        <f t="shared" si="26"/>
        <v>0</v>
      </c>
      <c r="AE192" s="159">
        <f t="shared" si="27"/>
        <v>0</v>
      </c>
      <c r="AG192" s="471" t="s">
        <v>709</v>
      </c>
      <c r="AH192" s="467" t="s">
        <v>710</v>
      </c>
      <c r="AI192" s="484">
        <v>0</v>
      </c>
      <c r="AJ192" s="485"/>
      <c r="AK192" s="476"/>
      <c r="AL192" s="477"/>
      <c r="AM192" s="478">
        <v>0</v>
      </c>
      <c r="AN192" s="478"/>
      <c r="AO192" s="467"/>
      <c r="AP192" s="479">
        <f t="shared" si="28"/>
        <v>0</v>
      </c>
      <c r="AQ192" s="467"/>
      <c r="AR192" s="467"/>
      <c r="AS192" s="509">
        <f t="shared" si="29"/>
        <v>0</v>
      </c>
      <c r="AT192" s="476"/>
      <c r="AU192" s="477"/>
      <c r="AV192" s="494">
        <f t="shared" si="30"/>
        <v>0</v>
      </c>
      <c r="AW192" s="494">
        <f t="shared" si="31"/>
        <v>0</v>
      </c>
      <c r="AX192" s="468"/>
      <c r="AY192" s="589">
        <v>-173643.00075100001</v>
      </c>
      <c r="AZ192" s="510">
        <f t="shared" si="32"/>
        <v>-173643.00075100001</v>
      </c>
      <c r="BA192" s="511">
        <f t="shared" si="33"/>
        <v>0</v>
      </c>
      <c r="BB192" s="460"/>
      <c r="BC192" s="464">
        <f t="shared" si="24"/>
        <v>0</v>
      </c>
    </row>
    <row r="193" spans="1:55" ht="15">
      <c r="A193" s="431">
        <v>187</v>
      </c>
      <c r="B193" s="431">
        <v>88</v>
      </c>
      <c r="C193" t="s">
        <v>320</v>
      </c>
      <c r="D193" t="s">
        <v>898</v>
      </c>
      <c r="E193" s="372">
        <v>0</v>
      </c>
      <c r="F193" s="372">
        <v>-31572.615549999988</v>
      </c>
      <c r="G193" s="377">
        <v>-119234.20689600003</v>
      </c>
      <c r="H193" s="590">
        <v>-20000.36356800003</v>
      </c>
      <c r="I193" s="358">
        <f t="shared" si="25"/>
        <v>-170807.18601400004</v>
      </c>
      <c r="K193" s="66">
        <f t="shared" si="23"/>
        <v>0</v>
      </c>
      <c r="L193" s="66"/>
      <c r="M193" s="431">
        <v>187</v>
      </c>
      <c r="N193" s="431">
        <v>88</v>
      </c>
      <c r="O193" s="443" t="s">
        <v>320</v>
      </c>
      <c r="P193" s="443" t="s">
        <v>898</v>
      </c>
      <c r="Q193" s="203">
        <v>-20000.36356800003</v>
      </c>
      <c r="R193" s="457" t="s">
        <v>2509</v>
      </c>
      <c r="S193" s="253"/>
      <c r="T193" s="159">
        <v>186</v>
      </c>
      <c r="U193" t="s">
        <v>320</v>
      </c>
      <c r="V193" t="s">
        <v>898</v>
      </c>
      <c r="W193" s="372">
        <v>-7968.42</v>
      </c>
      <c r="X193" s="372">
        <v>0</v>
      </c>
      <c r="Y193" s="377">
        <v>-31572.615549999988</v>
      </c>
      <c r="Z193" s="378">
        <v>-119234.20689600003</v>
      </c>
      <c r="AA193" s="358">
        <f t="shared" si="26"/>
        <v>-158775.24244600002</v>
      </c>
      <c r="AE193" s="159">
        <f t="shared" si="27"/>
        <v>0</v>
      </c>
      <c r="AG193" s="471" t="s">
        <v>320</v>
      </c>
      <c r="AH193" s="467" t="s">
        <v>898</v>
      </c>
      <c r="AI193" s="475">
        <v>-7968.42</v>
      </c>
      <c r="AJ193" s="475">
        <v>0</v>
      </c>
      <c r="AK193" s="476">
        <v>-31572.615549999988</v>
      </c>
      <c r="AL193" s="477">
        <v>-119234.20689600003</v>
      </c>
      <c r="AM193" s="478">
        <v>-158775.24244600002</v>
      </c>
      <c r="AN193" s="478"/>
      <c r="AO193" s="467"/>
      <c r="AP193" s="479">
        <f t="shared" si="28"/>
        <v>-150806.82244600001</v>
      </c>
      <c r="AQ193" s="467"/>
      <c r="AR193" s="467"/>
      <c r="AS193" s="509">
        <f t="shared" si="29"/>
        <v>0</v>
      </c>
      <c r="AT193" s="476">
        <v>-31572.615549999988</v>
      </c>
      <c r="AU193" s="477">
        <v>-119234.20689600003</v>
      </c>
      <c r="AV193" s="494">
        <f t="shared" si="30"/>
        <v>-150806.82244600001</v>
      </c>
      <c r="AW193" s="494">
        <f t="shared" si="31"/>
        <v>0</v>
      </c>
      <c r="AX193" s="468"/>
      <c r="AY193" s="589">
        <v>-20000.36356800003</v>
      </c>
      <c r="AZ193" s="510">
        <f t="shared" si="32"/>
        <v>-170807.18601400004</v>
      </c>
      <c r="BA193" s="511">
        <f t="shared" si="33"/>
        <v>0</v>
      </c>
      <c r="BB193" s="460"/>
      <c r="BC193" s="464">
        <f t="shared" si="24"/>
        <v>0</v>
      </c>
    </row>
    <row r="194" spans="1:55" ht="15">
      <c r="A194" s="431">
        <v>188</v>
      </c>
      <c r="B194" s="431">
        <v>187</v>
      </c>
      <c r="C194" t="s">
        <v>488</v>
      </c>
      <c r="D194" t="s">
        <v>973</v>
      </c>
      <c r="E194" s="372">
        <v>0</v>
      </c>
      <c r="F194" s="372">
        <v>-27275.159621049766</v>
      </c>
      <c r="G194" s="377">
        <v>9591.3494654539827</v>
      </c>
      <c r="H194" s="590">
        <v>88405.54590999987</v>
      </c>
      <c r="I194" s="358">
        <f t="shared" si="25"/>
        <v>70721.735754404086</v>
      </c>
      <c r="K194" s="66">
        <f t="shared" si="23"/>
        <v>0</v>
      </c>
      <c r="L194" s="66"/>
      <c r="M194" s="431">
        <v>188</v>
      </c>
      <c r="N194" s="431">
        <v>187</v>
      </c>
      <c r="O194" s="443" t="s">
        <v>488</v>
      </c>
      <c r="P194" s="443" t="s">
        <v>973</v>
      </c>
      <c r="Q194" s="203">
        <v>88405.54590999987</v>
      </c>
      <c r="R194" s="457" t="s">
        <v>2509</v>
      </c>
      <c r="S194" s="253"/>
      <c r="T194" s="159">
        <v>187</v>
      </c>
      <c r="U194" t="s">
        <v>488</v>
      </c>
      <c r="V194" t="s">
        <v>973</v>
      </c>
      <c r="W194" s="372">
        <v>0</v>
      </c>
      <c r="X194" s="372">
        <v>0</v>
      </c>
      <c r="Y194" s="377">
        <v>-27275.159621049766</v>
      </c>
      <c r="Z194" s="378">
        <v>9591.3494654539827</v>
      </c>
      <c r="AA194" s="358">
        <f t="shared" si="26"/>
        <v>-17683.810155595784</v>
      </c>
      <c r="AE194" s="159">
        <f t="shared" si="27"/>
        <v>0</v>
      </c>
      <c r="AG194" s="471" t="s">
        <v>488</v>
      </c>
      <c r="AH194" s="467" t="s">
        <v>973</v>
      </c>
      <c r="AI194" s="475">
        <v>0</v>
      </c>
      <c r="AJ194" s="475">
        <v>0</v>
      </c>
      <c r="AK194" s="476">
        <v>-27275.159621049766</v>
      </c>
      <c r="AL194" s="477">
        <v>9591.3494654539827</v>
      </c>
      <c r="AM194" s="478">
        <v>-17683.810155595784</v>
      </c>
      <c r="AN194" s="478"/>
      <c r="AO194" s="467"/>
      <c r="AP194" s="479">
        <f t="shared" si="28"/>
        <v>-17683.810155595784</v>
      </c>
      <c r="AQ194" s="467"/>
      <c r="AR194" s="467"/>
      <c r="AS194" s="509">
        <f t="shared" si="29"/>
        <v>0</v>
      </c>
      <c r="AT194" s="476">
        <v>-27275.159621049766</v>
      </c>
      <c r="AU194" s="477">
        <v>9591.3494654539827</v>
      </c>
      <c r="AV194" s="494">
        <f t="shared" si="30"/>
        <v>-17683.810155595784</v>
      </c>
      <c r="AW194" s="494">
        <f t="shared" si="31"/>
        <v>0</v>
      </c>
      <c r="AX194" s="468"/>
      <c r="AY194" s="589">
        <v>88405.54590999987</v>
      </c>
      <c r="AZ194" s="510">
        <f t="shared" si="32"/>
        <v>70721.735754404086</v>
      </c>
      <c r="BA194" s="511">
        <f t="shared" si="33"/>
        <v>0</v>
      </c>
      <c r="BB194" s="460"/>
      <c r="BC194" s="464">
        <f t="shared" si="24"/>
        <v>0</v>
      </c>
    </row>
    <row r="195" spans="1:55" ht="15">
      <c r="A195" s="431">
        <v>189</v>
      </c>
      <c r="B195" s="431">
        <v>87</v>
      </c>
      <c r="C195" t="s">
        <v>318</v>
      </c>
      <c r="D195" t="s">
        <v>897</v>
      </c>
      <c r="E195" s="372">
        <v>0</v>
      </c>
      <c r="F195" s="372">
        <v>-84137.901187999989</v>
      </c>
      <c r="G195" s="377">
        <v>-121950.31709200004</v>
      </c>
      <c r="H195" s="590">
        <v>-223743.82495799998</v>
      </c>
      <c r="I195" s="358">
        <f t="shared" si="25"/>
        <v>-429832.04323800001</v>
      </c>
      <c r="K195" s="66">
        <f t="shared" si="23"/>
        <v>0</v>
      </c>
      <c r="L195" s="66"/>
      <c r="M195" s="431">
        <v>189</v>
      </c>
      <c r="N195" s="431">
        <v>87</v>
      </c>
      <c r="O195" s="443" t="s">
        <v>318</v>
      </c>
      <c r="P195" s="443" t="s">
        <v>897</v>
      </c>
      <c r="Q195" s="203">
        <v>-223743.82495799998</v>
      </c>
      <c r="R195" s="457" t="s">
        <v>2509</v>
      </c>
      <c r="S195" s="253"/>
      <c r="T195" s="159">
        <v>188</v>
      </c>
      <c r="U195" t="s">
        <v>318</v>
      </c>
      <c r="V195" t="s">
        <v>897</v>
      </c>
      <c r="W195" s="372">
        <v>-100350.45</v>
      </c>
      <c r="X195" s="372">
        <v>0</v>
      </c>
      <c r="Y195" s="377">
        <v>-84137.901187999989</v>
      </c>
      <c r="Z195" s="378">
        <v>-121950.31709200004</v>
      </c>
      <c r="AA195" s="358">
        <f t="shared" si="26"/>
        <v>-306438.66828000004</v>
      </c>
      <c r="AE195" s="159">
        <f t="shared" si="27"/>
        <v>0</v>
      </c>
      <c r="AG195" s="471" t="s">
        <v>318</v>
      </c>
      <c r="AH195" s="467" t="s">
        <v>897</v>
      </c>
      <c r="AI195" s="475">
        <v>-100350.45</v>
      </c>
      <c r="AJ195" s="475">
        <v>0</v>
      </c>
      <c r="AK195" s="476">
        <v>-84137.901187999989</v>
      </c>
      <c r="AL195" s="477">
        <v>-121950.31709200004</v>
      </c>
      <c r="AM195" s="478">
        <v>-306438.66828000004</v>
      </c>
      <c r="AN195" s="478"/>
      <c r="AO195" s="467"/>
      <c r="AP195" s="479">
        <f t="shared" si="28"/>
        <v>-206088.21828000003</v>
      </c>
      <c r="AQ195" s="467"/>
      <c r="AR195" s="467"/>
      <c r="AS195" s="509">
        <f t="shared" si="29"/>
        <v>0</v>
      </c>
      <c r="AT195" s="476">
        <v>-84137.901187999989</v>
      </c>
      <c r="AU195" s="477">
        <v>-121950.31709200004</v>
      </c>
      <c r="AV195" s="494">
        <f t="shared" si="30"/>
        <v>-206088.21828000003</v>
      </c>
      <c r="AW195" s="494">
        <f t="shared" si="31"/>
        <v>0</v>
      </c>
      <c r="AX195" s="468"/>
      <c r="AY195" s="589">
        <v>-223743.82495799998</v>
      </c>
      <c r="AZ195" s="510">
        <f t="shared" si="32"/>
        <v>-429832.04323800001</v>
      </c>
      <c r="BA195" s="511">
        <f t="shared" si="33"/>
        <v>0</v>
      </c>
      <c r="BB195" s="460"/>
      <c r="BC195" s="464">
        <f t="shared" si="24"/>
        <v>0</v>
      </c>
    </row>
    <row r="196" spans="1:55" ht="15">
      <c r="A196" s="431">
        <v>190</v>
      </c>
      <c r="B196" s="431">
        <v>167</v>
      </c>
      <c r="C196" t="s">
        <v>450</v>
      </c>
      <c r="D196" t="s">
        <v>954</v>
      </c>
      <c r="E196" s="372">
        <v>-51357.197805999967</v>
      </c>
      <c r="F196" s="372">
        <v>-17772.232054000022</v>
      </c>
      <c r="G196" s="377">
        <v>-16114.109550000016</v>
      </c>
      <c r="H196" s="590">
        <v>-25221.196711999975</v>
      </c>
      <c r="I196" s="358">
        <f t="shared" si="25"/>
        <v>-110464.73612199997</v>
      </c>
      <c r="K196" s="66">
        <f t="shared" si="23"/>
        <v>0</v>
      </c>
      <c r="L196" s="66"/>
      <c r="M196" s="431">
        <v>190</v>
      </c>
      <c r="N196" s="431">
        <v>167</v>
      </c>
      <c r="O196" s="443" t="s">
        <v>450</v>
      </c>
      <c r="P196" s="443" t="s">
        <v>954</v>
      </c>
      <c r="Q196" s="203">
        <v>-25221.196711999975</v>
      </c>
      <c r="R196" s="457" t="s">
        <v>2509</v>
      </c>
      <c r="S196" s="253"/>
      <c r="T196" s="159">
        <v>189</v>
      </c>
      <c r="U196" t="s">
        <v>450</v>
      </c>
      <c r="V196" t="s">
        <v>954</v>
      </c>
      <c r="W196" s="372">
        <v>-47234.58</v>
      </c>
      <c r="X196" s="372">
        <v>-51357.197805999967</v>
      </c>
      <c r="Y196" s="377">
        <v>-17772.232054000022</v>
      </c>
      <c r="Z196" s="378">
        <v>-16114.109550000016</v>
      </c>
      <c r="AA196" s="358">
        <f t="shared" si="26"/>
        <v>-132478.11941000001</v>
      </c>
      <c r="AE196" s="159">
        <f t="shared" si="27"/>
        <v>0</v>
      </c>
      <c r="AG196" s="471" t="s">
        <v>450</v>
      </c>
      <c r="AH196" s="467" t="s">
        <v>954</v>
      </c>
      <c r="AI196" s="475">
        <v>-47234.58</v>
      </c>
      <c r="AJ196" s="475">
        <v>-51357.197805999967</v>
      </c>
      <c r="AK196" s="476">
        <v>-17772.232054000022</v>
      </c>
      <c r="AL196" s="477">
        <v>-16114.109550000016</v>
      </c>
      <c r="AM196" s="478">
        <v>-132478.11941000001</v>
      </c>
      <c r="AN196" s="478"/>
      <c r="AO196" s="467"/>
      <c r="AP196" s="479">
        <f t="shared" si="28"/>
        <v>-85243.539409999998</v>
      </c>
      <c r="AQ196" s="467"/>
      <c r="AR196" s="467"/>
      <c r="AS196" s="509">
        <f t="shared" si="29"/>
        <v>-51357.197805999967</v>
      </c>
      <c r="AT196" s="476">
        <v>-17772.232054000022</v>
      </c>
      <c r="AU196" s="477">
        <v>-16114.109550000016</v>
      </c>
      <c r="AV196" s="494">
        <f t="shared" si="30"/>
        <v>-85243.539409999998</v>
      </c>
      <c r="AW196" s="494">
        <f t="shared" si="31"/>
        <v>0</v>
      </c>
      <c r="AX196" s="468"/>
      <c r="AY196" s="589">
        <v>-25221.196711999975</v>
      </c>
      <c r="AZ196" s="510">
        <f t="shared" si="32"/>
        <v>-110464.73612199997</v>
      </c>
      <c r="BA196" s="511">
        <f t="shared" si="33"/>
        <v>0</v>
      </c>
      <c r="BB196" s="460"/>
      <c r="BC196" s="464">
        <f t="shared" si="24"/>
        <v>0</v>
      </c>
    </row>
    <row r="197" spans="1:55" ht="15">
      <c r="A197" s="431">
        <v>191</v>
      </c>
      <c r="B197" s="431">
        <v>180</v>
      </c>
      <c r="C197" t="s">
        <v>476</v>
      </c>
      <c r="D197" t="s">
        <v>967</v>
      </c>
      <c r="E197" s="372">
        <v>-120310.38222100005</v>
      </c>
      <c r="F197" s="372">
        <v>-154592.16988000006</v>
      </c>
      <c r="G197" s="377">
        <v>-147381.39797500003</v>
      </c>
      <c r="H197" s="590">
        <v>-92482.007603999926</v>
      </c>
      <c r="I197" s="358">
        <f t="shared" si="25"/>
        <v>-514765.95768000005</v>
      </c>
      <c r="K197" s="66">
        <f t="shared" ref="K197:K260" si="34">+O197-C197</f>
        <v>0</v>
      </c>
      <c r="L197" s="66"/>
      <c r="M197" s="431">
        <v>191</v>
      </c>
      <c r="N197" s="431">
        <v>180</v>
      </c>
      <c r="O197" s="443" t="s">
        <v>476</v>
      </c>
      <c r="P197" s="443" t="s">
        <v>967</v>
      </c>
      <c r="Q197" s="203">
        <v>-92482.007603999926</v>
      </c>
      <c r="R197" s="457" t="s">
        <v>2509</v>
      </c>
      <c r="S197" s="253"/>
      <c r="T197" s="159">
        <v>190</v>
      </c>
      <c r="U197" t="s">
        <v>476</v>
      </c>
      <c r="V197" t="s">
        <v>967</v>
      </c>
      <c r="W197" s="372">
        <v>-174326.58</v>
      </c>
      <c r="X197" s="372">
        <v>-120310.38222100005</v>
      </c>
      <c r="Y197" s="377">
        <v>-154592.16988000006</v>
      </c>
      <c r="Z197" s="378">
        <v>-147381.39797500003</v>
      </c>
      <c r="AA197" s="358">
        <f t="shared" si="26"/>
        <v>-596610.53007600014</v>
      </c>
      <c r="AE197" s="159">
        <f t="shared" si="27"/>
        <v>0</v>
      </c>
      <c r="AG197" s="471" t="s">
        <v>476</v>
      </c>
      <c r="AH197" s="467" t="s">
        <v>967</v>
      </c>
      <c r="AI197" s="475">
        <v>-174326.58</v>
      </c>
      <c r="AJ197" s="475">
        <v>-120310.38222100005</v>
      </c>
      <c r="AK197" s="476">
        <v>-154592.16988000006</v>
      </c>
      <c r="AL197" s="477">
        <v>-147381.39797500003</v>
      </c>
      <c r="AM197" s="478">
        <v>-596610.53007600014</v>
      </c>
      <c r="AN197" s="478"/>
      <c r="AO197" s="467"/>
      <c r="AP197" s="479">
        <f t="shared" si="28"/>
        <v>-422283.95007600012</v>
      </c>
      <c r="AQ197" s="467"/>
      <c r="AR197" s="467"/>
      <c r="AS197" s="509">
        <f t="shared" si="29"/>
        <v>-120310.38222100005</v>
      </c>
      <c r="AT197" s="476">
        <v>-154592.16988000006</v>
      </c>
      <c r="AU197" s="477">
        <v>-147381.39797500003</v>
      </c>
      <c r="AV197" s="494">
        <f t="shared" si="30"/>
        <v>-422283.95007600012</v>
      </c>
      <c r="AW197" s="494">
        <f t="shared" si="31"/>
        <v>0</v>
      </c>
      <c r="AX197" s="468"/>
      <c r="AY197" s="589">
        <v>-92482.007603999926</v>
      </c>
      <c r="AZ197" s="510">
        <f t="shared" si="32"/>
        <v>-514765.95768000005</v>
      </c>
      <c r="BA197" s="511">
        <f t="shared" si="33"/>
        <v>0</v>
      </c>
      <c r="BB197" s="460"/>
      <c r="BC197" s="464">
        <f t="shared" si="24"/>
        <v>0</v>
      </c>
    </row>
    <row r="198" spans="1:55" ht="15">
      <c r="A198" s="431">
        <v>192</v>
      </c>
      <c r="B198" s="431">
        <v>277</v>
      </c>
      <c r="C198" t="s">
        <v>646</v>
      </c>
      <c r="D198" t="s">
        <v>1040</v>
      </c>
      <c r="E198" s="372">
        <v>-1061322.3406508819</v>
      </c>
      <c r="F198" s="372">
        <v>0</v>
      </c>
      <c r="G198" s="377">
        <v>-674726.08915557002</v>
      </c>
      <c r="H198" s="590">
        <v>-1044944.3082130007</v>
      </c>
      <c r="I198" s="358">
        <f t="shared" si="25"/>
        <v>-2780992.7380194524</v>
      </c>
      <c r="K198" s="66">
        <f t="shared" si="34"/>
        <v>0</v>
      </c>
      <c r="L198" s="66"/>
      <c r="M198" s="431">
        <v>192</v>
      </c>
      <c r="N198" s="431">
        <v>277</v>
      </c>
      <c r="O198" s="443" t="s">
        <v>646</v>
      </c>
      <c r="P198" s="443" t="s">
        <v>1040</v>
      </c>
      <c r="Q198" s="203">
        <v>-1044944.3082130007</v>
      </c>
      <c r="R198" s="457" t="s">
        <v>2509</v>
      </c>
      <c r="S198" s="253"/>
      <c r="T198" s="159">
        <v>191</v>
      </c>
      <c r="U198" t="s">
        <v>646</v>
      </c>
      <c r="V198" t="s">
        <v>1040</v>
      </c>
      <c r="W198" s="372">
        <v>-885210.18</v>
      </c>
      <c r="X198" s="372">
        <v>-1061322.3406508819</v>
      </c>
      <c r="Y198" s="377">
        <v>0</v>
      </c>
      <c r="Z198" s="378">
        <v>-674726.08915557002</v>
      </c>
      <c r="AA198" s="358">
        <f t="shared" si="26"/>
        <v>-2621258.6098064519</v>
      </c>
      <c r="AE198" s="159">
        <f t="shared" si="27"/>
        <v>0</v>
      </c>
      <c r="AG198" s="471" t="s">
        <v>646</v>
      </c>
      <c r="AH198" s="467" t="s">
        <v>1040</v>
      </c>
      <c r="AI198" s="475">
        <v>-885210.18</v>
      </c>
      <c r="AJ198" s="475">
        <v>-1061322.3406508819</v>
      </c>
      <c r="AK198" s="476">
        <v>0</v>
      </c>
      <c r="AL198" s="477">
        <v>-674726.08915557002</v>
      </c>
      <c r="AM198" s="478">
        <v>-2621258.6098064519</v>
      </c>
      <c r="AN198" s="478"/>
      <c r="AO198" s="467"/>
      <c r="AP198" s="479">
        <f t="shared" si="28"/>
        <v>-1736048.4298064518</v>
      </c>
      <c r="AQ198" s="467"/>
      <c r="AR198" s="467"/>
      <c r="AS198" s="509">
        <f t="shared" si="29"/>
        <v>-1061322.3406508819</v>
      </c>
      <c r="AT198" s="476">
        <v>0</v>
      </c>
      <c r="AU198" s="477">
        <v>-674726.08915557002</v>
      </c>
      <c r="AV198" s="494">
        <f t="shared" si="30"/>
        <v>-1736048.4298064518</v>
      </c>
      <c r="AW198" s="494">
        <f t="shared" si="31"/>
        <v>0</v>
      </c>
      <c r="AX198" s="468"/>
      <c r="AY198" s="589">
        <v>-1044944.3082130007</v>
      </c>
      <c r="AZ198" s="510">
        <f t="shared" si="32"/>
        <v>-2780992.7380194524</v>
      </c>
      <c r="BA198" s="511">
        <f t="shared" si="33"/>
        <v>0</v>
      </c>
      <c r="BB198" s="460"/>
      <c r="BC198" s="464">
        <f t="shared" si="24"/>
        <v>0</v>
      </c>
    </row>
    <row r="199" spans="1:55" ht="15">
      <c r="A199" s="431">
        <v>193</v>
      </c>
      <c r="B199" s="431">
        <v>179</v>
      </c>
      <c r="C199" t="s">
        <v>474</v>
      </c>
      <c r="D199" t="s">
        <v>966</v>
      </c>
      <c r="E199" s="372">
        <v>0</v>
      </c>
      <c r="F199" s="372">
        <v>0</v>
      </c>
      <c r="G199" s="377">
        <v>55407.32</v>
      </c>
      <c r="H199" s="590">
        <v>-3898.0726759999525</v>
      </c>
      <c r="I199" s="358">
        <f t="shared" si="25"/>
        <v>51509.247324000047</v>
      </c>
      <c r="K199" s="66">
        <f t="shared" si="34"/>
        <v>0</v>
      </c>
      <c r="L199" s="66"/>
      <c r="M199" s="431">
        <v>193</v>
      </c>
      <c r="N199" s="431">
        <v>179</v>
      </c>
      <c r="O199" s="443" t="s">
        <v>474</v>
      </c>
      <c r="P199" s="443" t="s">
        <v>966</v>
      </c>
      <c r="Q199" s="203">
        <v>-3898.0726759999525</v>
      </c>
      <c r="R199" s="457" t="s">
        <v>2509</v>
      </c>
      <c r="S199" s="253"/>
      <c r="T199" s="159">
        <v>192</v>
      </c>
      <c r="U199" t="s">
        <v>474</v>
      </c>
      <c r="V199" t="s">
        <v>966</v>
      </c>
      <c r="W199" s="372">
        <v>-55366.41</v>
      </c>
      <c r="X199" s="372">
        <v>0</v>
      </c>
      <c r="Y199" s="377">
        <v>0</v>
      </c>
      <c r="Z199" s="378">
        <v>110773.73492000022</v>
      </c>
      <c r="AA199" s="358">
        <f t="shared" si="26"/>
        <v>55407.324920000217</v>
      </c>
      <c r="AE199" s="159">
        <f t="shared" si="27"/>
        <v>0</v>
      </c>
      <c r="AG199" s="471" t="s">
        <v>474</v>
      </c>
      <c r="AH199" s="467" t="s">
        <v>966</v>
      </c>
      <c r="AI199" s="480">
        <v>-55366.41</v>
      </c>
      <c r="AJ199" s="475">
        <v>0</v>
      </c>
      <c r="AK199" s="476">
        <v>0</v>
      </c>
      <c r="AL199" s="482">
        <v>110773.73492000022</v>
      </c>
      <c r="AM199" s="478">
        <v>55407.324920000217</v>
      </c>
      <c r="AN199" s="483">
        <f>+AL199+AI199</f>
        <v>55407.324920000217</v>
      </c>
      <c r="AO199" s="467"/>
      <c r="AP199" s="479">
        <f t="shared" si="28"/>
        <v>110773.73492000022</v>
      </c>
      <c r="AQ199" s="467"/>
      <c r="AR199" s="467"/>
      <c r="AS199" s="509">
        <f t="shared" si="29"/>
        <v>0</v>
      </c>
      <c r="AT199" s="476">
        <v>0</v>
      </c>
      <c r="AU199" s="482">
        <v>55407.32</v>
      </c>
      <c r="AV199" s="494">
        <f t="shared" si="30"/>
        <v>55407.32</v>
      </c>
      <c r="AW199" s="494">
        <f t="shared" si="31"/>
        <v>-55366.414920000221</v>
      </c>
      <c r="AX199" s="468"/>
      <c r="AY199" s="589">
        <v>-3898.0726759999525</v>
      </c>
      <c r="AZ199" s="510">
        <f t="shared" si="32"/>
        <v>51509.247324000047</v>
      </c>
      <c r="BA199" s="511">
        <f t="shared" si="33"/>
        <v>0</v>
      </c>
      <c r="BB199" s="460"/>
      <c r="BC199" s="464">
        <f t="shared" ref="BC199:BC262" si="35">+O199-C199</f>
        <v>0</v>
      </c>
    </row>
    <row r="200" spans="1:55" ht="15">
      <c r="A200" s="431">
        <v>194</v>
      </c>
      <c r="B200" s="431">
        <v>158</v>
      </c>
      <c r="C200" t="s">
        <v>432</v>
      </c>
      <c r="D200" t="s">
        <v>946</v>
      </c>
      <c r="E200" s="372">
        <v>286474.78518859821</v>
      </c>
      <c r="F200" s="372">
        <v>89979.936717999983</v>
      </c>
      <c r="G200" s="377">
        <v>75692.494293999902</v>
      </c>
      <c r="H200" s="590">
        <v>90845.562520000152</v>
      </c>
      <c r="I200" s="358">
        <f t="shared" si="25"/>
        <v>542992.7787205982</v>
      </c>
      <c r="K200" s="66">
        <f t="shared" si="34"/>
        <v>0</v>
      </c>
      <c r="L200" s="66"/>
      <c r="M200" s="431">
        <v>194</v>
      </c>
      <c r="N200" s="431">
        <v>158</v>
      </c>
      <c r="O200" s="443" t="s">
        <v>432</v>
      </c>
      <c r="P200" s="443" t="s">
        <v>946</v>
      </c>
      <c r="Q200" s="203">
        <v>90845.562520000152</v>
      </c>
      <c r="R200" s="457" t="s">
        <v>2509</v>
      </c>
      <c r="S200" s="253"/>
      <c r="T200" s="159">
        <v>193</v>
      </c>
      <c r="U200" t="s">
        <v>432</v>
      </c>
      <c r="V200" t="s">
        <v>946</v>
      </c>
      <c r="W200" s="372">
        <v>185692.19000000006</v>
      </c>
      <c r="X200" s="372">
        <v>100782.59518859815</v>
      </c>
      <c r="Y200" s="377">
        <v>89979.936717999983</v>
      </c>
      <c r="Z200" s="378">
        <v>75692.494293999902</v>
      </c>
      <c r="AA200" s="358">
        <f t="shared" si="26"/>
        <v>452147.21620059811</v>
      </c>
      <c r="AE200" s="159">
        <f t="shared" si="27"/>
        <v>0</v>
      </c>
      <c r="AG200" s="471" t="s">
        <v>432</v>
      </c>
      <c r="AH200" s="467" t="s">
        <v>946</v>
      </c>
      <c r="AI200" s="480">
        <v>185692.19000000006</v>
      </c>
      <c r="AJ200" s="480">
        <v>100782.59518859815</v>
      </c>
      <c r="AK200" s="476">
        <v>89979.936717999983</v>
      </c>
      <c r="AL200" s="477">
        <v>75692.494293999902</v>
      </c>
      <c r="AM200" s="478">
        <v>452147.21620059811</v>
      </c>
      <c r="AN200" s="478"/>
      <c r="AO200" s="467"/>
      <c r="AP200" s="479">
        <f t="shared" si="28"/>
        <v>266455.02620059805</v>
      </c>
      <c r="AQ200" s="467"/>
      <c r="AR200" s="467"/>
      <c r="AS200" s="512">
        <f>+AI200+AJ200</f>
        <v>286474.78518859821</v>
      </c>
      <c r="AT200" s="476">
        <v>89979.936717999983</v>
      </c>
      <c r="AU200" s="477">
        <v>75692.494293999902</v>
      </c>
      <c r="AV200" s="494">
        <f t="shared" si="30"/>
        <v>452147.21620059811</v>
      </c>
      <c r="AW200" s="513">
        <f>+AV200-AM200</f>
        <v>0</v>
      </c>
      <c r="AX200" s="468"/>
      <c r="AY200" s="589">
        <v>90845.562520000152</v>
      </c>
      <c r="AZ200" s="510">
        <f t="shared" si="32"/>
        <v>542992.7787205982</v>
      </c>
      <c r="BA200" s="511">
        <f t="shared" si="33"/>
        <v>0</v>
      </c>
      <c r="BB200" s="460"/>
      <c r="BC200" s="464">
        <f t="shared" si="35"/>
        <v>0</v>
      </c>
    </row>
    <row r="201" spans="1:55" ht="15">
      <c r="A201" s="431">
        <v>195</v>
      </c>
      <c r="B201" s="431">
        <v>262</v>
      </c>
      <c r="C201" t="s">
        <v>618</v>
      </c>
      <c r="D201" t="s">
        <v>1027</v>
      </c>
      <c r="E201" s="372">
        <v>-36100.950751000004</v>
      </c>
      <c r="F201" s="372">
        <v>-45066.646125999985</v>
      </c>
      <c r="G201" s="377">
        <v>-50927.543875999996</v>
      </c>
      <c r="H201" s="590">
        <v>-76366.031950000004</v>
      </c>
      <c r="I201" s="358">
        <f t="shared" ref="I201:I265" si="36">SUM(E201:H201)</f>
        <v>-208461.17270299999</v>
      </c>
      <c r="K201" s="66">
        <f t="shared" si="34"/>
        <v>0</v>
      </c>
      <c r="L201" s="66"/>
      <c r="M201" s="431">
        <v>195</v>
      </c>
      <c r="N201" s="431">
        <v>262</v>
      </c>
      <c r="O201" s="443" t="s">
        <v>618</v>
      </c>
      <c r="P201" s="443" t="s">
        <v>1027</v>
      </c>
      <c r="Q201" s="203">
        <v>-76366.031950000004</v>
      </c>
      <c r="R201" s="457" t="s">
        <v>2509</v>
      </c>
      <c r="S201" s="253"/>
      <c r="T201" s="159">
        <v>194</v>
      </c>
      <c r="U201" t="s">
        <v>618</v>
      </c>
      <c r="V201" t="s">
        <v>1027</v>
      </c>
      <c r="W201" s="372">
        <v>-59773.33</v>
      </c>
      <c r="X201" s="372">
        <v>-36100.950751000004</v>
      </c>
      <c r="Y201" s="377">
        <v>-45066.646125999985</v>
      </c>
      <c r="Z201" s="378">
        <v>-50927.543875999996</v>
      </c>
      <c r="AA201" s="358">
        <f t="shared" ref="AA201:AA265" si="37">SUM(W201:Z201)</f>
        <v>-191868.470753</v>
      </c>
      <c r="AE201" s="159">
        <f t="shared" ref="AE201:AE265" si="38">+AG201-U201</f>
        <v>0</v>
      </c>
      <c r="AG201" s="471" t="s">
        <v>618</v>
      </c>
      <c r="AH201" s="467" t="s">
        <v>1027</v>
      </c>
      <c r="AI201" s="475">
        <v>-59773.33</v>
      </c>
      <c r="AJ201" s="475">
        <v>-36100.950751000004</v>
      </c>
      <c r="AK201" s="476">
        <v>-45066.646125999985</v>
      </c>
      <c r="AL201" s="477">
        <v>-50927.543875999996</v>
      </c>
      <c r="AM201" s="478">
        <v>-191868.470753</v>
      </c>
      <c r="AN201" s="478"/>
      <c r="AO201" s="467"/>
      <c r="AP201" s="479">
        <f t="shared" ref="AP201:AP265" si="39">SUM(AJ201:AL201)</f>
        <v>-132095.14075299999</v>
      </c>
      <c r="AQ201" s="467"/>
      <c r="AR201" s="467"/>
      <c r="AS201" s="509">
        <f t="shared" ref="AS201:AS265" si="40">+AJ201</f>
        <v>-36100.950751000004</v>
      </c>
      <c r="AT201" s="476">
        <v>-45066.646125999985</v>
      </c>
      <c r="AU201" s="477">
        <v>-50927.543875999996</v>
      </c>
      <c r="AV201" s="494">
        <f t="shared" ref="AV201:AV265" si="41">SUM(AS201:AU201)</f>
        <v>-132095.14075299999</v>
      </c>
      <c r="AW201" s="494">
        <f t="shared" ref="AW201:AW265" si="42">+AV201-AP201</f>
        <v>0</v>
      </c>
      <c r="AX201" s="468"/>
      <c r="AY201" s="589">
        <v>-76366.031950000004</v>
      </c>
      <c r="AZ201" s="510">
        <f t="shared" ref="AZ201:AZ265" si="43">+AY201+AV201</f>
        <v>-208461.17270299999</v>
      </c>
      <c r="BA201" s="511">
        <f t="shared" ref="BA201:BA265" si="44">+AZ201-I201</f>
        <v>0</v>
      </c>
      <c r="BB201" s="460"/>
      <c r="BC201" s="464">
        <f t="shared" si="35"/>
        <v>0</v>
      </c>
    </row>
    <row r="202" spans="1:55" ht="15">
      <c r="A202" s="431">
        <v>196</v>
      </c>
      <c r="B202" s="431">
        <v>215</v>
      </c>
      <c r="C202" t="s">
        <v>537</v>
      </c>
      <c r="D202" t="s">
        <v>1671</v>
      </c>
      <c r="E202" s="372">
        <v>-135347.04663200001</v>
      </c>
      <c r="F202" s="372">
        <v>-65636.717180000036</v>
      </c>
      <c r="G202" s="377">
        <v>-106366.61859199993</v>
      </c>
      <c r="H202" s="590">
        <v>-171336.61478400003</v>
      </c>
      <c r="I202" s="358">
        <f t="shared" si="36"/>
        <v>-478686.99718800001</v>
      </c>
      <c r="K202" s="66">
        <f t="shared" si="34"/>
        <v>0</v>
      </c>
      <c r="L202" s="66"/>
      <c r="M202" s="431">
        <v>196</v>
      </c>
      <c r="N202" s="431">
        <v>215</v>
      </c>
      <c r="O202" s="443" t="s">
        <v>537</v>
      </c>
      <c r="P202" s="443" t="s">
        <v>1671</v>
      </c>
      <c r="Q202" s="203">
        <v>-171336.61478400003</v>
      </c>
      <c r="R202" s="457" t="s">
        <v>2509</v>
      </c>
      <c r="S202" s="253"/>
      <c r="T202" s="159">
        <v>195</v>
      </c>
      <c r="U202" t="s">
        <v>537</v>
      </c>
      <c r="V202" t="s">
        <v>1671</v>
      </c>
      <c r="W202" s="372">
        <v>-83842.97</v>
      </c>
      <c r="X202" s="372">
        <v>-135347.04663200001</v>
      </c>
      <c r="Y202" s="377">
        <v>-65636.717180000036</v>
      </c>
      <c r="Z202" s="378">
        <v>-106366.61859199993</v>
      </c>
      <c r="AA202" s="358">
        <f t="shared" si="37"/>
        <v>-391193.35240399995</v>
      </c>
      <c r="AE202" s="159">
        <f t="shared" si="38"/>
        <v>0</v>
      </c>
      <c r="AG202" s="471" t="s">
        <v>537</v>
      </c>
      <c r="AH202" s="467" t="s">
        <v>1671</v>
      </c>
      <c r="AI202" s="475">
        <v>-83842.97</v>
      </c>
      <c r="AJ202" s="475">
        <v>-135347.04663200001</v>
      </c>
      <c r="AK202" s="476">
        <v>-65636.717180000036</v>
      </c>
      <c r="AL202" s="477">
        <v>-106366.61859199993</v>
      </c>
      <c r="AM202" s="478">
        <v>-391193.35240399995</v>
      </c>
      <c r="AN202" s="478"/>
      <c r="AO202" s="467"/>
      <c r="AP202" s="479">
        <f t="shared" si="39"/>
        <v>-307350.38240399997</v>
      </c>
      <c r="AQ202" s="467"/>
      <c r="AR202" s="467"/>
      <c r="AS202" s="509">
        <f t="shared" si="40"/>
        <v>-135347.04663200001</v>
      </c>
      <c r="AT202" s="476">
        <v>-65636.717180000036</v>
      </c>
      <c r="AU202" s="477">
        <v>-106366.61859199993</v>
      </c>
      <c r="AV202" s="494">
        <f t="shared" si="41"/>
        <v>-307350.38240399997</v>
      </c>
      <c r="AW202" s="494">
        <f t="shared" si="42"/>
        <v>0</v>
      </c>
      <c r="AX202" s="468"/>
      <c r="AY202" s="589">
        <v>-171336.61478400003</v>
      </c>
      <c r="AZ202" s="510">
        <f t="shared" si="43"/>
        <v>-478686.99718800001</v>
      </c>
      <c r="BA202" s="511">
        <f t="shared" si="44"/>
        <v>0</v>
      </c>
      <c r="BB202" s="460"/>
      <c r="BC202" s="464">
        <f t="shared" si="35"/>
        <v>0</v>
      </c>
    </row>
    <row r="203" spans="1:55" ht="15">
      <c r="A203" s="431">
        <v>197</v>
      </c>
      <c r="B203" s="431">
        <v>245</v>
      </c>
      <c r="C203" s="347" t="s">
        <v>594</v>
      </c>
      <c r="D203" s="348" t="s">
        <v>595</v>
      </c>
      <c r="E203" s="380">
        <v>0</v>
      </c>
      <c r="F203" s="371"/>
      <c r="G203" s="377"/>
      <c r="H203" s="590">
        <v>-3073.8045250000005</v>
      </c>
      <c r="I203" s="358">
        <f t="shared" si="36"/>
        <v>-3073.8045250000005</v>
      </c>
      <c r="K203" s="66">
        <f t="shared" si="34"/>
        <v>0</v>
      </c>
      <c r="L203" s="66"/>
      <c r="M203" s="431">
        <v>197</v>
      </c>
      <c r="N203" s="431">
        <v>245</v>
      </c>
      <c r="O203" s="445" t="s">
        <v>594</v>
      </c>
      <c r="P203" s="446" t="s">
        <v>2384</v>
      </c>
      <c r="Q203" s="203">
        <v>-3073.8045250000005</v>
      </c>
      <c r="R203" s="457" t="s">
        <v>2509</v>
      </c>
      <c r="S203" s="253"/>
      <c r="T203" s="159">
        <v>196</v>
      </c>
      <c r="U203" s="347" t="s">
        <v>594</v>
      </c>
      <c r="V203" s="348" t="s">
        <v>595</v>
      </c>
      <c r="W203" s="380">
        <v>0</v>
      </c>
      <c r="X203" s="371"/>
      <c r="Y203" s="377"/>
      <c r="Z203" s="378"/>
      <c r="AA203" s="358">
        <f t="shared" si="37"/>
        <v>0</v>
      </c>
      <c r="AE203" s="159">
        <f t="shared" si="38"/>
        <v>0</v>
      </c>
      <c r="AG203" s="471" t="s">
        <v>594</v>
      </c>
      <c r="AH203" s="467" t="s">
        <v>595</v>
      </c>
      <c r="AI203" s="484">
        <v>0</v>
      </c>
      <c r="AJ203" s="485"/>
      <c r="AK203" s="476"/>
      <c r="AL203" s="477"/>
      <c r="AM203" s="478">
        <v>0</v>
      </c>
      <c r="AN203" s="478"/>
      <c r="AO203" s="467"/>
      <c r="AP203" s="479">
        <f t="shared" si="39"/>
        <v>0</v>
      </c>
      <c r="AQ203" s="467"/>
      <c r="AR203" s="467"/>
      <c r="AS203" s="509">
        <f t="shared" si="40"/>
        <v>0</v>
      </c>
      <c r="AT203" s="476"/>
      <c r="AU203" s="477"/>
      <c r="AV203" s="494">
        <f t="shared" si="41"/>
        <v>0</v>
      </c>
      <c r="AW203" s="494">
        <f t="shared" si="42"/>
        <v>0</v>
      </c>
      <c r="AX203" s="468"/>
      <c r="AY203" s="589">
        <v>-3073.8045250000005</v>
      </c>
      <c r="AZ203" s="510">
        <f t="shared" si="43"/>
        <v>-3073.8045250000005</v>
      </c>
      <c r="BA203" s="511">
        <f t="shared" si="44"/>
        <v>0</v>
      </c>
      <c r="BB203" s="460"/>
      <c r="BC203" s="464">
        <f t="shared" si="35"/>
        <v>0</v>
      </c>
    </row>
    <row r="204" spans="1:55" ht="15">
      <c r="A204" s="431">
        <v>198</v>
      </c>
      <c r="B204" s="431">
        <v>57</v>
      </c>
      <c r="C204" t="s">
        <v>261</v>
      </c>
      <c r="D204" t="s">
        <v>871</v>
      </c>
      <c r="E204" s="381">
        <v>-65702.291271999973</v>
      </c>
      <c r="F204" s="372">
        <v>-47466.549693999994</v>
      </c>
      <c r="G204" s="377">
        <v>-55689.262915999992</v>
      </c>
      <c r="H204" s="590">
        <v>-41067.654343999988</v>
      </c>
      <c r="I204" s="358">
        <f t="shared" si="36"/>
        <v>-209925.75822599995</v>
      </c>
      <c r="K204" s="66">
        <f t="shared" si="34"/>
        <v>0</v>
      </c>
      <c r="L204" s="66"/>
      <c r="M204" s="431">
        <v>198</v>
      </c>
      <c r="N204" s="431">
        <v>57</v>
      </c>
      <c r="O204" s="443" t="s">
        <v>261</v>
      </c>
      <c r="P204" s="443" t="s">
        <v>871</v>
      </c>
      <c r="Q204" s="203">
        <v>-41067.654343999988</v>
      </c>
      <c r="R204" s="457" t="s">
        <v>2509</v>
      </c>
      <c r="S204" s="253"/>
      <c r="T204" s="159">
        <v>197</v>
      </c>
      <c r="U204" t="s">
        <v>261</v>
      </c>
      <c r="V204" t="s">
        <v>871</v>
      </c>
      <c r="W204" s="381">
        <v>-37285.480000000003</v>
      </c>
      <c r="X204" s="372">
        <v>-65702.291271999973</v>
      </c>
      <c r="Y204" s="377">
        <v>-47466.549693999994</v>
      </c>
      <c r="Z204" s="378">
        <v>-55689.262915999992</v>
      </c>
      <c r="AA204" s="358">
        <f t="shared" si="37"/>
        <v>-206143.58388199995</v>
      </c>
      <c r="AE204" s="159">
        <f t="shared" si="38"/>
        <v>0</v>
      </c>
      <c r="AG204" s="471" t="s">
        <v>261</v>
      </c>
      <c r="AH204" s="467" t="s">
        <v>871</v>
      </c>
      <c r="AI204" s="486">
        <v>-37285.480000000003</v>
      </c>
      <c r="AJ204" s="475">
        <v>-65702.291271999973</v>
      </c>
      <c r="AK204" s="476">
        <v>-47466.549693999994</v>
      </c>
      <c r="AL204" s="477">
        <v>-55689.262915999992</v>
      </c>
      <c r="AM204" s="478">
        <v>-206143.58388199995</v>
      </c>
      <c r="AN204" s="478"/>
      <c r="AO204" s="467"/>
      <c r="AP204" s="479">
        <f t="shared" si="39"/>
        <v>-168858.10388199997</v>
      </c>
      <c r="AQ204" s="467"/>
      <c r="AR204" s="467"/>
      <c r="AS204" s="509">
        <f t="shared" si="40"/>
        <v>-65702.291271999973</v>
      </c>
      <c r="AT204" s="476">
        <v>-47466.549693999994</v>
      </c>
      <c r="AU204" s="477">
        <v>-55689.262915999992</v>
      </c>
      <c r="AV204" s="494">
        <f t="shared" si="41"/>
        <v>-168858.10388199997</v>
      </c>
      <c r="AW204" s="494">
        <f t="shared" si="42"/>
        <v>0</v>
      </c>
      <c r="AX204" s="468"/>
      <c r="AY204" s="589">
        <v>-41067.654343999988</v>
      </c>
      <c r="AZ204" s="510">
        <f t="shared" si="43"/>
        <v>-209925.75822599995</v>
      </c>
      <c r="BA204" s="511">
        <f t="shared" si="44"/>
        <v>0</v>
      </c>
      <c r="BB204" s="460"/>
      <c r="BC204" s="464">
        <f t="shared" si="35"/>
        <v>0</v>
      </c>
    </row>
    <row r="205" spans="1:55" ht="15">
      <c r="A205" s="431">
        <v>199</v>
      </c>
      <c r="B205" s="431">
        <v>49</v>
      </c>
      <c r="C205" t="s">
        <v>245</v>
      </c>
      <c r="D205" t="s">
        <v>863</v>
      </c>
      <c r="E205" s="381">
        <v>-86579.023230000006</v>
      </c>
      <c r="F205" s="372">
        <v>-49310.580900999979</v>
      </c>
      <c r="G205" s="377">
        <v>-17132.761788000018</v>
      </c>
      <c r="H205" s="590">
        <v>-74522.067596000052</v>
      </c>
      <c r="I205" s="358">
        <f t="shared" si="36"/>
        <v>-227544.43351500004</v>
      </c>
      <c r="K205" s="66">
        <f t="shared" si="34"/>
        <v>0</v>
      </c>
      <c r="L205" s="66"/>
      <c r="M205" s="431">
        <v>199</v>
      </c>
      <c r="N205" s="431">
        <v>49</v>
      </c>
      <c r="O205" s="443" t="s">
        <v>245</v>
      </c>
      <c r="P205" s="443" t="s">
        <v>863</v>
      </c>
      <c r="Q205" s="203">
        <v>-74522.067596000052</v>
      </c>
      <c r="R205" s="457" t="s">
        <v>2509</v>
      </c>
      <c r="S205" s="253"/>
      <c r="T205" s="159">
        <v>198</v>
      </c>
      <c r="U205" t="s">
        <v>245</v>
      </c>
      <c r="V205" t="s">
        <v>863</v>
      </c>
      <c r="W205" s="381">
        <v>720.84</v>
      </c>
      <c r="X205" s="372">
        <v>-87299.863230000003</v>
      </c>
      <c r="Y205" s="377">
        <v>-49310.580900999979</v>
      </c>
      <c r="Z205" s="378">
        <v>-17132.761788000018</v>
      </c>
      <c r="AA205" s="358">
        <f t="shared" si="37"/>
        <v>-153022.365919</v>
      </c>
      <c r="AE205" s="159">
        <f t="shared" si="38"/>
        <v>0</v>
      </c>
      <c r="AG205" s="471" t="s">
        <v>245</v>
      </c>
      <c r="AH205" s="467" t="s">
        <v>863</v>
      </c>
      <c r="AI205" s="495">
        <v>720.84</v>
      </c>
      <c r="AJ205" s="480">
        <v>-87299.863230000003</v>
      </c>
      <c r="AK205" s="476">
        <v>-49310.580900999979</v>
      </c>
      <c r="AL205" s="477">
        <v>-17132.761788000018</v>
      </c>
      <c r="AM205" s="478">
        <v>-153022.365919</v>
      </c>
      <c r="AN205" s="478"/>
      <c r="AO205" s="467"/>
      <c r="AP205" s="479">
        <f t="shared" si="39"/>
        <v>-153743.20591899997</v>
      </c>
      <c r="AQ205" s="467"/>
      <c r="AR205" s="467"/>
      <c r="AS205" s="512">
        <f>+AI205+AJ205</f>
        <v>-86579.023230000006</v>
      </c>
      <c r="AT205" s="476">
        <v>-49310.580900999979</v>
      </c>
      <c r="AU205" s="477">
        <v>-17132.761788000018</v>
      </c>
      <c r="AV205" s="494">
        <f t="shared" si="41"/>
        <v>-153022.365919</v>
      </c>
      <c r="AW205" s="513">
        <f>+AV205-AM205</f>
        <v>0</v>
      </c>
      <c r="AX205" s="468"/>
      <c r="AY205" s="589">
        <v>-74522.067596000052</v>
      </c>
      <c r="AZ205" s="510">
        <f t="shared" si="43"/>
        <v>-227544.43351500004</v>
      </c>
      <c r="BA205" s="511">
        <f t="shared" si="44"/>
        <v>0</v>
      </c>
      <c r="BB205" s="460"/>
      <c r="BC205" s="464">
        <f t="shared" si="35"/>
        <v>0</v>
      </c>
    </row>
    <row r="206" spans="1:55" ht="15">
      <c r="A206" s="431">
        <v>200</v>
      </c>
      <c r="B206" s="431">
        <v>185</v>
      </c>
      <c r="C206" t="s">
        <v>486</v>
      </c>
      <c r="D206" t="s">
        <v>972</v>
      </c>
      <c r="E206" s="381">
        <v>-17745.723837999991</v>
      </c>
      <c r="F206" s="372">
        <v>-72964.940655999992</v>
      </c>
      <c r="G206" s="377">
        <v>-38470.547368000021</v>
      </c>
      <c r="H206" s="590">
        <v>-43818.996023999993</v>
      </c>
      <c r="I206" s="358">
        <f t="shared" si="36"/>
        <v>-173000.20788599999</v>
      </c>
      <c r="K206" s="66">
        <f t="shared" si="34"/>
        <v>0</v>
      </c>
      <c r="L206" s="66"/>
      <c r="M206" s="431">
        <v>200</v>
      </c>
      <c r="N206" s="431">
        <v>185</v>
      </c>
      <c r="O206" s="443" t="s">
        <v>486</v>
      </c>
      <c r="P206" s="443" t="s">
        <v>972</v>
      </c>
      <c r="Q206" s="203">
        <v>-43818.996023999993</v>
      </c>
      <c r="R206" s="457" t="s">
        <v>2509</v>
      </c>
      <c r="S206" s="253"/>
      <c r="T206" s="159">
        <v>199</v>
      </c>
      <c r="U206" t="s">
        <v>486</v>
      </c>
      <c r="V206" t="s">
        <v>972</v>
      </c>
      <c r="W206" s="381">
        <v>-84831.039999999994</v>
      </c>
      <c r="X206" s="372">
        <v>-17745.723837999991</v>
      </c>
      <c r="Y206" s="377">
        <v>-72964.940655999992</v>
      </c>
      <c r="Z206" s="378">
        <v>-38470.547368000021</v>
      </c>
      <c r="AA206" s="358">
        <f t="shared" si="37"/>
        <v>-214012.251862</v>
      </c>
      <c r="AE206" s="159">
        <f t="shared" si="38"/>
        <v>0</v>
      </c>
      <c r="AG206" s="471" t="s">
        <v>486</v>
      </c>
      <c r="AH206" s="467" t="s">
        <v>972</v>
      </c>
      <c r="AI206" s="486">
        <v>-84831.039999999994</v>
      </c>
      <c r="AJ206" s="475">
        <v>-17745.723837999991</v>
      </c>
      <c r="AK206" s="476">
        <v>-72964.940655999992</v>
      </c>
      <c r="AL206" s="477">
        <v>-38470.547368000021</v>
      </c>
      <c r="AM206" s="478">
        <v>-214012.251862</v>
      </c>
      <c r="AN206" s="478"/>
      <c r="AO206" s="467"/>
      <c r="AP206" s="479">
        <f t="shared" si="39"/>
        <v>-129181.211862</v>
      </c>
      <c r="AQ206" s="467"/>
      <c r="AR206" s="467"/>
      <c r="AS206" s="509">
        <f t="shared" si="40"/>
        <v>-17745.723837999991</v>
      </c>
      <c r="AT206" s="476">
        <v>-72964.940655999992</v>
      </c>
      <c r="AU206" s="477">
        <v>-38470.547368000021</v>
      </c>
      <c r="AV206" s="494">
        <f t="shared" si="41"/>
        <v>-129181.211862</v>
      </c>
      <c r="AW206" s="494">
        <f t="shared" si="42"/>
        <v>0</v>
      </c>
      <c r="AX206" s="468"/>
      <c r="AY206" s="589">
        <v>-43818.996023999993</v>
      </c>
      <c r="AZ206" s="510">
        <f t="shared" si="43"/>
        <v>-173000.20788599999</v>
      </c>
      <c r="BA206" s="511">
        <f t="shared" si="44"/>
        <v>0</v>
      </c>
      <c r="BB206" s="460"/>
      <c r="BC206" s="464">
        <f t="shared" si="35"/>
        <v>0</v>
      </c>
    </row>
    <row r="207" spans="1:55" ht="15">
      <c r="A207" s="431">
        <v>201</v>
      </c>
      <c r="B207" s="431">
        <v>203</v>
      </c>
      <c r="C207" t="s">
        <v>519</v>
      </c>
      <c r="D207" t="s">
        <v>989</v>
      </c>
      <c r="E207" s="381">
        <v>-198471.95965199999</v>
      </c>
      <c r="F207" s="372">
        <v>0</v>
      </c>
      <c r="G207" s="377">
        <v>-311481.48091199994</v>
      </c>
      <c r="H207" s="590">
        <v>-407022.30608200002</v>
      </c>
      <c r="I207" s="358">
        <f t="shared" si="36"/>
        <v>-916975.74664599996</v>
      </c>
      <c r="K207" s="66">
        <f t="shared" si="34"/>
        <v>0</v>
      </c>
      <c r="L207" s="66"/>
      <c r="M207" s="431">
        <v>201</v>
      </c>
      <c r="N207" s="431">
        <v>203</v>
      </c>
      <c r="O207" s="443" t="s">
        <v>519</v>
      </c>
      <c r="P207" s="443" t="s">
        <v>989</v>
      </c>
      <c r="Q207" s="203">
        <v>-407022.30608200002</v>
      </c>
      <c r="R207" s="457" t="s">
        <v>2509</v>
      </c>
      <c r="S207" s="253"/>
      <c r="T207" s="159">
        <v>200</v>
      </c>
      <c r="U207" t="s">
        <v>519</v>
      </c>
      <c r="V207" t="s">
        <v>989</v>
      </c>
      <c r="W207" s="381">
        <v>-348888.78</v>
      </c>
      <c r="X207" s="372">
        <v>-198471.95965199999</v>
      </c>
      <c r="Y207" s="377">
        <v>0</v>
      </c>
      <c r="Z207" s="378">
        <v>-311481.48091199994</v>
      </c>
      <c r="AA207" s="358">
        <f t="shared" si="37"/>
        <v>-858842.22056399996</v>
      </c>
      <c r="AE207" s="159">
        <f t="shared" si="38"/>
        <v>0</v>
      </c>
      <c r="AG207" s="471" t="s">
        <v>519</v>
      </c>
      <c r="AH207" s="467" t="s">
        <v>989</v>
      </c>
      <c r="AI207" s="486">
        <v>-348888.78</v>
      </c>
      <c r="AJ207" s="475">
        <v>-198471.95965199999</v>
      </c>
      <c r="AK207" s="476">
        <v>0</v>
      </c>
      <c r="AL207" s="477">
        <v>-311481.48091199994</v>
      </c>
      <c r="AM207" s="478">
        <v>-858842.22056399996</v>
      </c>
      <c r="AN207" s="478"/>
      <c r="AO207" s="467"/>
      <c r="AP207" s="479">
        <f t="shared" si="39"/>
        <v>-509953.44056399993</v>
      </c>
      <c r="AQ207" s="467"/>
      <c r="AR207" s="467"/>
      <c r="AS207" s="509">
        <f t="shared" si="40"/>
        <v>-198471.95965199999</v>
      </c>
      <c r="AT207" s="476">
        <v>0</v>
      </c>
      <c r="AU207" s="477">
        <v>-311481.48091199994</v>
      </c>
      <c r="AV207" s="494">
        <f t="shared" si="41"/>
        <v>-509953.44056399993</v>
      </c>
      <c r="AW207" s="494">
        <f t="shared" si="42"/>
        <v>0</v>
      </c>
      <c r="AX207" s="468"/>
      <c r="AY207" s="589">
        <v>-407022.30608200002</v>
      </c>
      <c r="AZ207" s="510">
        <f t="shared" si="43"/>
        <v>-916975.74664599996</v>
      </c>
      <c r="BA207" s="511">
        <f t="shared" si="44"/>
        <v>0</v>
      </c>
      <c r="BB207" s="460"/>
      <c r="BC207" s="464">
        <f t="shared" si="35"/>
        <v>0</v>
      </c>
    </row>
    <row r="208" spans="1:55" ht="15">
      <c r="A208" s="431">
        <v>202</v>
      </c>
      <c r="B208" s="431">
        <v>3</v>
      </c>
      <c r="C208" t="s">
        <v>167</v>
      </c>
      <c r="D208" t="s">
        <v>829</v>
      </c>
      <c r="E208" s="381">
        <v>-138869.25699999946</v>
      </c>
      <c r="F208" s="372">
        <v>0</v>
      </c>
      <c r="G208" s="377">
        <v>57153.56</v>
      </c>
      <c r="H208" s="590">
        <v>195865.79141499987</v>
      </c>
      <c r="I208" s="358">
        <f t="shared" si="36"/>
        <v>114150.09441500041</v>
      </c>
      <c r="K208" s="66">
        <f t="shared" si="34"/>
        <v>0</v>
      </c>
      <c r="L208" s="66"/>
      <c r="M208" s="431">
        <v>202</v>
      </c>
      <c r="N208" s="431">
        <v>3</v>
      </c>
      <c r="O208" s="443" t="s">
        <v>167</v>
      </c>
      <c r="P208" s="443" t="s">
        <v>829</v>
      </c>
      <c r="Q208" s="203">
        <v>195865.79141499987</v>
      </c>
      <c r="R208" s="457" t="s">
        <v>2509</v>
      </c>
      <c r="S208" s="253"/>
      <c r="T208" s="159">
        <v>201</v>
      </c>
      <c r="U208" t="s">
        <v>167</v>
      </c>
      <c r="V208" t="s">
        <v>829</v>
      </c>
      <c r="W208" s="381">
        <v>-80367.61</v>
      </c>
      <c r="X208" s="372">
        <v>-138869.25699999946</v>
      </c>
      <c r="Y208" s="377">
        <v>16544.88651299935</v>
      </c>
      <c r="Z208" s="378">
        <v>120976.28655900003</v>
      </c>
      <c r="AA208" s="358">
        <f t="shared" si="37"/>
        <v>-81715.693928000052</v>
      </c>
      <c r="AE208" s="159">
        <f t="shared" si="38"/>
        <v>0</v>
      </c>
      <c r="AG208" s="471" t="s">
        <v>167</v>
      </c>
      <c r="AH208" s="467" t="s">
        <v>829</v>
      </c>
      <c r="AI208" s="495">
        <v>-80367.61</v>
      </c>
      <c r="AJ208" s="475">
        <v>-138869.25699999946</v>
      </c>
      <c r="AK208" s="481">
        <v>16544.88651299935</v>
      </c>
      <c r="AL208" s="482">
        <v>120976.28655900003</v>
      </c>
      <c r="AM208" s="478">
        <v>-81715.693928000052</v>
      </c>
      <c r="AN208" s="483">
        <f>+AI208+AK208+AL208</f>
        <v>57153.563071999379</v>
      </c>
      <c r="AO208" s="467"/>
      <c r="AP208" s="479">
        <f t="shared" si="39"/>
        <v>-1348.08392800008</v>
      </c>
      <c r="AQ208" s="467"/>
      <c r="AR208" s="467"/>
      <c r="AS208" s="509">
        <f t="shared" si="40"/>
        <v>-138869.25699999946</v>
      </c>
      <c r="AT208" s="481">
        <v>0</v>
      </c>
      <c r="AU208" s="482">
        <v>57153.56</v>
      </c>
      <c r="AV208" s="494">
        <f t="shared" si="41"/>
        <v>-81715.696999999462</v>
      </c>
      <c r="AW208" s="513">
        <f>+AV208-AM208</f>
        <v>-3.0719994101673365E-3</v>
      </c>
      <c r="AX208" s="468"/>
      <c r="AY208" s="589">
        <v>195865.79141499987</v>
      </c>
      <c r="AZ208" s="510">
        <f t="shared" si="43"/>
        <v>114150.09441500041</v>
      </c>
      <c r="BA208" s="511">
        <f t="shared" si="44"/>
        <v>0</v>
      </c>
      <c r="BB208" s="460"/>
      <c r="BC208" s="464">
        <f t="shared" si="35"/>
        <v>0</v>
      </c>
    </row>
    <row r="209" spans="1:55" ht="15">
      <c r="A209" s="431">
        <v>203</v>
      </c>
      <c r="B209" s="431">
        <v>51</v>
      </c>
      <c r="C209" t="s">
        <v>249</v>
      </c>
      <c r="D209" t="s">
        <v>865</v>
      </c>
      <c r="E209" s="381">
        <v>-34907.156202999991</v>
      </c>
      <c r="F209" s="372">
        <v>-70301.438900000008</v>
      </c>
      <c r="G209" s="377">
        <v>9137.0849760000019</v>
      </c>
      <c r="H209" s="590">
        <v>-25050.989604000002</v>
      </c>
      <c r="I209" s="358">
        <f t="shared" si="36"/>
        <v>-121122.499731</v>
      </c>
      <c r="K209" s="66">
        <f t="shared" si="34"/>
        <v>0</v>
      </c>
      <c r="L209" s="66"/>
      <c r="M209" s="431">
        <v>203</v>
      </c>
      <c r="N209" s="431">
        <v>51</v>
      </c>
      <c r="O209" s="443" t="s">
        <v>249</v>
      </c>
      <c r="P209" s="443" t="s">
        <v>865</v>
      </c>
      <c r="Q209" s="203">
        <v>-25050.989604000002</v>
      </c>
      <c r="R209" s="457" t="s">
        <v>2509</v>
      </c>
      <c r="S209" s="253"/>
      <c r="T209" s="159">
        <v>202</v>
      </c>
      <c r="U209" t="s">
        <v>249</v>
      </c>
      <c r="V209" t="s">
        <v>865</v>
      </c>
      <c r="W209" s="381">
        <v>-2891.28</v>
      </c>
      <c r="X209" s="372">
        <v>-34907.156202999991</v>
      </c>
      <c r="Y209" s="377">
        <v>-70301.438900000008</v>
      </c>
      <c r="Z209" s="378">
        <v>9137.0849760000019</v>
      </c>
      <c r="AA209" s="358">
        <f t="shared" si="37"/>
        <v>-98962.790127</v>
      </c>
      <c r="AE209" s="159">
        <f t="shared" si="38"/>
        <v>0</v>
      </c>
      <c r="AG209" s="471" t="s">
        <v>249</v>
      </c>
      <c r="AH209" s="467" t="s">
        <v>865</v>
      </c>
      <c r="AI209" s="486">
        <v>-2891.28</v>
      </c>
      <c r="AJ209" s="475">
        <v>-34907.156202999991</v>
      </c>
      <c r="AK209" s="476">
        <v>-70301.438900000008</v>
      </c>
      <c r="AL209" s="477">
        <v>9137.0849760000019</v>
      </c>
      <c r="AM209" s="478">
        <v>-98962.790127</v>
      </c>
      <c r="AN209" s="478"/>
      <c r="AO209" s="467"/>
      <c r="AP209" s="479">
        <f t="shared" si="39"/>
        <v>-96071.510127000001</v>
      </c>
      <c r="AQ209" s="467"/>
      <c r="AR209" s="467"/>
      <c r="AS209" s="509">
        <f t="shared" si="40"/>
        <v>-34907.156202999991</v>
      </c>
      <c r="AT209" s="476">
        <v>-70301.438900000008</v>
      </c>
      <c r="AU209" s="477">
        <v>9137.0849760000019</v>
      </c>
      <c r="AV209" s="494">
        <f t="shared" si="41"/>
        <v>-96071.510127000001</v>
      </c>
      <c r="AW209" s="494">
        <f t="shared" si="42"/>
        <v>0</v>
      </c>
      <c r="AX209" s="468"/>
      <c r="AY209" s="589">
        <v>-25050.989604000002</v>
      </c>
      <c r="AZ209" s="510">
        <f t="shared" si="43"/>
        <v>-121122.499731</v>
      </c>
      <c r="BA209" s="511">
        <f t="shared" si="44"/>
        <v>0</v>
      </c>
      <c r="BB209" s="460"/>
      <c r="BC209" s="464">
        <f t="shared" si="35"/>
        <v>0</v>
      </c>
    </row>
    <row r="210" spans="1:55" ht="15">
      <c r="A210" s="431">
        <v>204</v>
      </c>
      <c r="B210" s="431">
        <v>306</v>
      </c>
      <c r="C210" t="s">
        <v>695</v>
      </c>
      <c r="D210" t="s">
        <v>696</v>
      </c>
      <c r="E210" s="381">
        <v>-111072.262336</v>
      </c>
      <c r="F210" s="372">
        <v>-35888.837627999994</v>
      </c>
      <c r="G210" s="377">
        <v>-56746.518771999967</v>
      </c>
      <c r="H210" s="590">
        <v>-85839.063873999985</v>
      </c>
      <c r="I210" s="358">
        <f t="shared" si="36"/>
        <v>-289546.68260999996</v>
      </c>
      <c r="K210" s="66">
        <f t="shared" si="34"/>
        <v>0</v>
      </c>
      <c r="L210" s="66"/>
      <c r="M210" s="431">
        <v>204</v>
      </c>
      <c r="N210" s="431">
        <v>306</v>
      </c>
      <c r="O210" s="443" t="s">
        <v>695</v>
      </c>
      <c r="P210" s="443" t="s">
        <v>696</v>
      </c>
      <c r="Q210" s="203">
        <v>-85839.063873999985</v>
      </c>
      <c r="R210" s="457" t="s">
        <v>2509</v>
      </c>
      <c r="S210" s="253"/>
      <c r="T210" s="159">
        <v>203</v>
      </c>
      <c r="U210" t="s">
        <v>695</v>
      </c>
      <c r="V210" t="s">
        <v>696</v>
      </c>
      <c r="W210" s="381">
        <v>-49351.34</v>
      </c>
      <c r="X210" s="372">
        <v>-111072.262336</v>
      </c>
      <c r="Y210" s="377">
        <v>-35888.837627999994</v>
      </c>
      <c r="Z210" s="378">
        <v>-56746.518771999967</v>
      </c>
      <c r="AA210" s="358">
        <f t="shared" si="37"/>
        <v>-253058.958736</v>
      </c>
      <c r="AE210" s="159">
        <f t="shared" si="38"/>
        <v>0</v>
      </c>
      <c r="AG210" s="471" t="s">
        <v>695</v>
      </c>
      <c r="AH210" s="467" t="s">
        <v>696</v>
      </c>
      <c r="AI210" s="486">
        <v>-49351.34</v>
      </c>
      <c r="AJ210" s="475">
        <v>-111072.262336</v>
      </c>
      <c r="AK210" s="476">
        <v>-35888.837627999994</v>
      </c>
      <c r="AL210" s="477">
        <v>-56746.518771999967</v>
      </c>
      <c r="AM210" s="478">
        <v>-253058.958736</v>
      </c>
      <c r="AN210" s="478"/>
      <c r="AO210" s="467"/>
      <c r="AP210" s="479">
        <f t="shared" si="39"/>
        <v>-203707.61873599997</v>
      </c>
      <c r="AQ210" s="467"/>
      <c r="AR210" s="467"/>
      <c r="AS210" s="509">
        <f t="shared" si="40"/>
        <v>-111072.262336</v>
      </c>
      <c r="AT210" s="476">
        <v>-35888.837627999994</v>
      </c>
      <c r="AU210" s="477">
        <v>-56746.518771999967</v>
      </c>
      <c r="AV210" s="494">
        <f t="shared" si="41"/>
        <v>-203707.61873599997</v>
      </c>
      <c r="AW210" s="494">
        <f t="shared" si="42"/>
        <v>0</v>
      </c>
      <c r="AX210" s="468"/>
      <c r="AY210" s="589">
        <v>-85839.063873999985</v>
      </c>
      <c r="AZ210" s="510">
        <f t="shared" si="43"/>
        <v>-289546.68260999996</v>
      </c>
      <c r="BA210" s="511">
        <f t="shared" si="44"/>
        <v>0</v>
      </c>
      <c r="BB210" s="460"/>
      <c r="BC210" s="464">
        <f t="shared" si="35"/>
        <v>0</v>
      </c>
    </row>
    <row r="211" spans="1:55" ht="15">
      <c r="A211" s="431">
        <v>205</v>
      </c>
      <c r="B211" s="431">
        <v>186</v>
      </c>
      <c r="C211" s="445" t="s">
        <v>2366</v>
      </c>
      <c r="D211" s="451" t="s">
        <v>2502</v>
      </c>
      <c r="E211" s="381"/>
      <c r="F211" s="372"/>
      <c r="G211" s="377"/>
      <c r="H211" s="590">
        <v>-4117.5600280000072</v>
      </c>
      <c r="I211" s="358">
        <f t="shared" si="36"/>
        <v>-4117.5600280000072</v>
      </c>
      <c r="K211" s="66">
        <f t="shared" si="34"/>
        <v>0</v>
      </c>
      <c r="L211" s="66"/>
      <c r="M211" s="431">
        <v>205</v>
      </c>
      <c r="N211" s="431">
        <v>186</v>
      </c>
      <c r="O211" s="445" t="s">
        <v>2366</v>
      </c>
      <c r="P211" s="451" t="s">
        <v>2502</v>
      </c>
      <c r="Q211" s="203">
        <v>-4117.5600280000072</v>
      </c>
      <c r="R211" s="457" t="s">
        <v>2509</v>
      </c>
      <c r="S211" s="253"/>
      <c r="T211" s="159"/>
      <c r="U211"/>
      <c r="V211"/>
      <c r="W211" s="381"/>
      <c r="X211" s="372"/>
      <c r="Y211" s="377"/>
      <c r="Z211" s="378"/>
      <c r="AA211" s="358"/>
      <c r="AE211" s="159"/>
      <c r="AG211" s="471"/>
      <c r="AH211" s="467"/>
      <c r="AI211" s="486"/>
      <c r="AJ211" s="475"/>
      <c r="AK211" s="476"/>
      <c r="AL211" s="477"/>
      <c r="AM211" s="478"/>
      <c r="AN211" s="478"/>
      <c r="AO211" s="467"/>
      <c r="AP211" s="479"/>
      <c r="AQ211" s="467"/>
      <c r="AR211" s="467"/>
      <c r="AS211" s="509"/>
      <c r="AT211" s="476"/>
      <c r="AU211" s="477"/>
      <c r="AV211" s="494"/>
      <c r="AW211" s="494"/>
      <c r="AX211" s="468"/>
      <c r="AY211" s="589">
        <v>-4117.5600280000072</v>
      </c>
      <c r="AZ211" s="510"/>
      <c r="BA211" s="511"/>
      <c r="BB211" s="460"/>
      <c r="BC211" s="464">
        <f t="shared" si="35"/>
        <v>0</v>
      </c>
    </row>
    <row r="212" spans="1:55" ht="15">
      <c r="A212" s="431">
        <v>206</v>
      </c>
      <c r="B212" s="431">
        <v>60</v>
      </c>
      <c r="C212" t="s">
        <v>267</v>
      </c>
      <c r="D212" t="s">
        <v>874</v>
      </c>
      <c r="E212" s="381">
        <v>1024295.066037</v>
      </c>
      <c r="F212" s="372">
        <v>1600764.2540800013</v>
      </c>
      <c r="G212" s="377">
        <v>626971.13763400272</v>
      </c>
      <c r="H212" s="590">
        <v>-1066077.4693879988</v>
      </c>
      <c r="I212" s="358">
        <f t="shared" si="36"/>
        <v>2185952.9883630052</v>
      </c>
      <c r="K212" s="66">
        <f t="shared" si="34"/>
        <v>0</v>
      </c>
      <c r="L212" s="66"/>
      <c r="M212" s="431">
        <v>206</v>
      </c>
      <c r="N212" s="431">
        <v>60</v>
      </c>
      <c r="O212" s="443" t="s">
        <v>267</v>
      </c>
      <c r="P212" s="443" t="s">
        <v>874</v>
      </c>
      <c r="Q212" s="203">
        <v>-1066077.4693879988</v>
      </c>
      <c r="R212" s="457" t="s">
        <v>2509</v>
      </c>
      <c r="S212" s="253"/>
      <c r="T212" s="159">
        <v>204</v>
      </c>
      <c r="U212" t="s">
        <v>267</v>
      </c>
      <c r="V212" t="s">
        <v>874</v>
      </c>
      <c r="W212" s="381">
        <v>1138230.9500000002</v>
      </c>
      <c r="X212" s="372">
        <v>-113935.88396300015</v>
      </c>
      <c r="Y212" s="377">
        <v>1600764.2540800013</v>
      </c>
      <c r="Z212" s="378">
        <v>626971.13763400272</v>
      </c>
      <c r="AA212" s="358">
        <f t="shared" si="37"/>
        <v>3252030.457751004</v>
      </c>
      <c r="AE212" s="159">
        <f t="shared" si="38"/>
        <v>0</v>
      </c>
      <c r="AG212" s="471" t="s">
        <v>267</v>
      </c>
      <c r="AH212" s="467" t="s">
        <v>874</v>
      </c>
      <c r="AI212" s="495">
        <v>1138230.9500000002</v>
      </c>
      <c r="AJ212" s="480">
        <v>-113935.88396300015</v>
      </c>
      <c r="AK212" s="476">
        <v>1600764.2540800013</v>
      </c>
      <c r="AL212" s="477">
        <v>626971.13763400272</v>
      </c>
      <c r="AM212" s="478">
        <v>3252030.457751004</v>
      </c>
      <c r="AN212" s="478"/>
      <c r="AO212" s="467"/>
      <c r="AP212" s="479">
        <f t="shared" si="39"/>
        <v>2113799.5077510038</v>
      </c>
      <c r="AQ212" s="467"/>
      <c r="AR212" s="467"/>
      <c r="AS212" s="512">
        <f>+AI212+AJ212</f>
        <v>1024295.066037</v>
      </c>
      <c r="AT212" s="476">
        <v>1600764.2540800013</v>
      </c>
      <c r="AU212" s="477">
        <v>626971.13763400272</v>
      </c>
      <c r="AV212" s="494">
        <f t="shared" si="41"/>
        <v>3252030.457751004</v>
      </c>
      <c r="AW212" s="513">
        <f>+AV212-AM212</f>
        <v>0</v>
      </c>
      <c r="AX212" s="468"/>
      <c r="AY212" s="589">
        <v>-1066077.4693879988</v>
      </c>
      <c r="AZ212" s="510">
        <f t="shared" si="43"/>
        <v>2185952.9883630052</v>
      </c>
      <c r="BA212" s="511">
        <f t="shared" si="44"/>
        <v>0</v>
      </c>
      <c r="BB212" s="460"/>
      <c r="BC212" s="464">
        <f t="shared" si="35"/>
        <v>0</v>
      </c>
    </row>
    <row r="213" spans="1:55" ht="15">
      <c r="A213" s="431">
        <v>207</v>
      </c>
      <c r="B213" s="431">
        <v>182</v>
      </c>
      <c r="C213" t="s">
        <v>480</v>
      </c>
      <c r="D213" t="s">
        <v>969</v>
      </c>
      <c r="E213" s="381">
        <v>-5725.6914650000508</v>
      </c>
      <c r="F213" s="372">
        <v>0</v>
      </c>
      <c r="G213" s="377">
        <v>-21978.505359999999</v>
      </c>
      <c r="H213" s="590">
        <v>-50306.254648000031</v>
      </c>
      <c r="I213" s="358">
        <f t="shared" si="36"/>
        <v>-78010.451473000081</v>
      </c>
      <c r="K213" s="66">
        <f t="shared" si="34"/>
        <v>0</v>
      </c>
      <c r="L213" s="66"/>
      <c r="M213" s="431">
        <v>207</v>
      </c>
      <c r="N213" s="431">
        <v>182</v>
      </c>
      <c r="O213" s="443" t="s">
        <v>480</v>
      </c>
      <c r="P213" s="443" t="s">
        <v>969</v>
      </c>
      <c r="Q213" s="203">
        <v>-50306.254648000031</v>
      </c>
      <c r="R213" s="457" t="s">
        <v>2509</v>
      </c>
      <c r="S213" s="253"/>
      <c r="T213" s="159">
        <v>205</v>
      </c>
      <c r="U213" t="s">
        <v>480</v>
      </c>
      <c r="V213" t="s">
        <v>969</v>
      </c>
      <c r="W213" s="381">
        <v>-36770.42</v>
      </c>
      <c r="X213" s="372">
        <v>-5725.6914650000508</v>
      </c>
      <c r="Y213" s="377">
        <v>0</v>
      </c>
      <c r="Z213" s="378">
        <v>-21978.505359999999</v>
      </c>
      <c r="AA213" s="358">
        <f t="shared" si="37"/>
        <v>-64474.616825000048</v>
      </c>
      <c r="AE213" s="159">
        <f t="shared" si="38"/>
        <v>0</v>
      </c>
      <c r="AG213" s="471" t="s">
        <v>480</v>
      </c>
      <c r="AH213" s="467" t="s">
        <v>969</v>
      </c>
      <c r="AI213" s="486">
        <v>-36770.42</v>
      </c>
      <c r="AJ213" s="475">
        <v>-5725.6914650000508</v>
      </c>
      <c r="AK213" s="476">
        <v>0</v>
      </c>
      <c r="AL213" s="477">
        <v>-21978.505359999999</v>
      </c>
      <c r="AM213" s="478">
        <v>-64474.616825000048</v>
      </c>
      <c r="AN213" s="478"/>
      <c r="AO213" s="467"/>
      <c r="AP213" s="479">
        <f t="shared" si="39"/>
        <v>-27704.19682500005</v>
      </c>
      <c r="AQ213" s="467"/>
      <c r="AR213" s="467"/>
      <c r="AS213" s="509">
        <f t="shared" si="40"/>
        <v>-5725.6914650000508</v>
      </c>
      <c r="AT213" s="476">
        <v>0</v>
      </c>
      <c r="AU213" s="477">
        <v>-21978.505359999999</v>
      </c>
      <c r="AV213" s="494">
        <f t="shared" si="41"/>
        <v>-27704.19682500005</v>
      </c>
      <c r="AW213" s="494">
        <f t="shared" si="42"/>
        <v>0</v>
      </c>
      <c r="AX213" s="468"/>
      <c r="AY213" s="589">
        <v>-50306.254648000031</v>
      </c>
      <c r="AZ213" s="510">
        <f t="shared" si="43"/>
        <v>-78010.451473000081</v>
      </c>
      <c r="BA213" s="511">
        <f t="shared" si="44"/>
        <v>0</v>
      </c>
      <c r="BB213" s="460"/>
      <c r="BC213" s="464">
        <f t="shared" si="35"/>
        <v>0</v>
      </c>
    </row>
    <row r="214" spans="1:55" ht="15">
      <c r="A214" s="431">
        <v>208</v>
      </c>
      <c r="B214" s="431">
        <v>9</v>
      </c>
      <c r="C214" t="s">
        <v>179</v>
      </c>
      <c r="D214" t="s">
        <v>834</v>
      </c>
      <c r="E214" s="381">
        <v>-111384.00835199999</v>
      </c>
      <c r="F214" s="372">
        <v>-47126.986149999982</v>
      </c>
      <c r="G214" s="377">
        <v>-72561.552079999965</v>
      </c>
      <c r="H214" s="590">
        <v>-72303.307193000001</v>
      </c>
      <c r="I214" s="358">
        <f t="shared" si="36"/>
        <v>-303375.85377499997</v>
      </c>
      <c r="K214" s="66">
        <f t="shared" si="34"/>
        <v>0</v>
      </c>
      <c r="L214" s="66"/>
      <c r="M214" s="431">
        <v>208</v>
      </c>
      <c r="N214" s="431">
        <v>9</v>
      </c>
      <c r="O214" s="443" t="s">
        <v>179</v>
      </c>
      <c r="P214" s="443" t="s">
        <v>834</v>
      </c>
      <c r="Q214" s="203">
        <v>-72303.307193000001</v>
      </c>
      <c r="R214" s="457" t="s">
        <v>2509</v>
      </c>
      <c r="S214" s="253"/>
      <c r="T214" s="159">
        <v>206</v>
      </c>
      <c r="U214" t="s">
        <v>179</v>
      </c>
      <c r="V214" t="s">
        <v>834</v>
      </c>
      <c r="W214" s="381">
        <v>-29533.55</v>
      </c>
      <c r="X214" s="372">
        <v>-111384.00835199999</v>
      </c>
      <c r="Y214" s="377">
        <v>-47126.986149999982</v>
      </c>
      <c r="Z214" s="378">
        <v>-72561.552079999965</v>
      </c>
      <c r="AA214" s="358">
        <f t="shared" si="37"/>
        <v>-260606.09658199994</v>
      </c>
      <c r="AE214" s="159">
        <f t="shared" si="38"/>
        <v>0</v>
      </c>
      <c r="AG214" s="471" t="s">
        <v>179</v>
      </c>
      <c r="AH214" s="467" t="s">
        <v>834</v>
      </c>
      <c r="AI214" s="486">
        <v>-29533.55</v>
      </c>
      <c r="AJ214" s="475">
        <v>-111384.00835199999</v>
      </c>
      <c r="AK214" s="476">
        <v>-47126.986149999982</v>
      </c>
      <c r="AL214" s="477">
        <v>-72561.552079999965</v>
      </c>
      <c r="AM214" s="478">
        <v>-260606.09658199994</v>
      </c>
      <c r="AN214" s="478"/>
      <c r="AO214" s="467"/>
      <c r="AP214" s="479">
        <f t="shared" si="39"/>
        <v>-231072.54658199995</v>
      </c>
      <c r="AQ214" s="467"/>
      <c r="AR214" s="467"/>
      <c r="AS214" s="509">
        <f t="shared" si="40"/>
        <v>-111384.00835199999</v>
      </c>
      <c r="AT214" s="476">
        <v>-47126.986149999982</v>
      </c>
      <c r="AU214" s="477">
        <v>-72561.552079999965</v>
      </c>
      <c r="AV214" s="494">
        <f t="shared" si="41"/>
        <v>-231072.54658199995</v>
      </c>
      <c r="AW214" s="494">
        <f t="shared" si="42"/>
        <v>0</v>
      </c>
      <c r="AX214" s="468"/>
      <c r="AY214" s="589">
        <v>-72303.307193000001</v>
      </c>
      <c r="AZ214" s="510">
        <f t="shared" si="43"/>
        <v>-303375.85377499997</v>
      </c>
      <c r="BA214" s="511">
        <f t="shared" si="44"/>
        <v>0</v>
      </c>
      <c r="BB214" s="460"/>
      <c r="BC214" s="464">
        <f t="shared" si="35"/>
        <v>0</v>
      </c>
    </row>
    <row r="215" spans="1:55" ht="15">
      <c r="A215" s="431">
        <v>209</v>
      </c>
      <c r="B215" s="431">
        <v>159</v>
      </c>
      <c r="C215" t="s">
        <v>434</v>
      </c>
      <c r="D215" t="s">
        <v>947</v>
      </c>
      <c r="E215" s="381">
        <v>0</v>
      </c>
      <c r="F215" s="372">
        <v>-22568.612170000008</v>
      </c>
      <c r="G215" s="377">
        <v>-22528.43390400003</v>
      </c>
      <c r="H215" s="590">
        <v>-17168.822988</v>
      </c>
      <c r="I215" s="358">
        <f t="shared" si="36"/>
        <v>-62265.869062000042</v>
      </c>
      <c r="K215" s="66">
        <f t="shared" si="34"/>
        <v>0</v>
      </c>
      <c r="L215" s="66"/>
      <c r="M215" s="431">
        <v>209</v>
      </c>
      <c r="N215" s="431">
        <v>159</v>
      </c>
      <c r="O215" s="443" t="s">
        <v>434</v>
      </c>
      <c r="P215" s="443" t="s">
        <v>947</v>
      </c>
      <c r="Q215" s="203">
        <v>-17168.822988</v>
      </c>
      <c r="R215" s="457" t="s">
        <v>2509</v>
      </c>
      <c r="S215" s="253"/>
      <c r="T215" s="159">
        <v>207</v>
      </c>
      <c r="U215" t="s">
        <v>434</v>
      </c>
      <c r="V215" t="s">
        <v>947</v>
      </c>
      <c r="W215" s="381">
        <v>-43176.85</v>
      </c>
      <c r="X215" s="372">
        <v>0</v>
      </c>
      <c r="Y215" s="377">
        <v>-22568.612170000008</v>
      </c>
      <c r="Z215" s="378">
        <v>-22528.43390400003</v>
      </c>
      <c r="AA215" s="358">
        <f t="shared" si="37"/>
        <v>-88273.896074000048</v>
      </c>
      <c r="AE215" s="159">
        <f t="shared" si="38"/>
        <v>0</v>
      </c>
      <c r="AG215" s="471" t="s">
        <v>434</v>
      </c>
      <c r="AH215" s="467" t="s">
        <v>947</v>
      </c>
      <c r="AI215" s="486">
        <v>-43176.85</v>
      </c>
      <c r="AJ215" s="475">
        <v>0</v>
      </c>
      <c r="AK215" s="476">
        <v>-22568.612170000008</v>
      </c>
      <c r="AL215" s="477">
        <v>-22528.43390400003</v>
      </c>
      <c r="AM215" s="478">
        <v>-88273.896074000048</v>
      </c>
      <c r="AN215" s="478"/>
      <c r="AO215" s="467"/>
      <c r="AP215" s="479">
        <f t="shared" si="39"/>
        <v>-45097.046074000042</v>
      </c>
      <c r="AQ215" s="467"/>
      <c r="AR215" s="467"/>
      <c r="AS215" s="509">
        <f t="shared" si="40"/>
        <v>0</v>
      </c>
      <c r="AT215" s="476">
        <v>-22568.612170000008</v>
      </c>
      <c r="AU215" s="477">
        <v>-22528.43390400003</v>
      </c>
      <c r="AV215" s="494">
        <f t="shared" si="41"/>
        <v>-45097.046074000042</v>
      </c>
      <c r="AW215" s="494">
        <f t="shared" si="42"/>
        <v>0</v>
      </c>
      <c r="AX215" s="468"/>
      <c r="AY215" s="589">
        <v>-17168.822988</v>
      </c>
      <c r="AZ215" s="510">
        <f t="shared" si="43"/>
        <v>-62265.869062000042</v>
      </c>
      <c r="BA215" s="511">
        <f t="shared" si="44"/>
        <v>0</v>
      </c>
      <c r="BB215" s="460"/>
      <c r="BC215" s="464">
        <f t="shared" si="35"/>
        <v>0</v>
      </c>
    </row>
    <row r="216" spans="1:55" ht="15">
      <c r="A216" s="431">
        <v>210</v>
      </c>
      <c r="B216" s="431">
        <v>205</v>
      </c>
      <c r="C216" t="s">
        <v>523</v>
      </c>
      <c r="D216" t="s">
        <v>991</v>
      </c>
      <c r="E216" s="381">
        <v>529134.57434302382</v>
      </c>
      <c r="F216" s="372">
        <v>357454.22675941652</v>
      </c>
      <c r="G216" s="377">
        <v>-271155.26346893399</v>
      </c>
      <c r="H216" s="590">
        <v>-204786.62200470036</v>
      </c>
      <c r="I216" s="358">
        <f t="shared" si="36"/>
        <v>410646.91562880599</v>
      </c>
      <c r="K216" s="66">
        <f t="shared" si="34"/>
        <v>0</v>
      </c>
      <c r="L216" s="66"/>
      <c r="M216" s="431">
        <v>210</v>
      </c>
      <c r="N216" s="431">
        <v>205</v>
      </c>
      <c r="O216" s="443" t="s">
        <v>523</v>
      </c>
      <c r="P216" s="443" t="s">
        <v>991</v>
      </c>
      <c r="Q216" s="203">
        <v>-204786.62200470036</v>
      </c>
      <c r="R216" s="457" t="s">
        <v>2509</v>
      </c>
      <c r="S216" s="253"/>
      <c r="T216" s="159">
        <v>208</v>
      </c>
      <c r="U216" t="s">
        <v>523</v>
      </c>
      <c r="V216" t="s">
        <v>991</v>
      </c>
      <c r="W216" s="381">
        <v>192781.30999999997</v>
      </c>
      <c r="X216" s="372">
        <v>336353.26434302388</v>
      </c>
      <c r="Y216" s="377">
        <v>357454.22675941652</v>
      </c>
      <c r="Z216" s="378">
        <v>-271155.26346893399</v>
      </c>
      <c r="AA216" s="358">
        <f t="shared" si="37"/>
        <v>615433.53763350635</v>
      </c>
      <c r="AE216" s="159">
        <f t="shared" si="38"/>
        <v>0</v>
      </c>
      <c r="AG216" s="471" t="s">
        <v>523</v>
      </c>
      <c r="AH216" s="467" t="s">
        <v>991</v>
      </c>
      <c r="AI216" s="495">
        <v>192781.30999999997</v>
      </c>
      <c r="AJ216" s="480">
        <v>336353.26434302388</v>
      </c>
      <c r="AK216" s="476">
        <v>357454.22675941652</v>
      </c>
      <c r="AL216" s="477">
        <v>-271155.26346893399</v>
      </c>
      <c r="AM216" s="478">
        <v>615433.53763350635</v>
      </c>
      <c r="AN216" s="478"/>
      <c r="AO216" s="467"/>
      <c r="AP216" s="479">
        <f t="shared" si="39"/>
        <v>422652.22763350641</v>
      </c>
      <c r="AQ216" s="467"/>
      <c r="AR216" s="467"/>
      <c r="AS216" s="512">
        <f>+AI216+AJ216</f>
        <v>529134.57434302382</v>
      </c>
      <c r="AT216" s="476">
        <v>357454.22675941652</v>
      </c>
      <c r="AU216" s="477">
        <v>-271155.26346893399</v>
      </c>
      <c r="AV216" s="494">
        <f t="shared" si="41"/>
        <v>615433.53763350635</v>
      </c>
      <c r="AW216" s="513">
        <f>+AV216-AM216</f>
        <v>0</v>
      </c>
      <c r="AX216" s="468"/>
      <c r="AY216" s="589">
        <v>-204786.62200470036</v>
      </c>
      <c r="AZ216" s="510">
        <f t="shared" si="43"/>
        <v>410646.91562880599</v>
      </c>
      <c r="BA216" s="511">
        <f t="shared" si="44"/>
        <v>0</v>
      </c>
      <c r="BB216" s="460"/>
      <c r="BC216" s="464">
        <f t="shared" si="35"/>
        <v>0</v>
      </c>
    </row>
    <row r="217" spans="1:55" ht="15">
      <c r="A217" s="431">
        <v>211</v>
      </c>
      <c r="B217" s="431">
        <v>22</v>
      </c>
      <c r="C217" s="230" t="s">
        <v>1709</v>
      </c>
      <c r="D217" s="232" t="s">
        <v>2053</v>
      </c>
      <c r="E217" s="382">
        <v>0</v>
      </c>
      <c r="F217" s="376">
        <v>-18365.97</v>
      </c>
      <c r="G217" s="377">
        <v>-37969.758999999998</v>
      </c>
      <c r="H217" s="590">
        <v>-117901.54712000002</v>
      </c>
      <c r="I217" s="358">
        <f t="shared" si="36"/>
        <v>-174237.27612000002</v>
      </c>
      <c r="K217" s="66">
        <f t="shared" si="34"/>
        <v>0</v>
      </c>
      <c r="L217" s="66"/>
      <c r="M217" s="431">
        <v>211</v>
      </c>
      <c r="N217" s="431">
        <v>22</v>
      </c>
      <c r="O217" s="443" t="s">
        <v>1709</v>
      </c>
      <c r="P217" s="443" t="s">
        <v>2053</v>
      </c>
      <c r="Q217" s="203">
        <v>-117901.54712000002</v>
      </c>
      <c r="R217" s="457" t="s">
        <v>2509</v>
      </c>
      <c r="S217" s="253"/>
      <c r="T217" s="159">
        <v>209</v>
      </c>
      <c r="U217" s="230" t="s">
        <v>1709</v>
      </c>
      <c r="V217" s="232" t="s">
        <v>2053</v>
      </c>
      <c r="W217" s="382">
        <v>0</v>
      </c>
      <c r="X217" s="376"/>
      <c r="Y217" s="377">
        <v>-18365.97</v>
      </c>
      <c r="Z217" s="378">
        <v>-37969.758999999998</v>
      </c>
      <c r="AA217" s="358">
        <f t="shared" si="37"/>
        <v>-56335.728999999999</v>
      </c>
      <c r="AE217" s="159">
        <f t="shared" si="38"/>
        <v>0</v>
      </c>
      <c r="AG217" s="471" t="s">
        <v>1709</v>
      </c>
      <c r="AH217" s="467" t="s">
        <v>2053</v>
      </c>
      <c r="AI217" s="496">
        <v>0</v>
      </c>
      <c r="AJ217" s="497"/>
      <c r="AK217" s="476">
        <v>-18365.97</v>
      </c>
      <c r="AL217" s="477">
        <v>-37969.758999999998</v>
      </c>
      <c r="AM217" s="478">
        <v>-56335.728999999999</v>
      </c>
      <c r="AN217" s="478"/>
      <c r="AO217" s="467"/>
      <c r="AP217" s="479">
        <f t="shared" si="39"/>
        <v>-56335.728999999999</v>
      </c>
      <c r="AQ217" s="467"/>
      <c r="AR217" s="467"/>
      <c r="AS217" s="509">
        <f t="shared" si="40"/>
        <v>0</v>
      </c>
      <c r="AT217" s="476">
        <v>-18365.97</v>
      </c>
      <c r="AU217" s="477">
        <v>-37969.758999999998</v>
      </c>
      <c r="AV217" s="494">
        <f t="shared" si="41"/>
        <v>-56335.728999999999</v>
      </c>
      <c r="AW217" s="494">
        <f t="shared" si="42"/>
        <v>0</v>
      </c>
      <c r="AX217" s="468"/>
      <c r="AY217" s="589">
        <v>-117901.54712000002</v>
      </c>
      <c r="AZ217" s="510">
        <f t="shared" si="43"/>
        <v>-174237.27612000002</v>
      </c>
      <c r="BA217" s="511">
        <f t="shared" si="44"/>
        <v>0</v>
      </c>
      <c r="BB217" s="460"/>
      <c r="BC217" s="464">
        <f t="shared" si="35"/>
        <v>0</v>
      </c>
    </row>
    <row r="218" spans="1:55" ht="15">
      <c r="A218" s="431">
        <v>212</v>
      </c>
      <c r="B218" s="431">
        <v>175</v>
      </c>
      <c r="C218" t="s">
        <v>466</v>
      </c>
      <c r="D218" t="s">
        <v>962</v>
      </c>
      <c r="E218" s="372">
        <v>-102655.05035899999</v>
      </c>
      <c r="F218" s="372">
        <v>30377.94</v>
      </c>
      <c r="G218" s="377">
        <v>17146.257820999977</v>
      </c>
      <c r="H218" s="590">
        <v>-14894.717292000074</v>
      </c>
      <c r="I218" s="358">
        <f t="shared" si="36"/>
        <v>-70025.56983000008</v>
      </c>
      <c r="K218" s="66">
        <f t="shared" si="34"/>
        <v>0</v>
      </c>
      <c r="L218" s="66"/>
      <c r="M218" s="431">
        <v>212</v>
      </c>
      <c r="N218" s="431">
        <v>175</v>
      </c>
      <c r="O218" s="443" t="s">
        <v>466</v>
      </c>
      <c r="P218" s="443" t="s">
        <v>962</v>
      </c>
      <c r="Q218" s="203">
        <v>-14894.717292000074</v>
      </c>
      <c r="R218" s="457" t="s">
        <v>2509</v>
      </c>
      <c r="S218" s="253"/>
      <c r="T218" s="159">
        <v>210</v>
      </c>
      <c r="U218" t="s">
        <v>466</v>
      </c>
      <c r="V218" t="s">
        <v>962</v>
      </c>
      <c r="W218" s="372">
        <v>-69665.23</v>
      </c>
      <c r="X218" s="372">
        <v>-102655.05035899999</v>
      </c>
      <c r="Y218" s="377">
        <v>100043.16950400005</v>
      </c>
      <c r="Z218" s="378">
        <v>17146.257820999977</v>
      </c>
      <c r="AA218" s="358">
        <f t="shared" si="37"/>
        <v>-55130.853033999942</v>
      </c>
      <c r="AE218" s="159">
        <f t="shared" si="38"/>
        <v>0</v>
      </c>
      <c r="AG218" s="471" t="s">
        <v>466</v>
      </c>
      <c r="AH218" s="467" t="s">
        <v>962</v>
      </c>
      <c r="AI218" s="480">
        <v>-69665.23</v>
      </c>
      <c r="AJ218" s="475">
        <v>-102655.05035899999</v>
      </c>
      <c r="AK218" s="481">
        <v>100043.16950400005</v>
      </c>
      <c r="AL218" s="477">
        <v>17146.257820999977</v>
      </c>
      <c r="AM218" s="478">
        <v>-55130.853033999942</v>
      </c>
      <c r="AN218" s="483">
        <f>+AK218+AI218</f>
        <v>30377.939504000053</v>
      </c>
      <c r="AO218" s="467"/>
      <c r="AP218" s="479">
        <f t="shared" si="39"/>
        <v>14534.37696600004</v>
      </c>
      <c r="AQ218" s="467"/>
      <c r="AR218" s="467"/>
      <c r="AS218" s="509">
        <f t="shared" si="40"/>
        <v>-102655.05035899999</v>
      </c>
      <c r="AT218" s="481">
        <v>30377.94</v>
      </c>
      <c r="AU218" s="477">
        <v>17146.257820999977</v>
      </c>
      <c r="AV218" s="494">
        <f t="shared" si="41"/>
        <v>-55130.852538000006</v>
      </c>
      <c r="AW218" s="513">
        <f>+AV218-AM218</f>
        <v>4.9599993508309126E-4</v>
      </c>
      <c r="AX218" s="468"/>
      <c r="AY218" s="589">
        <v>-14894.717292000074</v>
      </c>
      <c r="AZ218" s="510">
        <f t="shared" si="43"/>
        <v>-70025.56983000008</v>
      </c>
      <c r="BA218" s="511">
        <f t="shared" si="44"/>
        <v>0</v>
      </c>
      <c r="BB218" s="460"/>
      <c r="BC218" s="464">
        <f t="shared" si="35"/>
        <v>0</v>
      </c>
    </row>
    <row r="219" spans="1:55" ht="15">
      <c r="A219" s="431">
        <v>213</v>
      </c>
      <c r="B219" s="431">
        <v>65</v>
      </c>
      <c r="C219" t="s">
        <v>275</v>
      </c>
      <c r="D219" t="s">
        <v>877</v>
      </c>
      <c r="E219" s="372">
        <v>-54343.707399999999</v>
      </c>
      <c r="F219" s="372">
        <v>-35389.512925000017</v>
      </c>
      <c r="G219" s="377">
        <v>-23238.558769999967</v>
      </c>
      <c r="H219" s="590">
        <v>-84573.742208000011</v>
      </c>
      <c r="I219" s="358">
        <f t="shared" si="36"/>
        <v>-197545.52130299999</v>
      </c>
      <c r="K219" s="66">
        <f t="shared" si="34"/>
        <v>0</v>
      </c>
      <c r="L219" s="66"/>
      <c r="M219" s="431">
        <v>213</v>
      </c>
      <c r="N219" s="431">
        <v>65</v>
      </c>
      <c r="O219" s="443" t="s">
        <v>275</v>
      </c>
      <c r="P219" s="443" t="s">
        <v>877</v>
      </c>
      <c r="Q219" s="203">
        <v>-84573.742208000011</v>
      </c>
      <c r="R219" s="457" t="s">
        <v>2509</v>
      </c>
      <c r="S219" s="253"/>
      <c r="T219" s="159">
        <v>211</v>
      </c>
      <c r="U219" t="s">
        <v>275</v>
      </c>
      <c r="V219" t="s">
        <v>877</v>
      </c>
      <c r="W219" s="372">
        <v>-76110.509999999995</v>
      </c>
      <c r="X219" s="372">
        <v>-54343.707399999999</v>
      </c>
      <c r="Y219" s="377">
        <v>-35389.512925000017</v>
      </c>
      <c r="Z219" s="378">
        <v>-23238.558769999967</v>
      </c>
      <c r="AA219" s="358">
        <f t="shared" si="37"/>
        <v>-189082.28909499999</v>
      </c>
      <c r="AE219" s="159">
        <f t="shared" si="38"/>
        <v>0</v>
      </c>
      <c r="AG219" s="471" t="s">
        <v>275</v>
      </c>
      <c r="AH219" s="467" t="s">
        <v>877</v>
      </c>
      <c r="AI219" s="475">
        <v>-76110.509999999995</v>
      </c>
      <c r="AJ219" s="475">
        <v>-54343.707399999999</v>
      </c>
      <c r="AK219" s="476">
        <v>-35389.512925000017</v>
      </c>
      <c r="AL219" s="477">
        <v>-23238.558769999967</v>
      </c>
      <c r="AM219" s="478">
        <v>-189082.28909499999</v>
      </c>
      <c r="AN219" s="478"/>
      <c r="AO219" s="467"/>
      <c r="AP219" s="479">
        <f t="shared" si="39"/>
        <v>-112971.77909499998</v>
      </c>
      <c r="AQ219" s="467"/>
      <c r="AR219" s="467"/>
      <c r="AS219" s="509">
        <f t="shared" si="40"/>
        <v>-54343.707399999999</v>
      </c>
      <c r="AT219" s="476">
        <v>-35389.512925000017</v>
      </c>
      <c r="AU219" s="477">
        <v>-23238.558769999967</v>
      </c>
      <c r="AV219" s="494">
        <f t="shared" si="41"/>
        <v>-112971.77909499998</v>
      </c>
      <c r="AW219" s="494">
        <f t="shared" si="42"/>
        <v>0</v>
      </c>
      <c r="AX219" s="468"/>
      <c r="AY219" s="589">
        <v>-84573.742208000011</v>
      </c>
      <c r="AZ219" s="510">
        <f t="shared" si="43"/>
        <v>-197545.52130299999</v>
      </c>
      <c r="BA219" s="511">
        <f t="shared" si="44"/>
        <v>0</v>
      </c>
      <c r="BB219" s="460"/>
      <c r="BC219" s="464">
        <f t="shared" si="35"/>
        <v>0</v>
      </c>
    </row>
    <row r="220" spans="1:55" ht="15">
      <c r="A220" s="431">
        <v>214</v>
      </c>
      <c r="B220" s="431">
        <v>23</v>
      </c>
      <c r="C220" t="s">
        <v>203</v>
      </c>
      <c r="D220" t="s">
        <v>844</v>
      </c>
      <c r="E220" s="372">
        <v>0</v>
      </c>
      <c r="F220" s="372">
        <v>327947.40764799982</v>
      </c>
      <c r="G220" s="377">
        <v>328386.99120799982</v>
      </c>
      <c r="H220" s="590">
        <v>120224.9389419998</v>
      </c>
      <c r="I220" s="358">
        <f t="shared" si="36"/>
        <v>776559.33779799938</v>
      </c>
      <c r="K220" s="66">
        <f t="shared" si="34"/>
        <v>0</v>
      </c>
      <c r="L220" s="66"/>
      <c r="M220" s="431">
        <v>214</v>
      </c>
      <c r="N220" s="431">
        <v>23</v>
      </c>
      <c r="O220" s="443" t="s">
        <v>203</v>
      </c>
      <c r="P220" s="443" t="s">
        <v>844</v>
      </c>
      <c r="Q220" s="203">
        <v>120224.9389419998</v>
      </c>
      <c r="R220" s="457" t="s">
        <v>2509</v>
      </c>
      <c r="S220" s="253"/>
      <c r="T220" s="159">
        <v>212</v>
      </c>
      <c r="U220" t="s">
        <v>203</v>
      </c>
      <c r="V220" t="s">
        <v>844</v>
      </c>
      <c r="W220" s="372">
        <v>-78562.36</v>
      </c>
      <c r="X220" s="372">
        <v>42326.618560000061</v>
      </c>
      <c r="Y220" s="377">
        <v>364183.14908799971</v>
      </c>
      <c r="Z220" s="378">
        <v>328386.99120799982</v>
      </c>
      <c r="AA220" s="358">
        <f t="shared" si="37"/>
        <v>656334.39885599958</v>
      </c>
      <c r="AE220" s="159">
        <f t="shared" si="38"/>
        <v>0</v>
      </c>
      <c r="AG220" s="471" t="s">
        <v>203</v>
      </c>
      <c r="AH220" s="467" t="s">
        <v>844</v>
      </c>
      <c r="AI220" s="480">
        <v>-78562.36</v>
      </c>
      <c r="AJ220" s="480">
        <v>42326.618560000061</v>
      </c>
      <c r="AK220" s="481">
        <v>364183.14908799971</v>
      </c>
      <c r="AL220" s="477">
        <v>328386.99120799982</v>
      </c>
      <c r="AM220" s="478">
        <v>656334.39885599958</v>
      </c>
      <c r="AN220" s="483">
        <f>+AK220+AJ220+AI220</f>
        <v>327947.40764799982</v>
      </c>
      <c r="AO220" s="467"/>
      <c r="AP220" s="492">
        <f>+AL220+AN220</f>
        <v>656334.39885599958</v>
      </c>
      <c r="AQ220" s="467"/>
      <c r="AR220" s="467"/>
      <c r="AS220" s="512">
        <v>0</v>
      </c>
      <c r="AT220" s="481">
        <v>327947.40764799982</v>
      </c>
      <c r="AU220" s="477">
        <v>328386.99120799982</v>
      </c>
      <c r="AV220" s="494">
        <f t="shared" si="41"/>
        <v>656334.39885599958</v>
      </c>
      <c r="AW220" s="494">
        <f t="shared" si="42"/>
        <v>0</v>
      </c>
      <c r="AX220" s="468"/>
      <c r="AY220" s="589">
        <v>120224.9389419998</v>
      </c>
      <c r="AZ220" s="510">
        <f t="shared" si="43"/>
        <v>776559.33779799938</v>
      </c>
      <c r="BA220" s="511">
        <f t="shared" si="44"/>
        <v>0</v>
      </c>
      <c r="BB220" s="460"/>
      <c r="BC220" s="464">
        <f t="shared" si="35"/>
        <v>0</v>
      </c>
    </row>
    <row r="221" spans="1:55" ht="15">
      <c r="A221" s="431">
        <v>215</v>
      </c>
      <c r="B221" s="431">
        <v>96</v>
      </c>
      <c r="C221" t="s">
        <v>336</v>
      </c>
      <c r="D221" t="s">
        <v>905</v>
      </c>
      <c r="E221" s="372">
        <v>-176517.56296300003</v>
      </c>
      <c r="F221" s="372">
        <v>-164706.81697999989</v>
      </c>
      <c r="G221" s="377">
        <v>-462088.90240599989</v>
      </c>
      <c r="H221" s="590">
        <v>-529944.05962999992</v>
      </c>
      <c r="I221" s="358">
        <f t="shared" si="36"/>
        <v>-1333257.3419789998</v>
      </c>
      <c r="K221" s="66">
        <f t="shared" si="34"/>
        <v>0</v>
      </c>
      <c r="L221" s="66"/>
      <c r="M221" s="431">
        <v>215</v>
      </c>
      <c r="N221" s="431">
        <v>96</v>
      </c>
      <c r="O221" s="443" t="s">
        <v>336</v>
      </c>
      <c r="P221" s="443" t="s">
        <v>905</v>
      </c>
      <c r="Q221" s="203">
        <v>-529944.05962999992</v>
      </c>
      <c r="R221" s="457" t="s">
        <v>2509</v>
      </c>
      <c r="S221" s="253"/>
      <c r="T221" s="159">
        <v>213</v>
      </c>
      <c r="U221" t="s">
        <v>336</v>
      </c>
      <c r="V221" t="s">
        <v>905</v>
      </c>
      <c r="W221" s="372">
        <v>-179344.31</v>
      </c>
      <c r="X221" s="372">
        <v>-176517.56296300003</v>
      </c>
      <c r="Y221" s="377">
        <v>-164706.81697999989</v>
      </c>
      <c r="Z221" s="378">
        <v>-462088.90240599989</v>
      </c>
      <c r="AA221" s="358">
        <f t="shared" si="37"/>
        <v>-982657.59234899981</v>
      </c>
      <c r="AE221" s="159">
        <f t="shared" si="38"/>
        <v>0</v>
      </c>
      <c r="AG221" s="471" t="s">
        <v>336</v>
      </c>
      <c r="AH221" s="467" t="s">
        <v>905</v>
      </c>
      <c r="AI221" s="475">
        <v>-179344.31</v>
      </c>
      <c r="AJ221" s="475">
        <v>-176517.56296300003</v>
      </c>
      <c r="AK221" s="476">
        <v>-164706.81697999989</v>
      </c>
      <c r="AL221" s="477">
        <v>-462088.90240599989</v>
      </c>
      <c r="AM221" s="478">
        <v>-982657.59234899981</v>
      </c>
      <c r="AN221" s="478"/>
      <c r="AO221" s="467"/>
      <c r="AP221" s="479">
        <f t="shared" si="39"/>
        <v>-803313.28234899975</v>
      </c>
      <c r="AQ221" s="467"/>
      <c r="AR221" s="467"/>
      <c r="AS221" s="509">
        <f t="shared" si="40"/>
        <v>-176517.56296300003</v>
      </c>
      <c r="AT221" s="476">
        <v>-164706.81697999989</v>
      </c>
      <c r="AU221" s="477">
        <v>-462088.90240599989</v>
      </c>
      <c r="AV221" s="494">
        <f t="shared" si="41"/>
        <v>-803313.28234899975</v>
      </c>
      <c r="AW221" s="494">
        <f t="shared" si="42"/>
        <v>0</v>
      </c>
      <c r="AX221" s="468"/>
      <c r="AY221" s="589">
        <v>-529944.05962999992</v>
      </c>
      <c r="AZ221" s="510">
        <f t="shared" si="43"/>
        <v>-1333257.3419789998</v>
      </c>
      <c r="BA221" s="511">
        <f t="shared" si="44"/>
        <v>0</v>
      </c>
      <c r="BB221" s="460"/>
      <c r="BC221" s="464">
        <f t="shared" si="35"/>
        <v>0</v>
      </c>
    </row>
    <row r="222" spans="1:55" ht="15">
      <c r="A222" s="431">
        <v>216</v>
      </c>
      <c r="B222" s="431">
        <v>291</v>
      </c>
      <c r="C222" t="s">
        <v>669</v>
      </c>
      <c r="D222" t="s">
        <v>1051</v>
      </c>
      <c r="E222" s="372">
        <v>-296080.13575000002</v>
      </c>
      <c r="F222" s="372">
        <v>-266590.21613200003</v>
      </c>
      <c r="G222" s="377">
        <v>-308599.99358900002</v>
      </c>
      <c r="H222" s="590">
        <v>-376381.91870399995</v>
      </c>
      <c r="I222" s="358">
        <f t="shared" si="36"/>
        <v>-1247652.2641750001</v>
      </c>
      <c r="K222" s="66">
        <f t="shared" si="34"/>
        <v>0</v>
      </c>
      <c r="L222" s="66"/>
      <c r="M222" s="431">
        <v>216</v>
      </c>
      <c r="N222" s="431">
        <v>291</v>
      </c>
      <c r="O222" s="443" t="s">
        <v>669</v>
      </c>
      <c r="P222" s="443" t="s">
        <v>1051</v>
      </c>
      <c r="Q222" s="203">
        <v>-376381.91870399995</v>
      </c>
      <c r="R222" s="457" t="s">
        <v>2509</v>
      </c>
      <c r="S222" s="253"/>
      <c r="T222" s="159">
        <v>214</v>
      </c>
      <c r="U222" t="s">
        <v>669</v>
      </c>
      <c r="V222" t="s">
        <v>1051</v>
      </c>
      <c r="W222" s="372">
        <v>-127276.21</v>
      </c>
      <c r="X222" s="372">
        <v>-296080.13575000002</v>
      </c>
      <c r="Y222" s="377">
        <v>-266590.21613200003</v>
      </c>
      <c r="Z222" s="378">
        <v>-308599.99358900002</v>
      </c>
      <c r="AA222" s="358">
        <f t="shared" si="37"/>
        <v>-998546.55547100003</v>
      </c>
      <c r="AE222" s="159">
        <f t="shared" si="38"/>
        <v>0</v>
      </c>
      <c r="AG222" s="471" t="s">
        <v>669</v>
      </c>
      <c r="AH222" s="467" t="s">
        <v>1051</v>
      </c>
      <c r="AI222" s="475">
        <v>-127276.21</v>
      </c>
      <c r="AJ222" s="475">
        <v>-296080.13575000002</v>
      </c>
      <c r="AK222" s="476">
        <v>-266590.21613200003</v>
      </c>
      <c r="AL222" s="477">
        <v>-308599.99358900002</v>
      </c>
      <c r="AM222" s="478">
        <v>-998546.55547100003</v>
      </c>
      <c r="AN222" s="478"/>
      <c r="AO222" s="467"/>
      <c r="AP222" s="479">
        <f t="shared" si="39"/>
        <v>-871270.34547100007</v>
      </c>
      <c r="AQ222" s="467"/>
      <c r="AR222" s="467"/>
      <c r="AS222" s="509">
        <f t="shared" si="40"/>
        <v>-296080.13575000002</v>
      </c>
      <c r="AT222" s="476">
        <v>-266590.21613200003</v>
      </c>
      <c r="AU222" s="477">
        <v>-308599.99358900002</v>
      </c>
      <c r="AV222" s="494">
        <f t="shared" si="41"/>
        <v>-871270.34547100007</v>
      </c>
      <c r="AW222" s="494">
        <f t="shared" si="42"/>
        <v>0</v>
      </c>
      <c r="AX222" s="468"/>
      <c r="AY222" s="589">
        <v>-376381.91870399995</v>
      </c>
      <c r="AZ222" s="510">
        <f t="shared" si="43"/>
        <v>-1247652.2641750001</v>
      </c>
      <c r="BA222" s="511">
        <f t="shared" si="44"/>
        <v>0</v>
      </c>
      <c r="BB222" s="460"/>
      <c r="BC222" s="464">
        <f t="shared" si="35"/>
        <v>0</v>
      </c>
    </row>
    <row r="223" spans="1:55" ht="15">
      <c r="A223" s="431">
        <v>217</v>
      </c>
      <c r="B223" s="431">
        <v>261</v>
      </c>
      <c r="C223" t="s">
        <v>1398</v>
      </c>
      <c r="D223" t="s">
        <v>1397</v>
      </c>
      <c r="E223" s="372">
        <v>-20034.877979999994</v>
      </c>
      <c r="F223" s="372">
        <v>0</v>
      </c>
      <c r="G223" s="377">
        <v>-120658.144875</v>
      </c>
      <c r="H223" s="590">
        <v>-114390.428686</v>
      </c>
      <c r="I223" s="358">
        <f t="shared" si="36"/>
        <v>-255083.45154099999</v>
      </c>
      <c r="K223" s="66">
        <f t="shared" si="34"/>
        <v>0</v>
      </c>
      <c r="L223" s="66"/>
      <c r="M223" s="431">
        <v>217</v>
      </c>
      <c r="N223" s="431">
        <v>261</v>
      </c>
      <c r="O223" s="443" t="s">
        <v>1398</v>
      </c>
      <c r="P223" s="443" t="s">
        <v>1397</v>
      </c>
      <c r="Q223" s="203">
        <v>-114390.428686</v>
      </c>
      <c r="R223" s="457" t="s">
        <v>2509</v>
      </c>
      <c r="S223" s="253"/>
      <c r="T223" s="159">
        <v>215</v>
      </c>
      <c r="U223" t="s">
        <v>1398</v>
      </c>
      <c r="V223" t="s">
        <v>1397</v>
      </c>
      <c r="W223" s="372">
        <v>-1518.72</v>
      </c>
      <c r="X223" s="372">
        <v>-20034.877979999994</v>
      </c>
      <c r="Y223" s="377">
        <v>0</v>
      </c>
      <c r="Z223" s="378">
        <v>-120658.144875</v>
      </c>
      <c r="AA223" s="358">
        <f t="shared" si="37"/>
        <v>-142211.74285499999</v>
      </c>
      <c r="AE223" s="159">
        <f t="shared" si="38"/>
        <v>0</v>
      </c>
      <c r="AG223" s="471" t="s">
        <v>1398</v>
      </c>
      <c r="AH223" s="467" t="s">
        <v>1397</v>
      </c>
      <c r="AI223" s="475">
        <v>-1518.72</v>
      </c>
      <c r="AJ223" s="475">
        <v>-20034.877979999994</v>
      </c>
      <c r="AK223" s="476">
        <v>0</v>
      </c>
      <c r="AL223" s="477">
        <v>-120658.144875</v>
      </c>
      <c r="AM223" s="478">
        <v>-142211.74285499999</v>
      </c>
      <c r="AN223" s="478"/>
      <c r="AO223" s="467"/>
      <c r="AP223" s="479">
        <f t="shared" si="39"/>
        <v>-140693.02285499999</v>
      </c>
      <c r="AQ223" s="467"/>
      <c r="AR223" s="467"/>
      <c r="AS223" s="509">
        <f t="shared" si="40"/>
        <v>-20034.877979999994</v>
      </c>
      <c r="AT223" s="476">
        <v>0</v>
      </c>
      <c r="AU223" s="477">
        <v>-120658.144875</v>
      </c>
      <c r="AV223" s="494">
        <f t="shared" si="41"/>
        <v>-140693.02285499999</v>
      </c>
      <c r="AW223" s="494">
        <f t="shared" si="42"/>
        <v>0</v>
      </c>
      <c r="AX223" s="468"/>
      <c r="AY223" s="589">
        <v>-114390.428686</v>
      </c>
      <c r="AZ223" s="510">
        <f t="shared" si="43"/>
        <v>-255083.45154099999</v>
      </c>
      <c r="BA223" s="511">
        <f t="shared" si="44"/>
        <v>0</v>
      </c>
      <c r="BB223" s="460"/>
      <c r="BC223" s="464">
        <f t="shared" si="35"/>
        <v>0</v>
      </c>
    </row>
    <row r="224" spans="1:55" ht="15">
      <c r="A224" s="431">
        <v>218</v>
      </c>
      <c r="B224" s="431">
        <v>12</v>
      </c>
      <c r="C224" t="s">
        <v>185</v>
      </c>
      <c r="D224" t="s">
        <v>836</v>
      </c>
      <c r="E224" s="372">
        <v>-59322.863083999924</v>
      </c>
      <c r="F224" s="372">
        <v>-232131.31226499984</v>
      </c>
      <c r="G224" s="377">
        <v>-203411.85644599999</v>
      </c>
      <c r="H224" s="590">
        <v>-300580.81844699988</v>
      </c>
      <c r="I224" s="358">
        <f t="shared" si="36"/>
        <v>-795446.85024199961</v>
      </c>
      <c r="K224" s="66">
        <f t="shared" si="34"/>
        <v>0</v>
      </c>
      <c r="L224" s="66"/>
      <c r="M224" s="431">
        <v>218</v>
      </c>
      <c r="N224" s="431">
        <v>12</v>
      </c>
      <c r="O224" s="443" t="s">
        <v>185</v>
      </c>
      <c r="P224" s="443" t="s">
        <v>836</v>
      </c>
      <c r="Q224" s="203">
        <v>-300580.81844699988</v>
      </c>
      <c r="R224" s="457" t="s">
        <v>2509</v>
      </c>
      <c r="S224" s="253"/>
      <c r="T224" s="159">
        <v>216</v>
      </c>
      <c r="U224" t="s">
        <v>185</v>
      </c>
      <c r="V224" t="s">
        <v>836</v>
      </c>
      <c r="W224" s="372">
        <v>-257019.09</v>
      </c>
      <c r="X224" s="372">
        <v>-59322.863083999924</v>
      </c>
      <c r="Y224" s="377">
        <v>-232131.31226499984</v>
      </c>
      <c r="Z224" s="378">
        <v>-203411.85644599999</v>
      </c>
      <c r="AA224" s="358">
        <f t="shared" si="37"/>
        <v>-751885.12179499981</v>
      </c>
      <c r="AE224" s="159">
        <f t="shared" si="38"/>
        <v>0</v>
      </c>
      <c r="AG224" s="471" t="s">
        <v>185</v>
      </c>
      <c r="AH224" s="467" t="s">
        <v>836</v>
      </c>
      <c r="AI224" s="475">
        <v>-257019.09</v>
      </c>
      <c r="AJ224" s="475">
        <v>-59322.863083999924</v>
      </c>
      <c r="AK224" s="476">
        <v>-232131.31226499984</v>
      </c>
      <c r="AL224" s="477">
        <v>-203411.85644599999</v>
      </c>
      <c r="AM224" s="478">
        <v>-751885.12179499981</v>
      </c>
      <c r="AN224" s="478"/>
      <c r="AO224" s="467"/>
      <c r="AP224" s="479">
        <f t="shared" si="39"/>
        <v>-494866.03179499978</v>
      </c>
      <c r="AQ224" s="467"/>
      <c r="AR224" s="467"/>
      <c r="AS224" s="509">
        <f t="shared" si="40"/>
        <v>-59322.863083999924</v>
      </c>
      <c r="AT224" s="476">
        <v>-232131.31226499984</v>
      </c>
      <c r="AU224" s="477">
        <v>-203411.85644599999</v>
      </c>
      <c r="AV224" s="494">
        <f t="shared" si="41"/>
        <v>-494866.03179499978</v>
      </c>
      <c r="AW224" s="494">
        <f t="shared" si="42"/>
        <v>0</v>
      </c>
      <c r="AX224" s="468"/>
      <c r="AY224" s="589">
        <v>-300580.81844699988</v>
      </c>
      <c r="AZ224" s="510">
        <f t="shared" si="43"/>
        <v>-795446.85024199961</v>
      </c>
      <c r="BA224" s="511">
        <f t="shared" si="44"/>
        <v>0</v>
      </c>
      <c r="BB224" s="460"/>
      <c r="BC224" s="464">
        <f t="shared" si="35"/>
        <v>0</v>
      </c>
    </row>
    <row r="225" spans="1:55" ht="15">
      <c r="A225" s="431">
        <v>219</v>
      </c>
      <c r="B225" s="431">
        <v>304</v>
      </c>
      <c r="C225" t="s">
        <v>691</v>
      </c>
      <c r="D225" t="s">
        <v>1061</v>
      </c>
      <c r="E225" s="372">
        <v>-369866.79981484055</v>
      </c>
      <c r="F225" s="372">
        <v>0</v>
      </c>
      <c r="G225" s="377">
        <v>-220003.81077650058</v>
      </c>
      <c r="H225" s="590">
        <v>-325151.80290400004</v>
      </c>
      <c r="I225" s="358">
        <f t="shared" si="36"/>
        <v>-915022.4134953412</v>
      </c>
      <c r="K225" s="66">
        <f t="shared" si="34"/>
        <v>0</v>
      </c>
      <c r="L225" s="66"/>
      <c r="M225" s="431">
        <v>219</v>
      </c>
      <c r="N225" s="431">
        <v>304</v>
      </c>
      <c r="O225" s="443" t="s">
        <v>691</v>
      </c>
      <c r="P225" s="443" t="s">
        <v>1061</v>
      </c>
      <c r="Q225" s="203">
        <v>-325151.80290400004</v>
      </c>
      <c r="R225" s="457" t="s">
        <v>2509</v>
      </c>
      <c r="S225" s="253"/>
      <c r="T225" s="159">
        <v>217</v>
      </c>
      <c r="U225" t="s">
        <v>691</v>
      </c>
      <c r="V225" t="s">
        <v>1061</v>
      </c>
      <c r="W225" s="372">
        <v>-222694.59</v>
      </c>
      <c r="X225" s="372">
        <v>-369866.79981484055</v>
      </c>
      <c r="Y225" s="377">
        <v>0</v>
      </c>
      <c r="Z225" s="378">
        <v>-220003.81077650058</v>
      </c>
      <c r="AA225" s="358">
        <f t="shared" si="37"/>
        <v>-812565.20059134113</v>
      </c>
      <c r="AE225" s="159">
        <f t="shared" si="38"/>
        <v>0</v>
      </c>
      <c r="AG225" s="471" t="s">
        <v>691</v>
      </c>
      <c r="AH225" s="467" t="s">
        <v>1061</v>
      </c>
      <c r="AI225" s="475">
        <v>-222694.59</v>
      </c>
      <c r="AJ225" s="475">
        <v>-369866.79981484055</v>
      </c>
      <c r="AK225" s="476">
        <v>0</v>
      </c>
      <c r="AL225" s="477">
        <v>-220003.81077650058</v>
      </c>
      <c r="AM225" s="478">
        <v>-812565.20059134113</v>
      </c>
      <c r="AN225" s="478"/>
      <c r="AO225" s="467"/>
      <c r="AP225" s="479">
        <f t="shared" si="39"/>
        <v>-589870.61059134116</v>
      </c>
      <c r="AQ225" s="467"/>
      <c r="AR225" s="467"/>
      <c r="AS225" s="509">
        <f t="shared" si="40"/>
        <v>-369866.79981484055</v>
      </c>
      <c r="AT225" s="476">
        <v>0</v>
      </c>
      <c r="AU225" s="477">
        <v>-220003.81077650058</v>
      </c>
      <c r="AV225" s="494">
        <f t="shared" si="41"/>
        <v>-589870.61059134116</v>
      </c>
      <c r="AW225" s="494">
        <f t="shared" si="42"/>
        <v>0</v>
      </c>
      <c r="AX225" s="468"/>
      <c r="AY225" s="589">
        <v>-325151.80290400004</v>
      </c>
      <c r="AZ225" s="510">
        <f t="shared" si="43"/>
        <v>-915022.4134953412</v>
      </c>
      <c r="BA225" s="511">
        <f t="shared" si="44"/>
        <v>0</v>
      </c>
      <c r="BB225" s="460"/>
      <c r="BC225" s="464">
        <f t="shared" si="35"/>
        <v>0</v>
      </c>
    </row>
    <row r="226" spans="1:55" ht="15">
      <c r="A226" s="431">
        <v>220</v>
      </c>
      <c r="B226" s="431">
        <v>197</v>
      </c>
      <c r="C226" t="s">
        <v>507</v>
      </c>
      <c r="D226" t="s">
        <v>983</v>
      </c>
      <c r="E226" s="372">
        <v>-2540877.9880818184</v>
      </c>
      <c r="F226" s="372">
        <v>0</v>
      </c>
      <c r="G226" s="377">
        <v>-95278.441975299851</v>
      </c>
      <c r="H226" s="590">
        <v>252126.17092000321</v>
      </c>
      <c r="I226" s="358">
        <f t="shared" si="36"/>
        <v>-2384030.259137115</v>
      </c>
      <c r="K226" s="66">
        <f t="shared" si="34"/>
        <v>0</v>
      </c>
      <c r="L226" s="66"/>
      <c r="M226" s="431">
        <v>220</v>
      </c>
      <c r="N226" s="431">
        <v>197</v>
      </c>
      <c r="O226" s="443" t="s">
        <v>507</v>
      </c>
      <c r="P226" s="443" t="s">
        <v>983</v>
      </c>
      <c r="Q226" s="203">
        <v>252126.17092000321</v>
      </c>
      <c r="R226" s="457" t="s">
        <v>2509</v>
      </c>
      <c r="S226" s="253"/>
      <c r="T226" s="159">
        <v>219</v>
      </c>
      <c r="U226" t="s">
        <v>507</v>
      </c>
      <c r="V226" t="s">
        <v>983</v>
      </c>
      <c r="W226" s="372">
        <v>-482010.83</v>
      </c>
      <c r="X226" s="372">
        <v>-2540877.9880818184</v>
      </c>
      <c r="Y226" s="377">
        <v>0</v>
      </c>
      <c r="Z226" s="378">
        <v>-95278.441975299851</v>
      </c>
      <c r="AA226" s="358">
        <f t="shared" si="37"/>
        <v>-3118167.2600571183</v>
      </c>
      <c r="AE226" s="159">
        <f t="shared" si="38"/>
        <v>0</v>
      </c>
      <c r="AG226" s="471" t="s">
        <v>507</v>
      </c>
      <c r="AH226" s="467" t="s">
        <v>983</v>
      </c>
      <c r="AI226" s="475">
        <v>-482010.83</v>
      </c>
      <c r="AJ226" s="475">
        <v>-2540877.9880818184</v>
      </c>
      <c r="AK226" s="476">
        <v>0</v>
      </c>
      <c r="AL226" s="477">
        <v>-95278.441975299851</v>
      </c>
      <c r="AM226" s="478">
        <v>-3118167.2600571183</v>
      </c>
      <c r="AN226" s="478"/>
      <c r="AO226" s="467"/>
      <c r="AP226" s="479">
        <f t="shared" si="39"/>
        <v>-2636156.4300571182</v>
      </c>
      <c r="AQ226" s="467"/>
      <c r="AR226" s="467"/>
      <c r="AS226" s="509">
        <f t="shared" si="40"/>
        <v>-2540877.9880818184</v>
      </c>
      <c r="AT226" s="476">
        <v>0</v>
      </c>
      <c r="AU226" s="477">
        <v>-95278.441975299851</v>
      </c>
      <c r="AV226" s="494">
        <f t="shared" si="41"/>
        <v>-2636156.4300571182</v>
      </c>
      <c r="AW226" s="494">
        <f t="shared" si="42"/>
        <v>0</v>
      </c>
      <c r="AX226" s="468"/>
      <c r="AY226" s="589">
        <v>252126.17092000321</v>
      </c>
      <c r="AZ226" s="510">
        <f t="shared" si="43"/>
        <v>-2384030.259137115</v>
      </c>
      <c r="BA226" s="511">
        <f t="shared" si="44"/>
        <v>0</v>
      </c>
      <c r="BB226" s="460"/>
      <c r="BC226" s="464">
        <f t="shared" si="35"/>
        <v>0</v>
      </c>
    </row>
    <row r="227" spans="1:55" ht="15">
      <c r="A227" s="431">
        <v>221</v>
      </c>
      <c r="B227" s="431">
        <v>92</v>
      </c>
      <c r="C227" t="s">
        <v>328</v>
      </c>
      <c r="D227" t="s">
        <v>329</v>
      </c>
      <c r="E227" s="372">
        <v>-80043.325723999995</v>
      </c>
      <c r="F227" s="372">
        <v>-97293.078928000003</v>
      </c>
      <c r="G227" s="377">
        <v>-78842.365851999988</v>
      </c>
      <c r="H227" s="590">
        <v>-65251.216667999986</v>
      </c>
      <c r="I227" s="358">
        <f t="shared" si="36"/>
        <v>-321429.98717199999</v>
      </c>
      <c r="K227" s="66">
        <f t="shared" si="34"/>
        <v>0</v>
      </c>
      <c r="L227" s="66"/>
      <c r="M227" s="431">
        <v>221</v>
      </c>
      <c r="N227" s="431">
        <v>92</v>
      </c>
      <c r="O227" s="443" t="s">
        <v>328</v>
      </c>
      <c r="P227" s="443" t="s">
        <v>329</v>
      </c>
      <c r="Q227" s="203">
        <v>-65251.216667999986</v>
      </c>
      <c r="R227" s="457" t="s">
        <v>2509</v>
      </c>
      <c r="S227" s="253"/>
      <c r="T227" s="159">
        <v>220</v>
      </c>
      <c r="U227" t="s">
        <v>328</v>
      </c>
      <c r="V227" t="s">
        <v>329</v>
      </c>
      <c r="W227" s="372">
        <v>-93856.06</v>
      </c>
      <c r="X227" s="372">
        <v>-80043.325723999995</v>
      </c>
      <c r="Y227" s="377">
        <v>-97293.078928000003</v>
      </c>
      <c r="Z227" s="378">
        <v>-78842.365851999988</v>
      </c>
      <c r="AA227" s="358">
        <f t="shared" si="37"/>
        <v>-350034.83050399995</v>
      </c>
      <c r="AE227" s="159">
        <f t="shared" si="38"/>
        <v>0</v>
      </c>
      <c r="AG227" s="471" t="s">
        <v>328</v>
      </c>
      <c r="AH227" s="467" t="s">
        <v>329</v>
      </c>
      <c r="AI227" s="475">
        <v>-93856.06</v>
      </c>
      <c r="AJ227" s="475">
        <v>-80043.325723999995</v>
      </c>
      <c r="AK227" s="476">
        <v>-97293.078928000003</v>
      </c>
      <c r="AL227" s="477">
        <v>-78842.365851999988</v>
      </c>
      <c r="AM227" s="478">
        <v>-350034.83050399995</v>
      </c>
      <c r="AN227" s="478"/>
      <c r="AO227" s="467"/>
      <c r="AP227" s="479">
        <f t="shared" si="39"/>
        <v>-256178.77050399999</v>
      </c>
      <c r="AQ227" s="467"/>
      <c r="AR227" s="467"/>
      <c r="AS227" s="509">
        <f t="shared" si="40"/>
        <v>-80043.325723999995</v>
      </c>
      <c r="AT227" s="476">
        <v>-97293.078928000003</v>
      </c>
      <c r="AU227" s="477">
        <v>-78842.365851999988</v>
      </c>
      <c r="AV227" s="494">
        <f t="shared" si="41"/>
        <v>-256178.77050399999</v>
      </c>
      <c r="AW227" s="494">
        <f t="shared" si="42"/>
        <v>0</v>
      </c>
      <c r="AX227" s="468"/>
      <c r="AY227" s="589">
        <v>-65251.216667999986</v>
      </c>
      <c r="AZ227" s="510">
        <f t="shared" si="43"/>
        <v>-321429.98717199999</v>
      </c>
      <c r="BA227" s="511">
        <f t="shared" si="44"/>
        <v>0</v>
      </c>
      <c r="BB227" s="460"/>
      <c r="BC227" s="464">
        <f t="shared" si="35"/>
        <v>0</v>
      </c>
    </row>
    <row r="228" spans="1:55" ht="15">
      <c r="A228" s="431">
        <v>222</v>
      </c>
      <c r="B228" s="431">
        <v>94</v>
      </c>
      <c r="C228" t="s">
        <v>332</v>
      </c>
      <c r="D228" t="s">
        <v>903</v>
      </c>
      <c r="E228" s="372">
        <v>-95750.726506000021</v>
      </c>
      <c r="F228" s="372">
        <v>-75626.15386599995</v>
      </c>
      <c r="G228" s="377">
        <v>-135499.49552364225</v>
      </c>
      <c r="H228" s="590">
        <v>-129451.40286199999</v>
      </c>
      <c r="I228" s="358">
        <f t="shared" si="36"/>
        <v>-436327.7787576422</v>
      </c>
      <c r="K228" s="66">
        <f t="shared" si="34"/>
        <v>0</v>
      </c>
      <c r="L228" s="66"/>
      <c r="M228" s="431">
        <v>222</v>
      </c>
      <c r="N228" s="431">
        <v>94</v>
      </c>
      <c r="O228" s="443" t="s">
        <v>332</v>
      </c>
      <c r="P228" s="443" t="s">
        <v>903</v>
      </c>
      <c r="Q228" s="203">
        <v>-129451.40286199999</v>
      </c>
      <c r="R228" s="457" t="s">
        <v>2509</v>
      </c>
      <c r="S228" s="253"/>
      <c r="T228" s="159">
        <v>221</v>
      </c>
      <c r="U228" t="s">
        <v>332</v>
      </c>
      <c r="V228" t="s">
        <v>903</v>
      </c>
      <c r="W228" s="372">
        <v>-36853.269999999997</v>
      </c>
      <c r="X228" s="372">
        <v>-95750.726506000021</v>
      </c>
      <c r="Y228" s="377">
        <v>-75626.15386599995</v>
      </c>
      <c r="Z228" s="378">
        <v>-135499.49552364225</v>
      </c>
      <c r="AA228" s="358">
        <f t="shared" si="37"/>
        <v>-343729.64589564223</v>
      </c>
      <c r="AE228" s="159">
        <f t="shared" si="38"/>
        <v>0</v>
      </c>
      <c r="AG228" s="471" t="s">
        <v>332</v>
      </c>
      <c r="AH228" s="467" t="s">
        <v>903</v>
      </c>
      <c r="AI228" s="475">
        <v>-36853.269999999997</v>
      </c>
      <c r="AJ228" s="475">
        <v>-95750.726506000021</v>
      </c>
      <c r="AK228" s="476">
        <v>-75626.15386599995</v>
      </c>
      <c r="AL228" s="477">
        <v>-135499.49552364225</v>
      </c>
      <c r="AM228" s="478">
        <v>-343729.64589564223</v>
      </c>
      <c r="AN228" s="478"/>
      <c r="AO228" s="467"/>
      <c r="AP228" s="479">
        <f t="shared" si="39"/>
        <v>-306876.37589564221</v>
      </c>
      <c r="AQ228" s="467"/>
      <c r="AR228" s="467"/>
      <c r="AS228" s="509">
        <f t="shared" si="40"/>
        <v>-95750.726506000021</v>
      </c>
      <c r="AT228" s="476">
        <v>-75626.15386599995</v>
      </c>
      <c r="AU228" s="477">
        <v>-135499.49552364225</v>
      </c>
      <c r="AV228" s="494">
        <f t="shared" si="41"/>
        <v>-306876.37589564221</v>
      </c>
      <c r="AW228" s="494">
        <f t="shared" si="42"/>
        <v>0</v>
      </c>
      <c r="AX228" s="468"/>
      <c r="AY228" s="589">
        <v>-129451.40286199999</v>
      </c>
      <c r="AZ228" s="510">
        <f t="shared" si="43"/>
        <v>-436327.7787576422</v>
      </c>
      <c r="BA228" s="511">
        <f t="shared" si="44"/>
        <v>0</v>
      </c>
      <c r="BB228" s="460"/>
      <c r="BC228" s="464">
        <f t="shared" si="35"/>
        <v>0</v>
      </c>
    </row>
    <row r="229" spans="1:55" ht="15">
      <c r="A229" s="431">
        <v>223</v>
      </c>
      <c r="B229" s="431">
        <v>28</v>
      </c>
      <c r="C229" s="354" t="s">
        <v>1520</v>
      </c>
      <c r="D229" s="354" t="s">
        <v>1663</v>
      </c>
      <c r="E229" s="372">
        <v>-152385.72</v>
      </c>
      <c r="F229" s="372">
        <v>-103419.53899999999</v>
      </c>
      <c r="G229" s="377"/>
      <c r="H229" s="590">
        <v>-46578.489999999976</v>
      </c>
      <c r="I229" s="358">
        <f t="shared" si="36"/>
        <v>-302383.74899999995</v>
      </c>
      <c r="K229" s="66">
        <f t="shared" si="34"/>
        <v>0</v>
      </c>
      <c r="L229" s="66"/>
      <c r="M229" s="431">
        <v>223</v>
      </c>
      <c r="N229" s="431">
        <v>28</v>
      </c>
      <c r="O229" s="443" t="s">
        <v>1520</v>
      </c>
      <c r="P229" s="443" t="s">
        <v>1663</v>
      </c>
      <c r="Q229" s="203">
        <v>-46578.489999999976</v>
      </c>
      <c r="R229" s="457" t="s">
        <v>2509</v>
      </c>
      <c r="S229" s="253"/>
      <c r="T229" s="159">
        <v>222</v>
      </c>
      <c r="U229" s="354" t="s">
        <v>1520</v>
      </c>
      <c r="V229" s="354" t="s">
        <v>1663</v>
      </c>
      <c r="W229" s="372">
        <v>-98816.77</v>
      </c>
      <c r="X229" s="372">
        <v>-152385.72</v>
      </c>
      <c r="Y229" s="377">
        <v>-103419.53899999999</v>
      </c>
      <c r="Z229" s="378"/>
      <c r="AA229" s="358">
        <f t="shared" si="37"/>
        <v>-354622.02899999998</v>
      </c>
      <c r="AE229" s="159">
        <f t="shared" si="38"/>
        <v>0</v>
      </c>
      <c r="AG229" s="471" t="s">
        <v>1520</v>
      </c>
      <c r="AH229" s="467" t="s">
        <v>1663</v>
      </c>
      <c r="AI229" s="475">
        <v>-98816.77</v>
      </c>
      <c r="AJ229" s="475">
        <v>-152385.72</v>
      </c>
      <c r="AK229" s="476">
        <v>-103419.53899999999</v>
      </c>
      <c r="AL229" s="477"/>
      <c r="AM229" s="478">
        <v>-354622.02899999998</v>
      </c>
      <c r="AN229" s="478"/>
      <c r="AO229" s="467"/>
      <c r="AP229" s="479">
        <f t="shared" si="39"/>
        <v>-255805.25899999999</v>
      </c>
      <c r="AQ229" s="467"/>
      <c r="AR229" s="467"/>
      <c r="AS229" s="509">
        <f t="shared" si="40"/>
        <v>-152385.72</v>
      </c>
      <c r="AT229" s="476">
        <v>-103419.53899999999</v>
      </c>
      <c r="AU229" s="477"/>
      <c r="AV229" s="494">
        <f t="shared" si="41"/>
        <v>-255805.25899999999</v>
      </c>
      <c r="AW229" s="494">
        <f t="shared" si="42"/>
        <v>0</v>
      </c>
      <c r="AX229" s="468"/>
      <c r="AY229" s="589">
        <v>-46578.489999999976</v>
      </c>
      <c r="AZ229" s="510">
        <f t="shared" si="43"/>
        <v>-302383.74899999995</v>
      </c>
      <c r="BA229" s="511">
        <f t="shared" si="44"/>
        <v>0</v>
      </c>
      <c r="BB229" s="460"/>
      <c r="BC229" s="464">
        <f t="shared" si="35"/>
        <v>0</v>
      </c>
    </row>
    <row r="230" spans="1:55" ht="15">
      <c r="A230" s="431">
        <v>224</v>
      </c>
      <c r="B230" s="431">
        <v>27</v>
      </c>
      <c r="C230" t="s">
        <v>211</v>
      </c>
      <c r="D230" t="s">
        <v>848</v>
      </c>
      <c r="E230" s="372">
        <v>-152390.1612</v>
      </c>
      <c r="F230" s="372">
        <v>-178454.26219599985</v>
      </c>
      <c r="G230" s="377">
        <v>-330863.23447950417</v>
      </c>
      <c r="H230" s="590">
        <v>-416956.37579300022</v>
      </c>
      <c r="I230" s="358">
        <f t="shared" si="36"/>
        <v>-1078664.0336685041</v>
      </c>
      <c r="K230" s="66">
        <f t="shared" si="34"/>
        <v>0</v>
      </c>
      <c r="L230" s="66"/>
      <c r="M230" s="431">
        <v>224</v>
      </c>
      <c r="N230" s="431">
        <v>27</v>
      </c>
      <c r="O230" s="443" t="s">
        <v>211</v>
      </c>
      <c r="P230" s="443" t="s">
        <v>848</v>
      </c>
      <c r="Q230" s="203">
        <v>-416956.37579300022</v>
      </c>
      <c r="R230" s="457" t="s">
        <v>2509</v>
      </c>
      <c r="S230" s="253"/>
      <c r="T230" s="159">
        <v>223</v>
      </c>
      <c r="U230" t="s">
        <v>211</v>
      </c>
      <c r="V230" t="s">
        <v>848</v>
      </c>
      <c r="W230" s="372">
        <v>-287729.59000000003</v>
      </c>
      <c r="X230" s="372">
        <v>-152390.1612</v>
      </c>
      <c r="Y230" s="377">
        <v>-178454.26219599985</v>
      </c>
      <c r="Z230" s="378">
        <v>-330863.23447950417</v>
      </c>
      <c r="AA230" s="358">
        <f t="shared" si="37"/>
        <v>-949437.24787550408</v>
      </c>
      <c r="AE230" s="159">
        <f t="shared" si="38"/>
        <v>0</v>
      </c>
      <c r="AG230" s="471" t="s">
        <v>211</v>
      </c>
      <c r="AH230" s="467" t="s">
        <v>848</v>
      </c>
      <c r="AI230" s="475">
        <v>-287729.59000000003</v>
      </c>
      <c r="AJ230" s="475">
        <v>-152390.1612</v>
      </c>
      <c r="AK230" s="476">
        <v>-178454.26219599985</v>
      </c>
      <c r="AL230" s="477">
        <v>-330863.23447950417</v>
      </c>
      <c r="AM230" s="478">
        <v>-949437.24787550408</v>
      </c>
      <c r="AN230" s="478"/>
      <c r="AO230" s="467"/>
      <c r="AP230" s="479">
        <f t="shared" si="39"/>
        <v>-661707.657875504</v>
      </c>
      <c r="AQ230" s="467"/>
      <c r="AR230" s="467"/>
      <c r="AS230" s="509">
        <f t="shared" si="40"/>
        <v>-152390.1612</v>
      </c>
      <c r="AT230" s="476">
        <v>-178454.26219599985</v>
      </c>
      <c r="AU230" s="477">
        <v>-330863.23447950417</v>
      </c>
      <c r="AV230" s="494">
        <f t="shared" si="41"/>
        <v>-661707.657875504</v>
      </c>
      <c r="AW230" s="494">
        <f t="shared" si="42"/>
        <v>0</v>
      </c>
      <c r="AX230" s="468"/>
      <c r="AY230" s="589">
        <v>-416956.37579300022</v>
      </c>
      <c r="AZ230" s="510">
        <f t="shared" si="43"/>
        <v>-1078664.0336685041</v>
      </c>
      <c r="BA230" s="511">
        <f t="shared" si="44"/>
        <v>0</v>
      </c>
      <c r="BB230" s="460"/>
      <c r="BC230" s="464">
        <f t="shared" si="35"/>
        <v>0</v>
      </c>
    </row>
    <row r="231" spans="1:55" ht="15">
      <c r="A231" s="431">
        <v>225</v>
      </c>
      <c r="B231" s="431">
        <v>83</v>
      </c>
      <c r="C231" t="s">
        <v>311</v>
      </c>
      <c r="D231" t="s">
        <v>893</v>
      </c>
      <c r="E231" s="372">
        <v>-19146.094232999985</v>
      </c>
      <c r="F231" s="372">
        <v>-77395.518276000075</v>
      </c>
      <c r="G231" s="377">
        <v>-55420.191395000002</v>
      </c>
      <c r="H231" s="590">
        <v>-66693.302089999983</v>
      </c>
      <c r="I231" s="358">
        <f t="shared" si="36"/>
        <v>-218655.10599400004</v>
      </c>
      <c r="K231" s="66">
        <f t="shared" si="34"/>
        <v>0</v>
      </c>
      <c r="L231" s="66"/>
      <c r="M231" s="431">
        <v>225</v>
      </c>
      <c r="N231" s="431">
        <v>83</v>
      </c>
      <c r="O231" s="443" t="s">
        <v>311</v>
      </c>
      <c r="P231" s="443" t="s">
        <v>893</v>
      </c>
      <c r="Q231" s="203">
        <v>-66693.302089999983</v>
      </c>
      <c r="R231" s="457" t="s">
        <v>2509</v>
      </c>
      <c r="S231" s="253"/>
      <c r="T231" s="159">
        <v>224</v>
      </c>
      <c r="U231" t="s">
        <v>311</v>
      </c>
      <c r="V231" t="s">
        <v>893</v>
      </c>
      <c r="W231" s="372">
        <v>-12093.87</v>
      </c>
      <c r="X231" s="372">
        <v>-19146.094232999985</v>
      </c>
      <c r="Y231" s="377">
        <v>-77395.518276000075</v>
      </c>
      <c r="Z231" s="378">
        <v>-55420.191395000002</v>
      </c>
      <c r="AA231" s="358">
        <f t="shared" si="37"/>
        <v>-164055.67390400005</v>
      </c>
      <c r="AE231" s="159">
        <f t="shared" si="38"/>
        <v>0</v>
      </c>
      <c r="AG231" s="471" t="s">
        <v>311</v>
      </c>
      <c r="AH231" s="467" t="s">
        <v>893</v>
      </c>
      <c r="AI231" s="475">
        <v>-12093.87</v>
      </c>
      <c r="AJ231" s="475">
        <v>-19146.094232999985</v>
      </c>
      <c r="AK231" s="476">
        <v>-77395.518276000075</v>
      </c>
      <c r="AL231" s="477">
        <v>-55420.191395000002</v>
      </c>
      <c r="AM231" s="478">
        <v>-164055.67390400005</v>
      </c>
      <c r="AN231" s="478"/>
      <c r="AO231" s="467"/>
      <c r="AP231" s="479">
        <f t="shared" si="39"/>
        <v>-151961.80390400006</v>
      </c>
      <c r="AQ231" s="467"/>
      <c r="AR231" s="467"/>
      <c r="AS231" s="509">
        <f t="shared" si="40"/>
        <v>-19146.094232999985</v>
      </c>
      <c r="AT231" s="476">
        <v>-77395.518276000075</v>
      </c>
      <c r="AU231" s="477">
        <v>-55420.191395000002</v>
      </c>
      <c r="AV231" s="494">
        <f t="shared" si="41"/>
        <v>-151961.80390400006</v>
      </c>
      <c r="AW231" s="494">
        <f t="shared" si="42"/>
        <v>0</v>
      </c>
      <c r="AX231" s="468"/>
      <c r="AY231" s="589">
        <v>-66693.302089999983</v>
      </c>
      <c r="AZ231" s="510">
        <f t="shared" si="43"/>
        <v>-218655.10599400004</v>
      </c>
      <c r="BA231" s="511">
        <f t="shared" si="44"/>
        <v>0</v>
      </c>
      <c r="BB231" s="460"/>
      <c r="BC231" s="464">
        <f t="shared" si="35"/>
        <v>0</v>
      </c>
    </row>
    <row r="232" spans="1:55" ht="15">
      <c r="A232" s="431">
        <v>226</v>
      </c>
      <c r="B232" s="431">
        <v>67</v>
      </c>
      <c r="C232" t="s">
        <v>279</v>
      </c>
      <c r="D232" t="s">
        <v>879</v>
      </c>
      <c r="E232" s="372">
        <v>-205558.26806899998</v>
      </c>
      <c r="F232" s="372">
        <v>0</v>
      </c>
      <c r="G232" s="377">
        <v>-5624.3005379999522</v>
      </c>
      <c r="H232" s="590">
        <v>-62693.510699999984</v>
      </c>
      <c r="I232" s="358">
        <f t="shared" si="36"/>
        <v>-273876.07930699992</v>
      </c>
      <c r="K232" s="66">
        <f t="shared" si="34"/>
        <v>0</v>
      </c>
      <c r="L232" s="66"/>
      <c r="M232" s="431">
        <v>226</v>
      </c>
      <c r="N232" s="431">
        <v>67</v>
      </c>
      <c r="O232" s="443" t="s">
        <v>279</v>
      </c>
      <c r="P232" s="443" t="s">
        <v>879</v>
      </c>
      <c r="Q232" s="203">
        <v>-62693.510699999984</v>
      </c>
      <c r="R232" s="457" t="s">
        <v>2509</v>
      </c>
      <c r="S232" s="253"/>
      <c r="T232" s="159">
        <v>225</v>
      </c>
      <c r="U232" t="s">
        <v>279</v>
      </c>
      <c r="V232" t="s">
        <v>879</v>
      </c>
      <c r="W232" s="372">
        <v>-263886.27</v>
      </c>
      <c r="X232" s="372">
        <v>-205558.26806899998</v>
      </c>
      <c r="Y232" s="377">
        <v>20866.607084000017</v>
      </c>
      <c r="Z232" s="378">
        <v>-5624.3005379999522</v>
      </c>
      <c r="AA232" s="358">
        <f t="shared" si="37"/>
        <v>-454202.23152299994</v>
      </c>
      <c r="AE232" s="159">
        <f t="shared" si="38"/>
        <v>0</v>
      </c>
      <c r="AG232" s="471" t="s">
        <v>279</v>
      </c>
      <c r="AH232" s="467" t="s">
        <v>879</v>
      </c>
      <c r="AI232" s="480">
        <v>-263886.27</v>
      </c>
      <c r="AJ232" s="475">
        <v>-205558.26806899998</v>
      </c>
      <c r="AK232" s="481">
        <v>20866.607084000017</v>
      </c>
      <c r="AL232" s="477">
        <v>-5624.3005379999522</v>
      </c>
      <c r="AM232" s="478">
        <v>-454202.23152299994</v>
      </c>
      <c r="AN232" s="478"/>
      <c r="AO232" s="467"/>
      <c r="AP232" s="479">
        <f t="shared" si="39"/>
        <v>-190315.96152299992</v>
      </c>
      <c r="AQ232" s="467"/>
      <c r="AR232" s="467"/>
      <c r="AS232" s="509">
        <f t="shared" si="40"/>
        <v>-205558.26806899998</v>
      </c>
      <c r="AT232" s="481">
        <v>0</v>
      </c>
      <c r="AU232" s="477">
        <v>-5624.3005379999522</v>
      </c>
      <c r="AV232" s="494">
        <f t="shared" si="41"/>
        <v>-211182.56860699994</v>
      </c>
      <c r="AW232" s="494">
        <f t="shared" si="42"/>
        <v>-20866.607084000017</v>
      </c>
      <c r="AX232" s="468"/>
      <c r="AY232" s="589">
        <v>-62693.510699999984</v>
      </c>
      <c r="AZ232" s="510">
        <f t="shared" si="43"/>
        <v>-273876.07930699992</v>
      </c>
      <c r="BA232" s="511">
        <f t="shared" si="44"/>
        <v>0</v>
      </c>
      <c r="BB232" s="460"/>
      <c r="BC232" s="464">
        <f t="shared" si="35"/>
        <v>0</v>
      </c>
    </row>
    <row r="233" spans="1:55" ht="15">
      <c r="A233" s="431">
        <v>227</v>
      </c>
      <c r="B233" s="431">
        <v>278</v>
      </c>
      <c r="C233" t="s">
        <v>648</v>
      </c>
      <c r="D233" t="s">
        <v>1041</v>
      </c>
      <c r="E233" s="372">
        <v>-67546.536266000068</v>
      </c>
      <c r="F233" s="372">
        <v>-1983.0119699999923</v>
      </c>
      <c r="G233" s="377">
        <v>-146848.08393999992</v>
      </c>
      <c r="H233" s="590">
        <v>-68926.866810000152</v>
      </c>
      <c r="I233" s="358">
        <f t="shared" si="36"/>
        <v>-285304.49898600014</v>
      </c>
      <c r="K233" s="66">
        <f t="shared" si="34"/>
        <v>0</v>
      </c>
      <c r="L233" s="66"/>
      <c r="M233" s="431">
        <v>227</v>
      </c>
      <c r="N233" s="431">
        <v>278</v>
      </c>
      <c r="O233" s="443" t="s">
        <v>648</v>
      </c>
      <c r="P233" s="449" t="s">
        <v>1041</v>
      </c>
      <c r="Q233" s="203">
        <v>-68926.866810000152</v>
      </c>
      <c r="R233" s="457" t="s">
        <v>2509</v>
      </c>
      <c r="S233" s="253"/>
      <c r="T233" s="159">
        <v>226</v>
      </c>
      <c r="U233" t="s">
        <v>648</v>
      </c>
      <c r="V233" t="s">
        <v>1041</v>
      </c>
      <c r="W233" s="372">
        <v>-151869.34</v>
      </c>
      <c r="X233" s="372">
        <v>-67546.536266000068</v>
      </c>
      <c r="Y233" s="377">
        <v>-1983.0119699999923</v>
      </c>
      <c r="Z233" s="378">
        <v>-146848.08393999992</v>
      </c>
      <c r="AA233" s="358">
        <f t="shared" si="37"/>
        <v>-368246.97217600001</v>
      </c>
      <c r="AE233" s="159">
        <f t="shared" si="38"/>
        <v>0</v>
      </c>
      <c r="AG233" s="471" t="s">
        <v>648</v>
      </c>
      <c r="AH233" s="467" t="s">
        <v>1041</v>
      </c>
      <c r="AI233" s="475">
        <v>-151869.34</v>
      </c>
      <c r="AJ233" s="475">
        <v>-67546.536266000068</v>
      </c>
      <c r="AK233" s="476">
        <v>-1983.0119699999923</v>
      </c>
      <c r="AL233" s="477">
        <v>-146848.08393999992</v>
      </c>
      <c r="AM233" s="478">
        <v>-368246.97217600001</v>
      </c>
      <c r="AN233" s="478"/>
      <c r="AO233" s="467"/>
      <c r="AP233" s="479">
        <f t="shared" si="39"/>
        <v>-216377.63217599998</v>
      </c>
      <c r="AQ233" s="467"/>
      <c r="AR233" s="467"/>
      <c r="AS233" s="509">
        <f t="shared" si="40"/>
        <v>-67546.536266000068</v>
      </c>
      <c r="AT233" s="476">
        <v>-1983.0119699999923</v>
      </c>
      <c r="AU233" s="477">
        <v>-146848.08393999992</v>
      </c>
      <c r="AV233" s="494">
        <f t="shared" si="41"/>
        <v>-216377.63217599998</v>
      </c>
      <c r="AW233" s="494">
        <f t="shared" si="42"/>
        <v>0</v>
      </c>
      <c r="AX233" s="468"/>
      <c r="AY233" s="589">
        <v>-68926.866810000152</v>
      </c>
      <c r="AZ233" s="510">
        <f t="shared" si="43"/>
        <v>-285304.49898600014</v>
      </c>
      <c r="BA233" s="511">
        <f t="shared" si="44"/>
        <v>0</v>
      </c>
      <c r="BB233" s="460"/>
      <c r="BC233" s="464">
        <f t="shared" si="35"/>
        <v>0</v>
      </c>
    </row>
    <row r="234" spans="1:55" ht="15">
      <c r="A234" s="431">
        <v>228</v>
      </c>
      <c r="B234" s="431">
        <v>120</v>
      </c>
      <c r="C234" t="s">
        <v>1410</v>
      </c>
      <c r="D234" t="s">
        <v>1409</v>
      </c>
      <c r="E234" s="372">
        <v>-41900.470999999998</v>
      </c>
      <c r="F234" s="372">
        <v>-89900.424999999974</v>
      </c>
      <c r="G234" s="377">
        <v>-66635.681638000024</v>
      </c>
      <c r="H234" s="590">
        <v>-164486.33360000001</v>
      </c>
      <c r="I234" s="358">
        <f t="shared" si="36"/>
        <v>-362922.91123800003</v>
      </c>
      <c r="K234" s="66">
        <f t="shared" si="34"/>
        <v>0</v>
      </c>
      <c r="L234" s="66"/>
      <c r="M234" s="431">
        <v>228</v>
      </c>
      <c r="N234" s="431">
        <v>120</v>
      </c>
      <c r="O234" s="443" t="s">
        <v>1410</v>
      </c>
      <c r="P234" s="443" t="s">
        <v>1409</v>
      </c>
      <c r="Q234" s="203">
        <v>-164486.33360000001</v>
      </c>
      <c r="R234" s="457" t="s">
        <v>2509</v>
      </c>
      <c r="S234" s="253"/>
      <c r="T234" s="159">
        <v>227</v>
      </c>
      <c r="U234" t="s">
        <v>1410</v>
      </c>
      <c r="V234" t="s">
        <v>1409</v>
      </c>
      <c r="W234" s="372">
        <v>-60827.54</v>
      </c>
      <c r="X234" s="372">
        <v>-41900.470999999998</v>
      </c>
      <c r="Y234" s="377">
        <v>-89900.424999999974</v>
      </c>
      <c r="Z234" s="378">
        <v>-66635.681638000024</v>
      </c>
      <c r="AA234" s="358">
        <f t="shared" si="37"/>
        <v>-259264.117638</v>
      </c>
      <c r="AE234" s="159">
        <f t="shared" si="38"/>
        <v>0</v>
      </c>
      <c r="AG234" s="471" t="s">
        <v>1410</v>
      </c>
      <c r="AH234" s="467" t="s">
        <v>1409</v>
      </c>
      <c r="AI234" s="475">
        <v>-60827.54</v>
      </c>
      <c r="AJ234" s="475">
        <v>-41900.470999999998</v>
      </c>
      <c r="AK234" s="476">
        <v>-89900.424999999974</v>
      </c>
      <c r="AL234" s="477">
        <v>-66635.681638000024</v>
      </c>
      <c r="AM234" s="478">
        <v>-259264.117638</v>
      </c>
      <c r="AN234" s="478"/>
      <c r="AO234" s="467"/>
      <c r="AP234" s="479">
        <f t="shared" si="39"/>
        <v>-198436.57763800002</v>
      </c>
      <c r="AQ234" s="467"/>
      <c r="AR234" s="467"/>
      <c r="AS234" s="509">
        <f t="shared" si="40"/>
        <v>-41900.470999999998</v>
      </c>
      <c r="AT234" s="476">
        <v>-89900.424999999974</v>
      </c>
      <c r="AU234" s="477">
        <v>-66635.681638000024</v>
      </c>
      <c r="AV234" s="494">
        <f t="shared" si="41"/>
        <v>-198436.57763800002</v>
      </c>
      <c r="AW234" s="494">
        <f t="shared" si="42"/>
        <v>0</v>
      </c>
      <c r="AX234" s="468"/>
      <c r="AY234" s="589">
        <v>-164486.33360000001</v>
      </c>
      <c r="AZ234" s="510">
        <f t="shared" si="43"/>
        <v>-362922.91123800003</v>
      </c>
      <c r="BA234" s="511">
        <f t="shared" si="44"/>
        <v>0</v>
      </c>
      <c r="BB234" s="460"/>
      <c r="BC234" s="464">
        <f t="shared" si="35"/>
        <v>0</v>
      </c>
    </row>
    <row r="235" spans="1:55" ht="15">
      <c r="A235" s="431">
        <v>229</v>
      </c>
      <c r="B235" s="431">
        <v>121</v>
      </c>
      <c r="C235" s="354" t="s">
        <v>1516</v>
      </c>
      <c r="D235" s="352" t="s">
        <v>1639</v>
      </c>
      <c r="E235" s="374">
        <v>-14062.004999999997</v>
      </c>
      <c r="F235" s="374">
        <v>-31411.993000000017</v>
      </c>
      <c r="G235" s="377">
        <v>-116902.22</v>
      </c>
      <c r="H235" s="590">
        <v>-116510.29657200001</v>
      </c>
      <c r="I235" s="358">
        <f t="shared" si="36"/>
        <v>-278886.51457200001</v>
      </c>
      <c r="K235" s="66">
        <f t="shared" si="34"/>
        <v>0</v>
      </c>
      <c r="L235" s="66"/>
      <c r="M235" s="431">
        <v>229</v>
      </c>
      <c r="N235" s="431">
        <v>121</v>
      </c>
      <c r="O235" s="443" t="s">
        <v>1516</v>
      </c>
      <c r="P235" s="443" t="s">
        <v>2503</v>
      </c>
      <c r="Q235" s="203">
        <v>-116510.29657200001</v>
      </c>
      <c r="R235" s="457" t="s">
        <v>2509</v>
      </c>
      <c r="S235" s="253"/>
      <c r="T235" s="159">
        <v>228</v>
      </c>
      <c r="U235" s="354" t="s">
        <v>1516</v>
      </c>
      <c r="V235" s="352" t="s">
        <v>1639</v>
      </c>
      <c r="W235" s="374">
        <v>0</v>
      </c>
      <c r="X235" s="374">
        <v>-14062.004999999997</v>
      </c>
      <c r="Y235" s="377">
        <v>-31411.993000000017</v>
      </c>
      <c r="Z235" s="378">
        <v>-116902.22</v>
      </c>
      <c r="AA235" s="358">
        <f t="shared" si="37"/>
        <v>-162376.21800000002</v>
      </c>
      <c r="AE235" s="159">
        <f t="shared" si="38"/>
        <v>0</v>
      </c>
      <c r="AG235" s="471" t="s">
        <v>1516</v>
      </c>
      <c r="AH235" s="467" t="s">
        <v>1639</v>
      </c>
      <c r="AI235" s="490">
        <v>0</v>
      </c>
      <c r="AJ235" s="490">
        <v>-14062.004999999997</v>
      </c>
      <c r="AK235" s="476">
        <v>-31411.993000000017</v>
      </c>
      <c r="AL235" s="477">
        <v>-116902.22</v>
      </c>
      <c r="AM235" s="478">
        <v>-162376.21800000002</v>
      </c>
      <c r="AN235" s="478"/>
      <c r="AO235" s="467"/>
      <c r="AP235" s="479">
        <f t="shared" si="39"/>
        <v>-162376.21800000002</v>
      </c>
      <c r="AQ235" s="467"/>
      <c r="AR235" s="467"/>
      <c r="AS235" s="509">
        <f t="shared" si="40"/>
        <v>-14062.004999999997</v>
      </c>
      <c r="AT235" s="476">
        <v>-31411.993000000017</v>
      </c>
      <c r="AU235" s="477">
        <v>-116902.22</v>
      </c>
      <c r="AV235" s="494">
        <f t="shared" si="41"/>
        <v>-162376.21800000002</v>
      </c>
      <c r="AW235" s="494">
        <f t="shared" si="42"/>
        <v>0</v>
      </c>
      <c r="AX235" s="468"/>
      <c r="AY235" s="589">
        <v>-116510.29657200001</v>
      </c>
      <c r="AZ235" s="510">
        <f t="shared" si="43"/>
        <v>-278886.51457200001</v>
      </c>
      <c r="BA235" s="511">
        <f t="shared" si="44"/>
        <v>0</v>
      </c>
      <c r="BB235" s="460"/>
      <c r="BC235" s="464">
        <f t="shared" si="35"/>
        <v>0</v>
      </c>
    </row>
    <row r="236" spans="1:55" ht="15">
      <c r="A236" s="431">
        <v>230</v>
      </c>
      <c r="B236" s="431">
        <v>188</v>
      </c>
      <c r="C236" t="s">
        <v>490</v>
      </c>
      <c r="D236" t="s">
        <v>974</v>
      </c>
      <c r="E236" s="372">
        <v>-10785.558647999991</v>
      </c>
      <c r="F236" s="372">
        <v>-19470.008844000055</v>
      </c>
      <c r="G236" s="377">
        <v>-83395.094760000007</v>
      </c>
      <c r="H236" s="590">
        <v>-90688.795741999988</v>
      </c>
      <c r="I236" s="358">
        <f t="shared" si="36"/>
        <v>-204339.45799400005</v>
      </c>
      <c r="K236" s="66">
        <f t="shared" si="34"/>
        <v>0</v>
      </c>
      <c r="L236" s="66"/>
      <c r="M236" s="431">
        <v>230</v>
      </c>
      <c r="N236" s="431">
        <v>188</v>
      </c>
      <c r="O236" s="443" t="s">
        <v>490</v>
      </c>
      <c r="P236" s="443" t="s">
        <v>974</v>
      </c>
      <c r="Q236" s="203">
        <v>-90688.795741999988</v>
      </c>
      <c r="R236" s="457" t="s">
        <v>2509</v>
      </c>
      <c r="S236" s="253"/>
      <c r="T236" s="159">
        <v>229</v>
      </c>
      <c r="U236" t="s">
        <v>490</v>
      </c>
      <c r="V236" t="s">
        <v>974</v>
      </c>
      <c r="W236" s="372">
        <v>-113716.92</v>
      </c>
      <c r="X236" s="372">
        <v>-10785.558647999991</v>
      </c>
      <c r="Y236" s="377">
        <v>-19470.008844000055</v>
      </c>
      <c r="Z236" s="378">
        <v>-83395.094760000007</v>
      </c>
      <c r="AA236" s="358">
        <f t="shared" si="37"/>
        <v>-227367.58225200005</v>
      </c>
      <c r="AE236" s="159">
        <f t="shared" si="38"/>
        <v>0</v>
      </c>
      <c r="AG236" s="471" t="s">
        <v>490</v>
      </c>
      <c r="AH236" s="467" t="s">
        <v>974</v>
      </c>
      <c r="AI236" s="475">
        <v>-113716.92</v>
      </c>
      <c r="AJ236" s="475">
        <v>-10785.558647999991</v>
      </c>
      <c r="AK236" s="476">
        <v>-19470.008844000055</v>
      </c>
      <c r="AL236" s="477">
        <v>-83395.094760000007</v>
      </c>
      <c r="AM236" s="478">
        <v>-227367.58225200005</v>
      </c>
      <c r="AN236" s="478"/>
      <c r="AO236" s="467"/>
      <c r="AP236" s="479">
        <f t="shared" si="39"/>
        <v>-113650.66225200005</v>
      </c>
      <c r="AQ236" s="467"/>
      <c r="AR236" s="467"/>
      <c r="AS236" s="509">
        <f t="shared" si="40"/>
        <v>-10785.558647999991</v>
      </c>
      <c r="AT236" s="476">
        <v>-19470.008844000055</v>
      </c>
      <c r="AU236" s="477">
        <v>-83395.094760000007</v>
      </c>
      <c r="AV236" s="494">
        <f t="shared" si="41"/>
        <v>-113650.66225200005</v>
      </c>
      <c r="AW236" s="494">
        <f t="shared" si="42"/>
        <v>0</v>
      </c>
      <c r="AX236" s="468"/>
      <c r="AY236" s="589">
        <v>-90688.795741999988</v>
      </c>
      <c r="AZ236" s="510">
        <f t="shared" si="43"/>
        <v>-204339.45799400005</v>
      </c>
      <c r="BA236" s="511">
        <f t="shared" si="44"/>
        <v>0</v>
      </c>
      <c r="BB236" s="460"/>
      <c r="BC236" s="464">
        <f t="shared" si="35"/>
        <v>0</v>
      </c>
    </row>
    <row r="237" spans="1:55" ht="15">
      <c r="A237" s="431">
        <v>231</v>
      </c>
      <c r="B237" s="431">
        <v>164</v>
      </c>
      <c r="C237" t="s">
        <v>444</v>
      </c>
      <c r="D237" t="s">
        <v>1669</v>
      </c>
      <c r="E237" s="372">
        <v>-70859.221733000057</v>
      </c>
      <c r="F237" s="372">
        <v>-17344.319573000015</v>
      </c>
      <c r="G237" s="377">
        <v>-225459.94650000002</v>
      </c>
      <c r="H237" s="590">
        <v>11537.345359999978</v>
      </c>
      <c r="I237" s="358">
        <f t="shared" si="36"/>
        <v>-302126.14244600013</v>
      </c>
      <c r="K237" s="66">
        <f t="shared" si="34"/>
        <v>0</v>
      </c>
      <c r="L237" s="66"/>
      <c r="M237" s="431">
        <v>231</v>
      </c>
      <c r="N237" s="431">
        <v>164</v>
      </c>
      <c r="O237" s="443" t="s">
        <v>444</v>
      </c>
      <c r="P237" s="443" t="s">
        <v>1669</v>
      </c>
      <c r="Q237" s="203">
        <v>11537.345359999978</v>
      </c>
      <c r="R237" s="457" t="s">
        <v>2509</v>
      </c>
      <c r="S237" s="253"/>
      <c r="T237" s="159">
        <v>230</v>
      </c>
      <c r="U237" t="s">
        <v>444</v>
      </c>
      <c r="V237" t="s">
        <v>1669</v>
      </c>
      <c r="W237" s="372">
        <v>-73353.89</v>
      </c>
      <c r="X237" s="372">
        <v>-70859.221733000057</v>
      </c>
      <c r="Y237" s="377">
        <v>-17344.319573000015</v>
      </c>
      <c r="Z237" s="378">
        <v>-225459.94650000002</v>
      </c>
      <c r="AA237" s="358">
        <f t="shared" si="37"/>
        <v>-387017.37780600006</v>
      </c>
      <c r="AE237" s="159">
        <f t="shared" si="38"/>
        <v>0</v>
      </c>
      <c r="AG237" s="471" t="s">
        <v>444</v>
      </c>
      <c r="AH237" s="467" t="s">
        <v>1669</v>
      </c>
      <c r="AI237" s="475">
        <v>-73353.89</v>
      </c>
      <c r="AJ237" s="475">
        <v>-70859.221733000057</v>
      </c>
      <c r="AK237" s="476">
        <v>-17344.319573000015</v>
      </c>
      <c r="AL237" s="477">
        <v>-225459.94650000002</v>
      </c>
      <c r="AM237" s="478">
        <v>-387017.37780600006</v>
      </c>
      <c r="AN237" s="478"/>
      <c r="AO237" s="467"/>
      <c r="AP237" s="479">
        <f t="shared" si="39"/>
        <v>-313663.48780600011</v>
      </c>
      <c r="AQ237" s="467"/>
      <c r="AR237" s="467"/>
      <c r="AS237" s="509">
        <f t="shared" si="40"/>
        <v>-70859.221733000057</v>
      </c>
      <c r="AT237" s="476">
        <v>-17344.319573000015</v>
      </c>
      <c r="AU237" s="477">
        <v>-225459.94650000002</v>
      </c>
      <c r="AV237" s="494">
        <f t="shared" si="41"/>
        <v>-313663.48780600011</v>
      </c>
      <c r="AW237" s="494">
        <f t="shared" si="42"/>
        <v>0</v>
      </c>
      <c r="AX237" s="468"/>
      <c r="AY237" s="589">
        <v>11537.345359999978</v>
      </c>
      <c r="AZ237" s="510">
        <f t="shared" si="43"/>
        <v>-302126.14244600013</v>
      </c>
      <c r="BA237" s="511">
        <f t="shared" si="44"/>
        <v>0</v>
      </c>
      <c r="BB237" s="460"/>
      <c r="BC237" s="464">
        <f t="shared" si="35"/>
        <v>0</v>
      </c>
    </row>
    <row r="238" spans="1:55" ht="15">
      <c r="A238" s="431">
        <v>232</v>
      </c>
      <c r="B238" s="431">
        <v>103</v>
      </c>
      <c r="C238" t="s">
        <v>350</v>
      </c>
      <c r="D238" t="s">
        <v>912</v>
      </c>
      <c r="E238" s="372">
        <v>-1046897.085175865</v>
      </c>
      <c r="F238" s="372">
        <v>-411272.12316168193</v>
      </c>
      <c r="G238" s="377">
        <v>-118490.50251825177</v>
      </c>
      <c r="H238" s="590">
        <v>-554349.68580600061</v>
      </c>
      <c r="I238" s="358">
        <f t="shared" si="36"/>
        <v>-2131009.3966617994</v>
      </c>
      <c r="K238" s="66">
        <f t="shared" si="34"/>
        <v>0</v>
      </c>
      <c r="L238" s="66"/>
      <c r="M238" s="431">
        <v>232</v>
      </c>
      <c r="N238" s="431">
        <v>103</v>
      </c>
      <c r="O238" s="443" t="s">
        <v>350</v>
      </c>
      <c r="P238" s="443" t="s">
        <v>912</v>
      </c>
      <c r="Q238" s="203">
        <v>-554349.68580600061</v>
      </c>
      <c r="R238" s="457" t="s">
        <v>2509</v>
      </c>
      <c r="S238" s="253"/>
      <c r="T238" s="159">
        <v>231</v>
      </c>
      <c r="U238" t="s">
        <v>350</v>
      </c>
      <c r="V238" t="s">
        <v>912</v>
      </c>
      <c r="W238" s="372">
        <v>-882496.45</v>
      </c>
      <c r="X238" s="372">
        <v>-1046897.085175865</v>
      </c>
      <c r="Y238" s="377">
        <v>-411272.12316168193</v>
      </c>
      <c r="Z238" s="378">
        <v>-118490.50251825177</v>
      </c>
      <c r="AA238" s="358">
        <f t="shared" si="37"/>
        <v>-2459156.160855799</v>
      </c>
      <c r="AE238" s="159">
        <f t="shared" si="38"/>
        <v>0</v>
      </c>
      <c r="AG238" s="471" t="s">
        <v>350</v>
      </c>
      <c r="AH238" s="467" t="s">
        <v>912</v>
      </c>
      <c r="AI238" s="475">
        <v>-882496.45</v>
      </c>
      <c r="AJ238" s="475">
        <v>-1046897.085175865</v>
      </c>
      <c r="AK238" s="476">
        <v>-411272.12316168193</v>
      </c>
      <c r="AL238" s="477">
        <v>-118490.50251825177</v>
      </c>
      <c r="AM238" s="478">
        <v>-2459156.160855799</v>
      </c>
      <c r="AN238" s="478"/>
      <c r="AO238" s="467"/>
      <c r="AP238" s="479">
        <f t="shared" si="39"/>
        <v>-1576659.7108557986</v>
      </c>
      <c r="AQ238" s="467"/>
      <c r="AR238" s="467"/>
      <c r="AS238" s="509">
        <f t="shared" si="40"/>
        <v>-1046897.085175865</v>
      </c>
      <c r="AT238" s="476">
        <v>-411272.12316168193</v>
      </c>
      <c r="AU238" s="477">
        <v>-118490.50251825177</v>
      </c>
      <c r="AV238" s="494">
        <f t="shared" si="41"/>
        <v>-1576659.7108557986</v>
      </c>
      <c r="AW238" s="494">
        <f t="shared" si="42"/>
        <v>0</v>
      </c>
      <c r="AX238" s="468"/>
      <c r="AY238" s="589">
        <v>-554349.68580600061</v>
      </c>
      <c r="AZ238" s="510">
        <f t="shared" si="43"/>
        <v>-2131009.3966617994</v>
      </c>
      <c r="BA238" s="511">
        <f t="shared" si="44"/>
        <v>0</v>
      </c>
      <c r="BB238" s="460"/>
      <c r="BC238" s="464">
        <f t="shared" si="35"/>
        <v>0</v>
      </c>
    </row>
    <row r="239" spans="1:55" ht="15">
      <c r="A239" s="431">
        <v>233</v>
      </c>
      <c r="B239" s="431">
        <v>59</v>
      </c>
      <c r="C239" t="s">
        <v>265</v>
      </c>
      <c r="D239" t="s">
        <v>873</v>
      </c>
      <c r="E239" s="372">
        <v>-132692.11338099994</v>
      </c>
      <c r="F239" s="372">
        <v>-64022.365625000035</v>
      </c>
      <c r="G239" s="377">
        <v>-118582.06733099994</v>
      </c>
      <c r="H239" s="590">
        <v>-136175.02515500004</v>
      </c>
      <c r="I239" s="358">
        <f t="shared" si="36"/>
        <v>-451471.57149199996</v>
      </c>
      <c r="K239" s="66">
        <f t="shared" si="34"/>
        <v>0</v>
      </c>
      <c r="L239" s="66"/>
      <c r="M239" s="431">
        <v>233</v>
      </c>
      <c r="N239" s="431">
        <v>59</v>
      </c>
      <c r="O239" s="443" t="s">
        <v>265</v>
      </c>
      <c r="P239" s="443" t="s">
        <v>873</v>
      </c>
      <c r="Q239" s="203">
        <v>-136175.02515500004</v>
      </c>
      <c r="R239" s="457" t="s">
        <v>2509</v>
      </c>
      <c r="S239" s="253"/>
      <c r="T239" s="159">
        <v>232</v>
      </c>
      <c r="U239" t="s">
        <v>265</v>
      </c>
      <c r="V239" t="s">
        <v>873</v>
      </c>
      <c r="W239" s="372">
        <v>-159167.43</v>
      </c>
      <c r="X239" s="372">
        <v>-132692.11338099994</v>
      </c>
      <c r="Y239" s="377">
        <v>-64022.365625000035</v>
      </c>
      <c r="Z239" s="378">
        <v>-118582.06733099994</v>
      </c>
      <c r="AA239" s="358">
        <f t="shared" si="37"/>
        <v>-474463.97633699991</v>
      </c>
      <c r="AE239" s="159">
        <f t="shared" si="38"/>
        <v>0</v>
      </c>
      <c r="AG239" s="471" t="s">
        <v>265</v>
      </c>
      <c r="AH239" s="467" t="s">
        <v>873</v>
      </c>
      <c r="AI239" s="475">
        <v>-159167.43</v>
      </c>
      <c r="AJ239" s="475">
        <v>-132692.11338099994</v>
      </c>
      <c r="AK239" s="476">
        <v>-64022.365625000035</v>
      </c>
      <c r="AL239" s="477">
        <v>-118582.06733099994</v>
      </c>
      <c r="AM239" s="478">
        <v>-474463.97633699991</v>
      </c>
      <c r="AN239" s="478"/>
      <c r="AO239" s="467"/>
      <c r="AP239" s="479">
        <f t="shared" si="39"/>
        <v>-315296.54633699992</v>
      </c>
      <c r="AQ239" s="467"/>
      <c r="AR239" s="467"/>
      <c r="AS239" s="509">
        <f t="shared" si="40"/>
        <v>-132692.11338099994</v>
      </c>
      <c r="AT239" s="476">
        <v>-64022.365625000035</v>
      </c>
      <c r="AU239" s="477">
        <v>-118582.06733099994</v>
      </c>
      <c r="AV239" s="494">
        <f t="shared" si="41"/>
        <v>-315296.54633699992</v>
      </c>
      <c r="AW239" s="494">
        <f t="shared" si="42"/>
        <v>0</v>
      </c>
      <c r="AX239" s="468"/>
      <c r="AY239" s="589">
        <v>-136175.02515500004</v>
      </c>
      <c r="AZ239" s="510">
        <f t="shared" si="43"/>
        <v>-451471.57149199996</v>
      </c>
      <c r="BA239" s="511">
        <f t="shared" si="44"/>
        <v>0</v>
      </c>
      <c r="BB239" s="460"/>
      <c r="BC239" s="464">
        <f t="shared" si="35"/>
        <v>0</v>
      </c>
    </row>
    <row r="240" spans="1:55" ht="15">
      <c r="A240" s="431">
        <v>234</v>
      </c>
      <c r="B240" s="431">
        <v>13</v>
      </c>
      <c r="C240" t="s">
        <v>187</v>
      </c>
      <c r="D240" t="s">
        <v>837</v>
      </c>
      <c r="E240" s="372">
        <v>0</v>
      </c>
      <c r="F240" s="372">
        <v>499584.78148993792</v>
      </c>
      <c r="G240" s="377">
        <v>338635.79078151379</v>
      </c>
      <c r="H240" s="590">
        <v>338837.49583000038</v>
      </c>
      <c r="I240" s="358">
        <f t="shared" si="36"/>
        <v>1177058.0681014522</v>
      </c>
      <c r="K240" s="66">
        <f t="shared" si="34"/>
        <v>0</v>
      </c>
      <c r="L240" s="66"/>
      <c r="M240" s="431">
        <v>234</v>
      </c>
      <c r="N240" s="431">
        <v>13</v>
      </c>
      <c r="O240" s="443" t="s">
        <v>187</v>
      </c>
      <c r="P240" s="443" t="s">
        <v>837</v>
      </c>
      <c r="Q240" s="203">
        <v>338837.49583000038</v>
      </c>
      <c r="R240" s="457" t="s">
        <v>2509</v>
      </c>
      <c r="S240" s="253"/>
      <c r="T240" s="159">
        <v>233</v>
      </c>
      <c r="U240" t="s">
        <v>187</v>
      </c>
      <c r="V240" t="s">
        <v>837</v>
      </c>
      <c r="W240" s="372">
        <v>-366861.36</v>
      </c>
      <c r="X240" s="372">
        <v>0</v>
      </c>
      <c r="Y240" s="377">
        <v>866446.1414899379</v>
      </c>
      <c r="Z240" s="378">
        <v>338635.79078151379</v>
      </c>
      <c r="AA240" s="358">
        <f t="shared" si="37"/>
        <v>838220.5722714517</v>
      </c>
      <c r="AE240" s="159">
        <f t="shared" si="38"/>
        <v>0</v>
      </c>
      <c r="AG240" s="471" t="s">
        <v>187</v>
      </c>
      <c r="AH240" s="467" t="s">
        <v>837</v>
      </c>
      <c r="AI240" s="480">
        <v>-366861.36</v>
      </c>
      <c r="AJ240" s="475">
        <v>0</v>
      </c>
      <c r="AK240" s="481">
        <v>866446.1414899379</v>
      </c>
      <c r="AL240" s="477">
        <v>338635.79078151379</v>
      </c>
      <c r="AM240" s="478">
        <v>838220.5722714517</v>
      </c>
      <c r="AN240" s="483">
        <f>+AK240+AI240</f>
        <v>499584.78148993792</v>
      </c>
      <c r="AO240" s="467"/>
      <c r="AP240" s="479">
        <f t="shared" si="39"/>
        <v>1205081.9322714517</v>
      </c>
      <c r="AQ240" s="467"/>
      <c r="AR240" s="467"/>
      <c r="AS240" s="509">
        <f t="shared" si="40"/>
        <v>0</v>
      </c>
      <c r="AT240" s="481">
        <v>499584.78148993792</v>
      </c>
      <c r="AU240" s="477">
        <v>338635.79078151379</v>
      </c>
      <c r="AV240" s="494">
        <f t="shared" si="41"/>
        <v>838220.5722714517</v>
      </c>
      <c r="AW240" s="513">
        <f>+AV240-AM240</f>
        <v>0</v>
      </c>
      <c r="AX240" s="468"/>
      <c r="AY240" s="589">
        <v>338837.49583000038</v>
      </c>
      <c r="AZ240" s="510">
        <f t="shared" si="43"/>
        <v>1177058.0681014522</v>
      </c>
      <c r="BA240" s="511">
        <f t="shared" si="44"/>
        <v>0</v>
      </c>
      <c r="BB240" s="460"/>
      <c r="BC240" s="464">
        <f t="shared" si="35"/>
        <v>0</v>
      </c>
    </row>
    <row r="241" spans="1:55" ht="15">
      <c r="A241" s="431">
        <v>235</v>
      </c>
      <c r="B241" s="431">
        <v>37</v>
      </c>
      <c r="C241" t="s">
        <v>227</v>
      </c>
      <c r="D241" t="s">
        <v>855</v>
      </c>
      <c r="E241" s="372">
        <v>-54025.385362000263</v>
      </c>
      <c r="F241" s="372">
        <v>0</v>
      </c>
      <c r="G241" s="377">
        <v>68196.509999999995</v>
      </c>
      <c r="H241" s="590">
        <v>161946.03401399986</v>
      </c>
      <c r="I241" s="358">
        <f t="shared" si="36"/>
        <v>176117.15865199961</v>
      </c>
      <c r="K241" s="66">
        <f t="shared" si="34"/>
        <v>0</v>
      </c>
      <c r="L241" s="66"/>
      <c r="M241" s="431">
        <v>235</v>
      </c>
      <c r="N241" s="431">
        <v>37</v>
      </c>
      <c r="O241" s="443" t="s">
        <v>227</v>
      </c>
      <c r="P241" s="443" t="s">
        <v>855</v>
      </c>
      <c r="Q241" s="203">
        <v>161946.03401399986</v>
      </c>
      <c r="R241" s="457" t="s">
        <v>2509</v>
      </c>
      <c r="S241" s="253"/>
      <c r="T241" s="159">
        <v>234</v>
      </c>
      <c r="U241" t="s">
        <v>227</v>
      </c>
      <c r="V241" t="s">
        <v>855</v>
      </c>
      <c r="W241" s="372">
        <v>-24225.64</v>
      </c>
      <c r="X241" s="372">
        <v>-54025.385362000263</v>
      </c>
      <c r="Y241" s="377">
        <v>5558.0503580000513</v>
      </c>
      <c r="Z241" s="378">
        <v>86864.096677999885</v>
      </c>
      <c r="AA241" s="358">
        <f t="shared" si="37"/>
        <v>14171.121673999674</v>
      </c>
      <c r="AE241" s="159">
        <f t="shared" si="38"/>
        <v>0</v>
      </c>
      <c r="AG241" s="471" t="s">
        <v>227</v>
      </c>
      <c r="AH241" s="467" t="s">
        <v>855</v>
      </c>
      <c r="AI241" s="480">
        <v>-24225.64</v>
      </c>
      <c r="AJ241" s="475">
        <v>-54025.385362000263</v>
      </c>
      <c r="AK241" s="481">
        <v>5558.0503580000513</v>
      </c>
      <c r="AL241" s="482">
        <v>86864.096677999885</v>
      </c>
      <c r="AM241" s="478">
        <v>14171.121673999674</v>
      </c>
      <c r="AN241" s="478">
        <f>+AL241+AK241+AI241</f>
        <v>68196.507035999937</v>
      </c>
      <c r="AO241" s="467"/>
      <c r="AP241" s="479">
        <f t="shared" si="39"/>
        <v>38396.761673999674</v>
      </c>
      <c r="AQ241" s="467"/>
      <c r="AR241" s="467"/>
      <c r="AS241" s="509">
        <f t="shared" si="40"/>
        <v>-54025.385362000263</v>
      </c>
      <c r="AT241" s="481">
        <v>0</v>
      </c>
      <c r="AU241" s="482">
        <v>68196.509999999995</v>
      </c>
      <c r="AV241" s="494">
        <f t="shared" si="41"/>
        <v>14171.124637999732</v>
      </c>
      <c r="AW241" s="513">
        <f>+AV241-AM241</f>
        <v>2.9640000575454906E-3</v>
      </c>
      <c r="AX241" s="468"/>
      <c r="AY241" s="589">
        <v>161946.03401399986</v>
      </c>
      <c r="AZ241" s="510">
        <f t="shared" si="43"/>
        <v>176117.15865199961</v>
      </c>
      <c r="BA241" s="511">
        <f t="shared" si="44"/>
        <v>0</v>
      </c>
      <c r="BB241" s="460"/>
      <c r="BC241" s="464">
        <f t="shared" si="35"/>
        <v>0</v>
      </c>
    </row>
    <row r="242" spans="1:55" ht="15">
      <c r="A242" s="431">
        <v>236</v>
      </c>
      <c r="B242" s="431">
        <v>5</v>
      </c>
      <c r="C242" t="s">
        <v>171</v>
      </c>
      <c r="D242" t="s">
        <v>831</v>
      </c>
      <c r="E242" s="372">
        <v>-34050.782236999999</v>
      </c>
      <c r="F242" s="372">
        <v>-94322.305059999984</v>
      </c>
      <c r="G242" s="377">
        <v>-60769.374959999972</v>
      </c>
      <c r="H242" s="590">
        <v>1013.336903999967</v>
      </c>
      <c r="I242" s="358">
        <f t="shared" si="36"/>
        <v>-188129.12535300001</v>
      </c>
      <c r="K242" s="66">
        <f t="shared" si="34"/>
        <v>0</v>
      </c>
      <c r="L242" s="66"/>
      <c r="M242" s="431">
        <v>236</v>
      </c>
      <c r="N242" s="431">
        <v>5</v>
      </c>
      <c r="O242" s="443" t="s">
        <v>171</v>
      </c>
      <c r="P242" s="443" t="s">
        <v>831</v>
      </c>
      <c r="Q242" s="203">
        <v>1013.336903999967</v>
      </c>
      <c r="R242" s="457" t="s">
        <v>2509</v>
      </c>
      <c r="S242" s="253"/>
      <c r="T242" s="159">
        <v>235</v>
      </c>
      <c r="U242" t="s">
        <v>171</v>
      </c>
      <c r="V242" t="s">
        <v>831</v>
      </c>
      <c r="W242" s="372">
        <v>-98553.17</v>
      </c>
      <c r="X242" s="372">
        <v>-34050.782236999999</v>
      </c>
      <c r="Y242" s="377">
        <v>-94322.305059999984</v>
      </c>
      <c r="Z242" s="378">
        <v>-60769.374959999972</v>
      </c>
      <c r="AA242" s="358">
        <f t="shared" si="37"/>
        <v>-287695.63225699996</v>
      </c>
      <c r="AE242" s="159">
        <f t="shared" si="38"/>
        <v>0</v>
      </c>
      <c r="AG242" s="471" t="s">
        <v>171</v>
      </c>
      <c r="AH242" s="467" t="s">
        <v>831</v>
      </c>
      <c r="AI242" s="475">
        <v>-98553.17</v>
      </c>
      <c r="AJ242" s="475">
        <v>-34050.782236999999</v>
      </c>
      <c r="AK242" s="476">
        <v>-94322.305059999984</v>
      </c>
      <c r="AL242" s="477">
        <v>-60769.374959999972</v>
      </c>
      <c r="AM242" s="478">
        <v>-287695.63225699996</v>
      </c>
      <c r="AN242" s="478"/>
      <c r="AO242" s="467"/>
      <c r="AP242" s="479">
        <f t="shared" si="39"/>
        <v>-189142.46225699998</v>
      </c>
      <c r="AQ242" s="467"/>
      <c r="AR242" s="467"/>
      <c r="AS242" s="509">
        <f t="shared" si="40"/>
        <v>-34050.782236999999</v>
      </c>
      <c r="AT242" s="476">
        <v>-94322.305059999984</v>
      </c>
      <c r="AU242" s="477">
        <v>-60769.374959999972</v>
      </c>
      <c r="AV242" s="494">
        <f t="shared" si="41"/>
        <v>-189142.46225699998</v>
      </c>
      <c r="AW242" s="494">
        <f t="shared" si="42"/>
        <v>0</v>
      </c>
      <c r="AX242" s="468"/>
      <c r="AY242" s="589">
        <v>1013.336903999967</v>
      </c>
      <c r="AZ242" s="510">
        <f t="shared" si="43"/>
        <v>-188129.12535300001</v>
      </c>
      <c r="BA242" s="511">
        <f t="shared" si="44"/>
        <v>0</v>
      </c>
      <c r="BB242" s="460"/>
      <c r="BC242" s="464">
        <f t="shared" si="35"/>
        <v>0</v>
      </c>
    </row>
    <row r="243" spans="1:55" ht="15">
      <c r="A243" s="431">
        <v>237</v>
      </c>
      <c r="B243" s="431">
        <v>257</v>
      </c>
      <c r="C243" t="s">
        <v>616</v>
      </c>
      <c r="D243" t="s">
        <v>1026</v>
      </c>
      <c r="E243" s="372">
        <v>-99214.160899999988</v>
      </c>
      <c r="F243" s="372">
        <v>0</v>
      </c>
      <c r="G243" s="377">
        <v>0</v>
      </c>
      <c r="H243" s="590">
        <v>-35545.450151999947</v>
      </c>
      <c r="I243" s="358">
        <f t="shared" si="36"/>
        <v>-134759.61105199993</v>
      </c>
      <c r="K243" s="66">
        <f t="shared" si="34"/>
        <v>0</v>
      </c>
      <c r="L243" s="66"/>
      <c r="M243" s="431">
        <v>237</v>
      </c>
      <c r="N243" s="431">
        <v>257</v>
      </c>
      <c r="O243" s="443" t="s">
        <v>616</v>
      </c>
      <c r="P243" s="443" t="s">
        <v>1026</v>
      </c>
      <c r="Q243" s="203">
        <v>-35545.450151999947</v>
      </c>
      <c r="R243" s="457" t="s">
        <v>2509</v>
      </c>
      <c r="S243" s="253"/>
      <c r="T243" s="159">
        <v>236</v>
      </c>
      <c r="U243" t="s">
        <v>616</v>
      </c>
      <c r="V243" t="s">
        <v>1026</v>
      </c>
      <c r="W243" s="372">
        <v>-153406.84</v>
      </c>
      <c r="X243" s="372">
        <v>-99214.160899999988</v>
      </c>
      <c r="Y243" s="377">
        <v>0</v>
      </c>
      <c r="Z243" s="378">
        <v>97197.684343999979</v>
      </c>
      <c r="AA243" s="358">
        <f t="shared" si="37"/>
        <v>-155423.31655600001</v>
      </c>
      <c r="AE243" s="159">
        <f t="shared" si="38"/>
        <v>0</v>
      </c>
      <c r="AG243" s="471" t="s">
        <v>616</v>
      </c>
      <c r="AH243" s="467" t="s">
        <v>1026</v>
      </c>
      <c r="AI243" s="480">
        <v>-153406.84</v>
      </c>
      <c r="AJ243" s="475">
        <v>-99214.160899999988</v>
      </c>
      <c r="AK243" s="476">
        <v>0</v>
      </c>
      <c r="AL243" s="482">
        <v>97197.684343999979</v>
      </c>
      <c r="AM243" s="478">
        <v>-155423.31655600001</v>
      </c>
      <c r="AN243" s="478"/>
      <c r="AO243" s="467"/>
      <c r="AP243" s="479">
        <f t="shared" si="39"/>
        <v>-2016.4765560000087</v>
      </c>
      <c r="AQ243" s="467"/>
      <c r="AR243" s="467"/>
      <c r="AS243" s="509">
        <f t="shared" si="40"/>
        <v>-99214.160899999988</v>
      </c>
      <c r="AT243" s="476">
        <v>0</v>
      </c>
      <c r="AU243" s="482">
        <v>0</v>
      </c>
      <c r="AV243" s="494">
        <f t="shared" si="41"/>
        <v>-99214.160899999988</v>
      </c>
      <c r="AW243" s="494">
        <f t="shared" si="42"/>
        <v>-97197.684343999979</v>
      </c>
      <c r="AX243" s="468"/>
      <c r="AY243" s="589">
        <v>-35545.450151999947</v>
      </c>
      <c r="AZ243" s="510">
        <f t="shared" si="43"/>
        <v>-134759.61105199993</v>
      </c>
      <c r="BA243" s="511">
        <f t="shared" si="44"/>
        <v>0</v>
      </c>
      <c r="BB243" s="460"/>
      <c r="BC243" s="464">
        <f t="shared" si="35"/>
        <v>0</v>
      </c>
    </row>
    <row r="244" spans="1:55" ht="15">
      <c r="A244" s="431">
        <v>238</v>
      </c>
      <c r="B244" s="431">
        <v>107</v>
      </c>
      <c r="C244" t="s">
        <v>358</v>
      </c>
      <c r="D244" t="s">
        <v>916</v>
      </c>
      <c r="E244" s="372">
        <v>-574907.32105999999</v>
      </c>
      <c r="F244" s="372">
        <v>-78968.891994999722</v>
      </c>
      <c r="G244" s="377">
        <v>-167953.46703999976</v>
      </c>
      <c r="H244" s="590">
        <v>-429192.95203000004</v>
      </c>
      <c r="I244" s="358">
        <f t="shared" si="36"/>
        <v>-1251022.6321249995</v>
      </c>
      <c r="K244" s="66">
        <f t="shared" si="34"/>
        <v>0</v>
      </c>
      <c r="L244" s="66"/>
      <c r="M244" s="431">
        <v>238</v>
      </c>
      <c r="N244" s="431">
        <v>107</v>
      </c>
      <c r="O244" s="443" t="s">
        <v>358</v>
      </c>
      <c r="P244" s="443" t="s">
        <v>916</v>
      </c>
      <c r="Q244" s="203">
        <v>-429192.95203000004</v>
      </c>
      <c r="R244" s="457" t="s">
        <v>2509</v>
      </c>
      <c r="S244" s="253"/>
      <c r="T244" s="159">
        <v>237</v>
      </c>
      <c r="U244" t="s">
        <v>358</v>
      </c>
      <c r="V244" t="s">
        <v>916</v>
      </c>
      <c r="W244" s="372">
        <v>-364433.07</v>
      </c>
      <c r="X244" s="372">
        <v>-574907.32105999999</v>
      </c>
      <c r="Y244" s="377">
        <v>-78968.891994999722</v>
      </c>
      <c r="Z244" s="378">
        <v>-167953.46703999976</v>
      </c>
      <c r="AA244" s="358">
        <f t="shared" si="37"/>
        <v>-1186262.7500949996</v>
      </c>
      <c r="AE244" s="159">
        <f t="shared" si="38"/>
        <v>0</v>
      </c>
      <c r="AG244" s="471" t="s">
        <v>358</v>
      </c>
      <c r="AH244" s="467" t="s">
        <v>916</v>
      </c>
      <c r="AI244" s="475">
        <v>-364433.07</v>
      </c>
      <c r="AJ244" s="475">
        <v>-574907.32105999999</v>
      </c>
      <c r="AK244" s="476">
        <v>-78968.891994999722</v>
      </c>
      <c r="AL244" s="477">
        <v>-167953.46703999976</v>
      </c>
      <c r="AM244" s="478">
        <v>-1186262.7500949996</v>
      </c>
      <c r="AN244" s="478"/>
      <c r="AO244" s="467"/>
      <c r="AP244" s="479">
        <f t="shared" si="39"/>
        <v>-821829.68009499949</v>
      </c>
      <c r="AQ244" s="467"/>
      <c r="AR244" s="467"/>
      <c r="AS244" s="509">
        <f t="shared" si="40"/>
        <v>-574907.32105999999</v>
      </c>
      <c r="AT244" s="476">
        <v>-78968.891994999722</v>
      </c>
      <c r="AU244" s="477">
        <v>-167953.46703999976</v>
      </c>
      <c r="AV244" s="494">
        <f t="shared" si="41"/>
        <v>-821829.68009499949</v>
      </c>
      <c r="AW244" s="494">
        <f t="shared" si="42"/>
        <v>0</v>
      </c>
      <c r="AX244" s="468"/>
      <c r="AY244" s="589">
        <v>-429192.95203000004</v>
      </c>
      <c r="AZ244" s="510">
        <f t="shared" si="43"/>
        <v>-1251022.6321249995</v>
      </c>
      <c r="BA244" s="511">
        <f t="shared" si="44"/>
        <v>0</v>
      </c>
      <c r="BB244" s="460"/>
      <c r="BC244" s="464">
        <f t="shared" si="35"/>
        <v>0</v>
      </c>
    </row>
    <row r="245" spans="1:55" ht="15">
      <c r="A245" s="431">
        <v>239</v>
      </c>
      <c r="B245" s="431">
        <v>280</v>
      </c>
      <c r="C245" t="s">
        <v>652</v>
      </c>
      <c r="D245" t="s">
        <v>1043</v>
      </c>
      <c r="E245" s="372">
        <v>58085.972594000006</v>
      </c>
      <c r="F245" s="372">
        <v>205799.82022399979</v>
      </c>
      <c r="G245" s="377">
        <v>175823.57701600002</v>
      </c>
      <c r="H245" s="590">
        <v>122644.29980099993</v>
      </c>
      <c r="I245" s="358">
        <f t="shared" si="36"/>
        <v>562353.66963499971</v>
      </c>
      <c r="K245" s="66">
        <f t="shared" si="34"/>
        <v>0</v>
      </c>
      <c r="L245" s="66"/>
      <c r="M245" s="431">
        <v>239</v>
      </c>
      <c r="N245" s="431">
        <v>280</v>
      </c>
      <c r="O245" s="443" t="s">
        <v>652</v>
      </c>
      <c r="P245" s="443" t="s">
        <v>1043</v>
      </c>
      <c r="Q245" s="203">
        <v>122644.29980099993</v>
      </c>
      <c r="R245" s="457" t="s">
        <v>2509</v>
      </c>
      <c r="S245" s="253"/>
      <c r="T245" s="159">
        <v>238</v>
      </c>
      <c r="U245" t="s">
        <v>652</v>
      </c>
      <c r="V245" t="s">
        <v>1043</v>
      </c>
      <c r="W245" s="372">
        <v>-40474.97</v>
      </c>
      <c r="X245" s="372">
        <v>98560.942594000007</v>
      </c>
      <c r="Y245" s="377">
        <v>205799.82022399979</v>
      </c>
      <c r="Z245" s="378">
        <v>175823.57701600002</v>
      </c>
      <c r="AA245" s="358">
        <f t="shared" si="37"/>
        <v>439709.36983399978</v>
      </c>
      <c r="AE245" s="159">
        <f t="shared" si="38"/>
        <v>0</v>
      </c>
      <c r="AG245" s="471" t="s">
        <v>652</v>
      </c>
      <c r="AH245" s="467" t="s">
        <v>1043</v>
      </c>
      <c r="AI245" s="480">
        <v>-40474.97</v>
      </c>
      <c r="AJ245" s="480">
        <v>98560.942594000007</v>
      </c>
      <c r="AK245" s="476">
        <v>205799.82022399979</v>
      </c>
      <c r="AL245" s="477">
        <v>175823.57701600002</v>
      </c>
      <c r="AM245" s="478">
        <v>439709.36983399978</v>
      </c>
      <c r="AN245" s="478"/>
      <c r="AO245" s="467"/>
      <c r="AP245" s="479">
        <f t="shared" si="39"/>
        <v>480184.33983399987</v>
      </c>
      <c r="AQ245" s="467"/>
      <c r="AR245" s="467"/>
      <c r="AS245" s="512">
        <f>+AI245+AJ245</f>
        <v>58085.972594000006</v>
      </c>
      <c r="AT245" s="476">
        <v>205799.82022399979</v>
      </c>
      <c r="AU245" s="477">
        <v>175823.57701600002</v>
      </c>
      <c r="AV245" s="494">
        <f t="shared" si="41"/>
        <v>439709.36983399978</v>
      </c>
      <c r="AW245" s="513">
        <f>+AV245-AM245</f>
        <v>0</v>
      </c>
      <c r="AX245" s="468"/>
      <c r="AY245" s="589">
        <v>122644.29980099993</v>
      </c>
      <c r="AZ245" s="510">
        <f t="shared" si="43"/>
        <v>562353.66963499971</v>
      </c>
      <c r="BA245" s="511">
        <f t="shared" si="44"/>
        <v>0</v>
      </c>
      <c r="BB245" s="460"/>
      <c r="BC245" s="464">
        <f t="shared" si="35"/>
        <v>0</v>
      </c>
    </row>
    <row r="246" spans="1:55" ht="15">
      <c r="A246" s="431">
        <v>240</v>
      </c>
      <c r="B246" s="431">
        <v>146</v>
      </c>
      <c r="C246" s="347" t="s">
        <v>408</v>
      </c>
      <c r="D246" s="348" t="s">
        <v>409</v>
      </c>
      <c r="E246" s="380">
        <v>0</v>
      </c>
      <c r="F246" s="371"/>
      <c r="G246" s="377"/>
      <c r="H246" s="590">
        <v>-937.46</v>
      </c>
      <c r="I246" s="358">
        <f t="shared" si="36"/>
        <v>-937.46</v>
      </c>
      <c r="K246" s="66">
        <f t="shared" si="34"/>
        <v>0</v>
      </c>
      <c r="L246" s="66"/>
      <c r="M246" s="431">
        <v>240</v>
      </c>
      <c r="N246" s="431">
        <v>146</v>
      </c>
      <c r="O246" s="445" t="s">
        <v>408</v>
      </c>
      <c r="P246" s="446" t="s">
        <v>2378</v>
      </c>
      <c r="Q246" s="203">
        <v>-937.46</v>
      </c>
      <c r="R246" s="457" t="s">
        <v>2509</v>
      </c>
      <c r="S246" s="253"/>
      <c r="T246" s="159">
        <v>239</v>
      </c>
      <c r="U246" s="347" t="s">
        <v>408</v>
      </c>
      <c r="V246" s="348" t="s">
        <v>409</v>
      </c>
      <c r="W246" s="380">
        <v>0</v>
      </c>
      <c r="X246" s="371"/>
      <c r="Y246" s="377"/>
      <c r="Z246" s="378"/>
      <c r="AA246" s="358">
        <f t="shared" si="37"/>
        <v>0</v>
      </c>
      <c r="AE246" s="159">
        <f t="shared" si="38"/>
        <v>0</v>
      </c>
      <c r="AG246" s="471" t="s">
        <v>408</v>
      </c>
      <c r="AH246" s="467" t="s">
        <v>409</v>
      </c>
      <c r="AI246" s="484">
        <v>0</v>
      </c>
      <c r="AJ246" s="485"/>
      <c r="AK246" s="476"/>
      <c r="AL246" s="477"/>
      <c r="AM246" s="478">
        <v>0</v>
      </c>
      <c r="AN246" s="478"/>
      <c r="AO246" s="467"/>
      <c r="AP246" s="479">
        <f t="shared" si="39"/>
        <v>0</v>
      </c>
      <c r="AQ246" s="467"/>
      <c r="AR246" s="467"/>
      <c r="AS246" s="509">
        <f t="shared" si="40"/>
        <v>0</v>
      </c>
      <c r="AT246" s="476"/>
      <c r="AU246" s="477"/>
      <c r="AV246" s="494">
        <f t="shared" si="41"/>
        <v>0</v>
      </c>
      <c r="AW246" s="494">
        <f t="shared" si="42"/>
        <v>0</v>
      </c>
      <c r="AX246" s="468"/>
      <c r="AY246" s="589">
        <v>-937.46</v>
      </c>
      <c r="AZ246" s="510">
        <f t="shared" si="43"/>
        <v>-937.46</v>
      </c>
      <c r="BA246" s="511">
        <f t="shared" si="44"/>
        <v>0</v>
      </c>
      <c r="BB246" s="460"/>
      <c r="BC246" s="464">
        <f t="shared" si="35"/>
        <v>0</v>
      </c>
    </row>
    <row r="247" spans="1:55" ht="15">
      <c r="A247" s="431">
        <v>241</v>
      </c>
      <c r="B247" s="431">
        <v>40</v>
      </c>
      <c r="C247" s="445" t="s">
        <v>2368</v>
      </c>
      <c r="D247" s="451" t="s">
        <v>2452</v>
      </c>
      <c r="E247" s="380"/>
      <c r="F247" s="371"/>
      <c r="G247" s="377"/>
      <c r="H247" s="590">
        <v>-1311.67</v>
      </c>
      <c r="I247" s="358">
        <f t="shared" si="36"/>
        <v>-1311.67</v>
      </c>
      <c r="K247" s="66">
        <f t="shared" si="34"/>
        <v>0</v>
      </c>
      <c r="L247" s="66"/>
      <c r="M247" s="431">
        <v>241</v>
      </c>
      <c r="N247" s="431">
        <v>40</v>
      </c>
      <c r="O247" s="445" t="s">
        <v>2368</v>
      </c>
      <c r="P247" s="451" t="s">
        <v>2452</v>
      </c>
      <c r="Q247" s="203">
        <v>-1311.67</v>
      </c>
      <c r="R247" s="457" t="s">
        <v>2509</v>
      </c>
      <c r="S247" s="253"/>
      <c r="T247" s="159"/>
      <c r="U247" s="347"/>
      <c r="V247" s="348"/>
      <c r="W247" s="380"/>
      <c r="X247" s="371"/>
      <c r="Y247" s="377"/>
      <c r="Z247" s="378"/>
      <c r="AA247" s="358"/>
      <c r="AE247" s="159"/>
      <c r="AG247" s="471"/>
      <c r="AH247" s="467"/>
      <c r="AI247" s="484"/>
      <c r="AJ247" s="485"/>
      <c r="AK247" s="476"/>
      <c r="AL247" s="477"/>
      <c r="AM247" s="478"/>
      <c r="AN247" s="478"/>
      <c r="AO247" s="467"/>
      <c r="AP247" s="479"/>
      <c r="AQ247" s="467"/>
      <c r="AR247" s="467"/>
      <c r="AS247" s="509"/>
      <c r="AT247" s="476"/>
      <c r="AU247" s="477"/>
      <c r="AV247" s="494"/>
      <c r="AW247" s="494"/>
      <c r="AX247" s="468"/>
      <c r="AY247" s="589">
        <v>-1311.67</v>
      </c>
      <c r="AZ247" s="510"/>
      <c r="BA247" s="511"/>
      <c r="BB247" s="460"/>
      <c r="BC247" s="464">
        <f t="shared" si="35"/>
        <v>0</v>
      </c>
    </row>
    <row r="248" spans="1:55" ht="15">
      <c r="A248" s="431">
        <v>242</v>
      </c>
      <c r="B248" s="431">
        <v>311</v>
      </c>
      <c r="C248" t="s">
        <v>705</v>
      </c>
      <c r="D248" t="s">
        <v>1066</v>
      </c>
      <c r="E248" s="381">
        <v>-19951.080036000047</v>
      </c>
      <c r="F248" s="372">
        <v>-19978.076143999991</v>
      </c>
      <c r="G248" s="377">
        <v>-14465.273208999988</v>
      </c>
      <c r="H248" s="590">
        <v>-20168.790135999967</v>
      </c>
      <c r="I248" s="358">
        <f t="shared" si="36"/>
        <v>-74563.219524999993</v>
      </c>
      <c r="K248" s="66">
        <f t="shared" si="34"/>
        <v>0</v>
      </c>
      <c r="L248" s="66"/>
      <c r="M248" s="431">
        <v>242</v>
      </c>
      <c r="N248" s="431">
        <v>311</v>
      </c>
      <c r="O248" s="443" t="s">
        <v>705</v>
      </c>
      <c r="P248" s="443" t="s">
        <v>1066</v>
      </c>
      <c r="Q248" s="203">
        <v>-20168.790135999967</v>
      </c>
      <c r="R248" s="457" t="s">
        <v>2509</v>
      </c>
      <c r="S248" s="253"/>
      <c r="T248" s="159">
        <v>240</v>
      </c>
      <c r="U248" t="s">
        <v>705</v>
      </c>
      <c r="V248" t="s">
        <v>1066</v>
      </c>
      <c r="W248" s="381">
        <v>-31040.47</v>
      </c>
      <c r="X248" s="372">
        <v>-19951.080036000047</v>
      </c>
      <c r="Y248" s="377">
        <v>-19978.076143999991</v>
      </c>
      <c r="Z248" s="378">
        <v>-14465.273208999988</v>
      </c>
      <c r="AA248" s="358">
        <f t="shared" si="37"/>
        <v>-85434.899389000027</v>
      </c>
      <c r="AE248" s="159">
        <f t="shared" si="38"/>
        <v>0</v>
      </c>
      <c r="AG248" s="471" t="s">
        <v>705</v>
      </c>
      <c r="AH248" s="467" t="s">
        <v>1066</v>
      </c>
      <c r="AI248" s="486">
        <v>-31040.47</v>
      </c>
      <c r="AJ248" s="475">
        <v>-19951.080036000047</v>
      </c>
      <c r="AK248" s="476">
        <v>-19978.076143999991</v>
      </c>
      <c r="AL248" s="477">
        <v>-14465.273208999988</v>
      </c>
      <c r="AM248" s="478">
        <v>-85434.899389000027</v>
      </c>
      <c r="AN248" s="478"/>
      <c r="AO248" s="467"/>
      <c r="AP248" s="479">
        <f t="shared" si="39"/>
        <v>-54394.429389000026</v>
      </c>
      <c r="AQ248" s="467"/>
      <c r="AR248" s="467"/>
      <c r="AS248" s="509">
        <f t="shared" si="40"/>
        <v>-19951.080036000047</v>
      </c>
      <c r="AT248" s="476">
        <v>-19978.076143999991</v>
      </c>
      <c r="AU248" s="477">
        <v>-14465.273208999988</v>
      </c>
      <c r="AV248" s="494">
        <f t="shared" si="41"/>
        <v>-54394.429389000026</v>
      </c>
      <c r="AW248" s="494">
        <f t="shared" si="42"/>
        <v>0</v>
      </c>
      <c r="AX248" s="468"/>
      <c r="AY248" s="589">
        <v>-20168.790135999967</v>
      </c>
      <c r="AZ248" s="510">
        <f t="shared" si="43"/>
        <v>-74563.219524999993</v>
      </c>
      <c r="BA248" s="511">
        <f t="shared" si="44"/>
        <v>0</v>
      </c>
      <c r="BB248" s="460"/>
      <c r="BC248" s="464">
        <f t="shared" si="35"/>
        <v>0</v>
      </c>
    </row>
    <row r="249" spans="1:55" ht="15">
      <c r="A249" s="431">
        <v>243</v>
      </c>
      <c r="B249" s="431">
        <v>71</v>
      </c>
      <c r="C249" t="s">
        <v>287</v>
      </c>
      <c r="D249" t="s">
        <v>882</v>
      </c>
      <c r="E249" s="381">
        <v>-192748.99807764377</v>
      </c>
      <c r="F249" s="372">
        <v>7647.24</v>
      </c>
      <c r="G249" s="377">
        <v>88087.528395999994</v>
      </c>
      <c r="H249" s="590">
        <v>123631.63295000023</v>
      </c>
      <c r="I249" s="358">
        <f t="shared" si="36"/>
        <v>26617.403268356444</v>
      </c>
      <c r="K249" s="66">
        <f t="shared" si="34"/>
        <v>0</v>
      </c>
      <c r="L249" s="66"/>
      <c r="M249" s="431">
        <v>243</v>
      </c>
      <c r="N249" s="431">
        <v>71</v>
      </c>
      <c r="O249" s="443" t="s">
        <v>287</v>
      </c>
      <c r="P249" s="443" t="s">
        <v>882</v>
      </c>
      <c r="Q249" s="203">
        <v>123631.63295000023</v>
      </c>
      <c r="R249" s="457" t="s">
        <v>2509</v>
      </c>
      <c r="S249" s="253"/>
      <c r="T249" s="159">
        <v>241</v>
      </c>
      <c r="U249" t="s">
        <v>287</v>
      </c>
      <c r="V249" t="s">
        <v>882</v>
      </c>
      <c r="W249" s="381">
        <v>-5501.46</v>
      </c>
      <c r="X249" s="372">
        <v>-192748.99807764377</v>
      </c>
      <c r="Y249" s="377">
        <v>13148.699136000243</v>
      </c>
      <c r="Z249" s="378">
        <v>88087.528395999994</v>
      </c>
      <c r="AA249" s="358">
        <f t="shared" si="37"/>
        <v>-97014.230545643528</v>
      </c>
      <c r="AE249" s="159">
        <f t="shared" si="38"/>
        <v>0</v>
      </c>
      <c r="AG249" s="471" t="s">
        <v>287</v>
      </c>
      <c r="AH249" s="467" t="s">
        <v>882</v>
      </c>
      <c r="AI249" s="495">
        <v>-5501.46</v>
      </c>
      <c r="AJ249" s="475">
        <v>-192748.99807764377</v>
      </c>
      <c r="AK249" s="481">
        <v>13148.699136000243</v>
      </c>
      <c r="AL249" s="477">
        <v>88087.528395999994</v>
      </c>
      <c r="AM249" s="478">
        <v>-97014.230545643528</v>
      </c>
      <c r="AN249" s="483">
        <f>+AK249+AI249</f>
        <v>7647.239136000243</v>
      </c>
      <c r="AO249" s="467"/>
      <c r="AP249" s="479">
        <f t="shared" si="39"/>
        <v>-91512.770545643536</v>
      </c>
      <c r="AQ249" s="467"/>
      <c r="AR249" s="467"/>
      <c r="AS249" s="509">
        <f t="shared" si="40"/>
        <v>-192748.99807764377</v>
      </c>
      <c r="AT249" s="483">
        <v>7647.24</v>
      </c>
      <c r="AU249" s="477">
        <v>88087.528395999994</v>
      </c>
      <c r="AV249" s="494">
        <f t="shared" si="41"/>
        <v>-97014.229681643788</v>
      </c>
      <c r="AW249" s="513">
        <f>+AV249-AM249</f>
        <v>8.639997395221144E-4</v>
      </c>
      <c r="AX249" s="468"/>
      <c r="AY249" s="589">
        <v>123631.63295000023</v>
      </c>
      <c r="AZ249" s="510">
        <f t="shared" si="43"/>
        <v>26617.403268356444</v>
      </c>
      <c r="BA249" s="511">
        <f t="shared" si="44"/>
        <v>0</v>
      </c>
      <c r="BB249" s="460"/>
      <c r="BC249" s="464">
        <f t="shared" si="35"/>
        <v>0</v>
      </c>
    </row>
    <row r="250" spans="1:55" ht="15">
      <c r="A250" s="431">
        <v>244</v>
      </c>
      <c r="B250" s="431">
        <v>217</v>
      </c>
      <c r="C250" t="s">
        <v>541</v>
      </c>
      <c r="D250" t="s">
        <v>1672</v>
      </c>
      <c r="E250" s="381">
        <v>-149452.19531399992</v>
      </c>
      <c r="F250" s="372">
        <v>-99080.271149999928</v>
      </c>
      <c r="G250" s="377">
        <v>-130473.12811499994</v>
      </c>
      <c r="H250" s="590">
        <v>-151817.69678599999</v>
      </c>
      <c r="I250" s="358">
        <f t="shared" si="36"/>
        <v>-530823.29136499972</v>
      </c>
      <c r="K250" s="66">
        <f t="shared" si="34"/>
        <v>0</v>
      </c>
      <c r="L250" s="66"/>
      <c r="M250" s="431">
        <v>244</v>
      </c>
      <c r="N250" s="431">
        <v>217</v>
      </c>
      <c r="O250" s="443" t="s">
        <v>541</v>
      </c>
      <c r="P250" s="443" t="s">
        <v>1672</v>
      </c>
      <c r="Q250" s="203">
        <v>-151817.69678599999</v>
      </c>
      <c r="R250" s="457" t="s">
        <v>2509</v>
      </c>
      <c r="S250" s="253"/>
      <c r="T250" s="159">
        <v>242</v>
      </c>
      <c r="U250" t="s">
        <v>541</v>
      </c>
      <c r="V250" t="s">
        <v>1672</v>
      </c>
      <c r="W250" s="381">
        <v>-130355.56</v>
      </c>
      <c r="X250" s="372">
        <v>-149452.19531399992</v>
      </c>
      <c r="Y250" s="377">
        <v>-99080.271149999928</v>
      </c>
      <c r="Z250" s="378">
        <v>-130473.12811499994</v>
      </c>
      <c r="AA250" s="358">
        <f t="shared" si="37"/>
        <v>-509361.15457899985</v>
      </c>
      <c r="AE250" s="159">
        <f t="shared" si="38"/>
        <v>0</v>
      </c>
      <c r="AG250" s="471" t="s">
        <v>541</v>
      </c>
      <c r="AH250" s="467" t="s">
        <v>1672</v>
      </c>
      <c r="AI250" s="486">
        <v>-130355.56</v>
      </c>
      <c r="AJ250" s="475">
        <v>-149452.19531399992</v>
      </c>
      <c r="AK250" s="476">
        <v>-99080.271149999928</v>
      </c>
      <c r="AL250" s="477">
        <v>-130473.12811499994</v>
      </c>
      <c r="AM250" s="478">
        <v>-509361.15457899985</v>
      </c>
      <c r="AN250" s="478"/>
      <c r="AO250" s="467"/>
      <c r="AP250" s="479">
        <f t="shared" si="39"/>
        <v>-379005.59457899979</v>
      </c>
      <c r="AQ250" s="467"/>
      <c r="AR250" s="467"/>
      <c r="AS250" s="509">
        <f t="shared" si="40"/>
        <v>-149452.19531399992</v>
      </c>
      <c r="AT250" s="476">
        <v>-99080.271149999928</v>
      </c>
      <c r="AU250" s="477">
        <v>-130473.12811499994</v>
      </c>
      <c r="AV250" s="494">
        <f t="shared" si="41"/>
        <v>-379005.59457899979</v>
      </c>
      <c r="AW250" s="494">
        <f t="shared" si="42"/>
        <v>0</v>
      </c>
      <c r="AX250" s="468"/>
      <c r="AY250" s="589">
        <v>-151817.69678599999</v>
      </c>
      <c r="AZ250" s="510">
        <f t="shared" si="43"/>
        <v>-530823.29136499972</v>
      </c>
      <c r="BA250" s="511">
        <f t="shared" si="44"/>
        <v>0</v>
      </c>
      <c r="BB250" s="460"/>
      <c r="BC250" s="464">
        <f t="shared" si="35"/>
        <v>0</v>
      </c>
    </row>
    <row r="251" spans="1:55" ht="15">
      <c r="A251" s="431">
        <v>245</v>
      </c>
      <c r="B251" s="431">
        <v>85</v>
      </c>
      <c r="C251" t="s">
        <v>314</v>
      </c>
      <c r="D251" t="s">
        <v>895</v>
      </c>
      <c r="E251" s="381">
        <v>-21458.096560000002</v>
      </c>
      <c r="F251" s="372">
        <v>-30701.7804</v>
      </c>
      <c r="G251" s="377">
        <v>-61760.512143999993</v>
      </c>
      <c r="H251" s="590">
        <v>-71380.898078999977</v>
      </c>
      <c r="I251" s="358">
        <f t="shared" si="36"/>
        <v>-185301.28718299998</v>
      </c>
      <c r="K251" s="66">
        <f t="shared" si="34"/>
        <v>0</v>
      </c>
      <c r="L251" s="66"/>
      <c r="M251" s="431">
        <v>245</v>
      </c>
      <c r="N251" s="431">
        <v>85</v>
      </c>
      <c r="O251" s="443" t="s">
        <v>314</v>
      </c>
      <c r="P251" s="449" t="s">
        <v>895</v>
      </c>
      <c r="Q251" s="203">
        <v>-71380.898078999977</v>
      </c>
      <c r="R251" s="457" t="s">
        <v>2509</v>
      </c>
      <c r="S251" s="253"/>
      <c r="T251" s="159">
        <v>243</v>
      </c>
      <c r="U251" t="s">
        <v>314</v>
      </c>
      <c r="V251" t="s">
        <v>895</v>
      </c>
      <c r="W251" s="381">
        <v>-23801.22</v>
      </c>
      <c r="X251" s="372">
        <v>-21458.096560000002</v>
      </c>
      <c r="Y251" s="377">
        <v>-30701.7804</v>
      </c>
      <c r="Z251" s="378">
        <v>-61760.512143999993</v>
      </c>
      <c r="AA251" s="358">
        <f t="shared" si="37"/>
        <v>-137721.609104</v>
      </c>
      <c r="AE251" s="159">
        <f t="shared" si="38"/>
        <v>0</v>
      </c>
      <c r="AG251" s="471" t="s">
        <v>314</v>
      </c>
      <c r="AH251" s="467" t="s">
        <v>895</v>
      </c>
      <c r="AI251" s="486">
        <v>-23801.22</v>
      </c>
      <c r="AJ251" s="475">
        <v>-21458.096560000002</v>
      </c>
      <c r="AK251" s="476">
        <v>-30701.7804</v>
      </c>
      <c r="AL251" s="477">
        <v>-61760.512143999993</v>
      </c>
      <c r="AM251" s="478">
        <v>-137721.609104</v>
      </c>
      <c r="AN251" s="478"/>
      <c r="AO251" s="467"/>
      <c r="AP251" s="479">
        <f t="shared" si="39"/>
        <v>-113920.389104</v>
      </c>
      <c r="AQ251" s="467"/>
      <c r="AR251" s="467"/>
      <c r="AS251" s="509">
        <f t="shared" si="40"/>
        <v>-21458.096560000002</v>
      </c>
      <c r="AT251" s="476">
        <v>-30701.7804</v>
      </c>
      <c r="AU251" s="477">
        <v>-61760.512143999993</v>
      </c>
      <c r="AV251" s="494">
        <f t="shared" si="41"/>
        <v>-113920.389104</v>
      </c>
      <c r="AW251" s="494">
        <f t="shared" si="42"/>
        <v>0</v>
      </c>
      <c r="AX251" s="468"/>
      <c r="AY251" s="589">
        <v>-71380.898078999977</v>
      </c>
      <c r="AZ251" s="510">
        <f t="shared" si="43"/>
        <v>-185301.28718299998</v>
      </c>
      <c r="BA251" s="511">
        <f t="shared" si="44"/>
        <v>0</v>
      </c>
      <c r="BB251" s="460"/>
      <c r="BC251" s="464">
        <f t="shared" si="35"/>
        <v>0</v>
      </c>
    </row>
    <row r="252" spans="1:55" ht="15">
      <c r="A252" s="431">
        <v>246</v>
      </c>
      <c r="B252" s="431">
        <v>97</v>
      </c>
      <c r="C252" t="s">
        <v>338</v>
      </c>
      <c r="D252" t="s">
        <v>906</v>
      </c>
      <c r="E252" s="381">
        <v>0</v>
      </c>
      <c r="F252" s="372">
        <v>0</v>
      </c>
      <c r="G252" s="377">
        <v>-1870452.9653209841</v>
      </c>
      <c r="H252" s="590">
        <v>-3708117.7462330051</v>
      </c>
      <c r="I252" s="358">
        <f t="shared" si="36"/>
        <v>-5578570.711553989</v>
      </c>
      <c r="K252" s="66">
        <f t="shared" si="34"/>
        <v>0</v>
      </c>
      <c r="L252" s="66"/>
      <c r="M252" s="431">
        <v>246</v>
      </c>
      <c r="N252" s="431">
        <v>97</v>
      </c>
      <c r="O252" s="443" t="s">
        <v>338</v>
      </c>
      <c r="P252" s="443" t="s">
        <v>906</v>
      </c>
      <c r="Q252" s="203">
        <v>-3708117.7462330051</v>
      </c>
      <c r="R252" s="457" t="s">
        <v>2509</v>
      </c>
      <c r="S252" s="253"/>
      <c r="T252" s="159">
        <v>244</v>
      </c>
      <c r="U252" t="s">
        <v>338</v>
      </c>
      <c r="V252" t="s">
        <v>906</v>
      </c>
      <c r="W252" s="381">
        <v>-4079306.84</v>
      </c>
      <c r="X252" s="372">
        <v>0</v>
      </c>
      <c r="Y252" s="377">
        <v>0</v>
      </c>
      <c r="Z252" s="378">
        <v>-1870452.9653209841</v>
      </c>
      <c r="AA252" s="358">
        <f t="shared" si="37"/>
        <v>-5949759.8053209838</v>
      </c>
      <c r="AE252" s="159">
        <f t="shared" si="38"/>
        <v>0</v>
      </c>
      <c r="AG252" s="471" t="s">
        <v>338</v>
      </c>
      <c r="AH252" s="467" t="s">
        <v>906</v>
      </c>
      <c r="AI252" s="486">
        <v>-4079306.84</v>
      </c>
      <c r="AJ252" s="475">
        <v>0</v>
      </c>
      <c r="AK252" s="476">
        <v>0</v>
      </c>
      <c r="AL252" s="477">
        <v>-1870452.9653209841</v>
      </c>
      <c r="AM252" s="478">
        <v>-5949759.8053209838</v>
      </c>
      <c r="AN252" s="478"/>
      <c r="AO252" s="467"/>
      <c r="AP252" s="479">
        <f t="shared" si="39"/>
        <v>-1870452.9653209841</v>
      </c>
      <c r="AQ252" s="467"/>
      <c r="AR252" s="467"/>
      <c r="AS252" s="509">
        <f t="shared" si="40"/>
        <v>0</v>
      </c>
      <c r="AT252" s="476">
        <v>0</v>
      </c>
      <c r="AU252" s="477">
        <v>-1870452.9653209841</v>
      </c>
      <c r="AV252" s="494">
        <f t="shared" si="41"/>
        <v>-1870452.9653209841</v>
      </c>
      <c r="AW252" s="494">
        <f t="shared" si="42"/>
        <v>0</v>
      </c>
      <c r="AX252" s="468"/>
      <c r="AY252" s="589">
        <v>-3708117.7462330051</v>
      </c>
      <c r="AZ252" s="510">
        <f t="shared" si="43"/>
        <v>-5578570.711553989</v>
      </c>
      <c r="BA252" s="511">
        <f t="shared" si="44"/>
        <v>0</v>
      </c>
      <c r="BB252" s="460"/>
      <c r="BC252" s="464">
        <f t="shared" si="35"/>
        <v>0</v>
      </c>
    </row>
    <row r="253" spans="1:55" ht="15">
      <c r="A253" s="431">
        <v>247</v>
      </c>
      <c r="B253" s="431">
        <v>220</v>
      </c>
      <c r="C253" t="s">
        <v>546</v>
      </c>
      <c r="D253" t="s">
        <v>998</v>
      </c>
      <c r="E253" s="381">
        <v>0</v>
      </c>
      <c r="F253" s="372">
        <v>41358.251470310643</v>
      </c>
      <c r="G253" s="377">
        <v>228172.61822816703</v>
      </c>
      <c r="H253" s="590">
        <v>-215550.71315300046</v>
      </c>
      <c r="I253" s="358">
        <f t="shared" si="36"/>
        <v>53980.156545477221</v>
      </c>
      <c r="K253" s="66">
        <f t="shared" si="34"/>
        <v>0</v>
      </c>
      <c r="L253" s="66"/>
      <c r="M253" s="431">
        <v>247</v>
      </c>
      <c r="N253" s="431">
        <v>220</v>
      </c>
      <c r="O253" s="443" t="s">
        <v>546</v>
      </c>
      <c r="P253" s="443" t="s">
        <v>998</v>
      </c>
      <c r="Q253" s="203">
        <v>-215550.71315300046</v>
      </c>
      <c r="R253" s="457" t="s">
        <v>2509</v>
      </c>
      <c r="S253" s="253"/>
      <c r="T253" s="159">
        <v>245</v>
      </c>
      <c r="U253" t="s">
        <v>546</v>
      </c>
      <c r="V253" t="s">
        <v>998</v>
      </c>
      <c r="W253" s="381">
        <v>-151529.82</v>
      </c>
      <c r="X253" s="372">
        <v>133825.9191186979</v>
      </c>
      <c r="Y253" s="377">
        <v>59062.152351612749</v>
      </c>
      <c r="Z253" s="378">
        <v>228172.61822816703</v>
      </c>
      <c r="AA253" s="358">
        <f t="shared" si="37"/>
        <v>269530.86969847768</v>
      </c>
      <c r="AE253" s="159">
        <f t="shared" si="38"/>
        <v>0</v>
      </c>
      <c r="AG253" s="471" t="s">
        <v>546</v>
      </c>
      <c r="AH253" s="467" t="s">
        <v>998</v>
      </c>
      <c r="AI253" s="495">
        <v>-151529.82</v>
      </c>
      <c r="AJ253" s="480">
        <v>133825.9191186979</v>
      </c>
      <c r="AK253" s="481">
        <v>59062.152351612749</v>
      </c>
      <c r="AL253" s="477">
        <v>228172.61822816703</v>
      </c>
      <c r="AM253" s="478">
        <v>269530.86969847768</v>
      </c>
      <c r="AN253" s="483">
        <f>+AI253+AJ253+AK253</f>
        <v>41358.251470310643</v>
      </c>
      <c r="AO253" s="467"/>
      <c r="AP253" s="479">
        <f t="shared" si="39"/>
        <v>421060.68969847768</v>
      </c>
      <c r="AQ253" s="467"/>
      <c r="AR253" s="467"/>
      <c r="AS253" s="512">
        <v>0</v>
      </c>
      <c r="AT253" s="481">
        <v>41358.251470310643</v>
      </c>
      <c r="AU253" s="477">
        <v>228172.61822816703</v>
      </c>
      <c r="AV253" s="494">
        <f t="shared" si="41"/>
        <v>269530.86969847768</v>
      </c>
      <c r="AW253" s="513">
        <f>+AV253-AM253</f>
        <v>0</v>
      </c>
      <c r="AX253" s="468"/>
      <c r="AY253" s="589">
        <v>-215550.71315300046</v>
      </c>
      <c r="AZ253" s="510">
        <f t="shared" si="43"/>
        <v>53980.156545477221</v>
      </c>
      <c r="BA253" s="511">
        <f t="shared" si="44"/>
        <v>0</v>
      </c>
      <c r="BB253" s="460"/>
      <c r="BC253" s="464">
        <f t="shared" si="35"/>
        <v>0</v>
      </c>
    </row>
    <row r="254" spans="1:55" ht="15">
      <c r="A254" s="431">
        <v>248</v>
      </c>
      <c r="B254" s="431">
        <v>318</v>
      </c>
      <c r="C254" t="s">
        <v>718</v>
      </c>
      <c r="D254" t="s">
        <v>1071</v>
      </c>
      <c r="E254" s="381">
        <v>477952.61122999963</v>
      </c>
      <c r="F254" s="372">
        <v>65592.166261999635</v>
      </c>
      <c r="G254" s="377">
        <v>108108.66157000029</v>
      </c>
      <c r="H254" s="590">
        <v>206979.82237199973</v>
      </c>
      <c r="I254" s="358">
        <f t="shared" si="36"/>
        <v>858633.26143399929</v>
      </c>
      <c r="K254" s="66">
        <f t="shared" si="34"/>
        <v>0</v>
      </c>
      <c r="L254" s="66"/>
      <c r="M254" s="431">
        <v>248</v>
      </c>
      <c r="N254" s="431">
        <v>318</v>
      </c>
      <c r="O254" s="443" t="s">
        <v>718</v>
      </c>
      <c r="P254" s="443" t="s">
        <v>1071</v>
      </c>
      <c r="Q254" s="203">
        <v>206979.82237199973</v>
      </c>
      <c r="R254" s="457" t="s">
        <v>2509</v>
      </c>
      <c r="S254" s="253"/>
      <c r="T254" s="159">
        <v>246</v>
      </c>
      <c r="U254" t="s">
        <v>718</v>
      </c>
      <c r="V254" t="s">
        <v>1071</v>
      </c>
      <c r="W254" s="381">
        <v>329844.73999999935</v>
      </c>
      <c r="X254" s="372">
        <v>148107.87123000028</v>
      </c>
      <c r="Y254" s="377">
        <v>65592.166261999635</v>
      </c>
      <c r="Z254" s="378">
        <v>108108.66157000029</v>
      </c>
      <c r="AA254" s="358">
        <f t="shared" si="37"/>
        <v>651653.43906199955</v>
      </c>
      <c r="AE254" s="159">
        <f t="shared" si="38"/>
        <v>0</v>
      </c>
      <c r="AG254" s="471" t="s">
        <v>718</v>
      </c>
      <c r="AH254" s="467" t="s">
        <v>1071</v>
      </c>
      <c r="AI254" s="486">
        <v>329844.73999999935</v>
      </c>
      <c r="AJ254" s="475">
        <v>148107.87123000028</v>
      </c>
      <c r="AK254" s="476">
        <v>65592.166261999635</v>
      </c>
      <c r="AL254" s="477">
        <v>108108.66157000029</v>
      </c>
      <c r="AM254" s="478">
        <v>651653.43906199955</v>
      </c>
      <c r="AN254" s="478"/>
      <c r="AO254" s="467"/>
      <c r="AP254" s="479">
        <f t="shared" si="39"/>
        <v>321808.6990620002</v>
      </c>
      <c r="AQ254" s="467"/>
      <c r="AR254" s="467"/>
      <c r="AS254" s="512">
        <f>+AI254+AJ254</f>
        <v>477952.61122999963</v>
      </c>
      <c r="AT254" s="476">
        <v>65592.166261999635</v>
      </c>
      <c r="AU254" s="477">
        <v>108108.66157000029</v>
      </c>
      <c r="AV254" s="494">
        <f t="shared" si="41"/>
        <v>651653.43906199955</v>
      </c>
      <c r="AW254" s="513">
        <f>+AV254-AM254</f>
        <v>0</v>
      </c>
      <c r="AX254" s="468"/>
      <c r="AY254" s="589">
        <v>206979.82237199973</v>
      </c>
      <c r="AZ254" s="510">
        <f t="shared" si="43"/>
        <v>858633.26143399929</v>
      </c>
      <c r="BA254" s="511">
        <f t="shared" si="44"/>
        <v>0</v>
      </c>
      <c r="BB254" s="460"/>
      <c r="BC254" s="464">
        <f t="shared" si="35"/>
        <v>0</v>
      </c>
    </row>
    <row r="255" spans="1:55" ht="15">
      <c r="A255" s="431">
        <v>249</v>
      </c>
      <c r="B255" s="431">
        <v>195</v>
      </c>
      <c r="C255" t="s">
        <v>503</v>
      </c>
      <c r="D255" t="s">
        <v>981</v>
      </c>
      <c r="E255" s="381">
        <v>-98379.251505000051</v>
      </c>
      <c r="F255" s="372">
        <v>-92117.626439999993</v>
      </c>
      <c r="G255" s="377">
        <v>-95225.18925499999</v>
      </c>
      <c r="H255" s="590">
        <v>-118048.57708799996</v>
      </c>
      <c r="I255" s="358">
        <f t="shared" si="36"/>
        <v>-403770.64428800001</v>
      </c>
      <c r="K255" s="66">
        <f t="shared" si="34"/>
        <v>0</v>
      </c>
      <c r="L255" s="66"/>
      <c r="M255" s="431">
        <v>249</v>
      </c>
      <c r="N255" s="431">
        <v>195</v>
      </c>
      <c r="O255" s="443" t="s">
        <v>503</v>
      </c>
      <c r="P255" s="443" t="s">
        <v>981</v>
      </c>
      <c r="Q255" s="203">
        <v>-118048.57708799996</v>
      </c>
      <c r="R255" s="457" t="s">
        <v>2509</v>
      </c>
      <c r="S255" s="253"/>
      <c r="T255" s="159">
        <v>247</v>
      </c>
      <c r="U255" t="s">
        <v>503</v>
      </c>
      <c r="V255" t="s">
        <v>981</v>
      </c>
      <c r="W255" s="381">
        <v>-100718.52</v>
      </c>
      <c r="X255" s="372">
        <v>-98379.251505000051</v>
      </c>
      <c r="Y255" s="377">
        <v>-92117.626439999993</v>
      </c>
      <c r="Z255" s="378">
        <v>-95225.18925499999</v>
      </c>
      <c r="AA255" s="358">
        <f t="shared" si="37"/>
        <v>-386440.58720000007</v>
      </c>
      <c r="AE255" s="159">
        <f t="shared" si="38"/>
        <v>0</v>
      </c>
      <c r="AG255" s="471" t="s">
        <v>503</v>
      </c>
      <c r="AH255" s="467" t="s">
        <v>981</v>
      </c>
      <c r="AI255" s="486">
        <v>-100718.52</v>
      </c>
      <c r="AJ255" s="475">
        <v>-98379.251505000051</v>
      </c>
      <c r="AK255" s="476">
        <v>-92117.626439999993</v>
      </c>
      <c r="AL255" s="477">
        <v>-95225.18925499999</v>
      </c>
      <c r="AM255" s="478">
        <v>-386440.58720000007</v>
      </c>
      <c r="AN255" s="478"/>
      <c r="AO255" s="467"/>
      <c r="AP255" s="479">
        <f t="shared" si="39"/>
        <v>-285722.06720000005</v>
      </c>
      <c r="AQ255" s="467"/>
      <c r="AR255" s="467"/>
      <c r="AS255" s="509">
        <f t="shared" si="40"/>
        <v>-98379.251505000051</v>
      </c>
      <c r="AT255" s="476">
        <v>-92117.626439999993</v>
      </c>
      <c r="AU255" s="477">
        <v>-95225.18925499999</v>
      </c>
      <c r="AV255" s="494">
        <f t="shared" si="41"/>
        <v>-285722.06720000005</v>
      </c>
      <c r="AW255" s="494">
        <f t="shared" si="42"/>
        <v>0</v>
      </c>
      <c r="AX255" s="468"/>
      <c r="AY255" s="589">
        <v>-118048.57708799996</v>
      </c>
      <c r="AZ255" s="510">
        <f t="shared" si="43"/>
        <v>-403770.64428800001</v>
      </c>
      <c r="BA255" s="511">
        <f t="shared" si="44"/>
        <v>0</v>
      </c>
      <c r="BB255" s="460"/>
      <c r="BC255" s="464">
        <f t="shared" si="35"/>
        <v>0</v>
      </c>
    </row>
    <row r="256" spans="1:55" ht="15">
      <c r="A256" s="431">
        <v>250</v>
      </c>
      <c r="B256" s="431">
        <v>25</v>
      </c>
      <c r="C256" t="s">
        <v>207</v>
      </c>
      <c r="D256" t="s">
        <v>846</v>
      </c>
      <c r="E256" s="381">
        <v>15252.501104999974</v>
      </c>
      <c r="F256" s="372">
        <v>142670.24432800012</v>
      </c>
      <c r="G256" s="377">
        <v>-216440.45271000022</v>
      </c>
      <c r="H256" s="590">
        <v>-218526.85040700005</v>
      </c>
      <c r="I256" s="358">
        <f t="shared" si="36"/>
        <v>-277044.55768400017</v>
      </c>
      <c r="K256" s="66">
        <f t="shared" si="34"/>
        <v>0</v>
      </c>
      <c r="L256" s="66"/>
      <c r="M256" s="431">
        <v>250</v>
      </c>
      <c r="N256" s="431">
        <v>25</v>
      </c>
      <c r="O256" s="443" t="s">
        <v>207</v>
      </c>
      <c r="P256" s="443" t="s">
        <v>846</v>
      </c>
      <c r="Q256" s="203">
        <v>-218526.85040700005</v>
      </c>
      <c r="R256" s="457" t="s">
        <v>2509</v>
      </c>
      <c r="S256" s="253"/>
      <c r="T256" s="159">
        <v>248</v>
      </c>
      <c r="U256" t="s">
        <v>207</v>
      </c>
      <c r="V256" t="s">
        <v>846</v>
      </c>
      <c r="W256" s="381">
        <v>-15736.5</v>
      </c>
      <c r="X256" s="372">
        <v>30989.001104999974</v>
      </c>
      <c r="Y256" s="377">
        <v>142670.24432800012</v>
      </c>
      <c r="Z256" s="378">
        <v>-216440.45271000022</v>
      </c>
      <c r="AA256" s="358">
        <f t="shared" si="37"/>
        <v>-58517.707277000125</v>
      </c>
      <c r="AE256" s="159">
        <f t="shared" si="38"/>
        <v>0</v>
      </c>
      <c r="AG256" s="471" t="s">
        <v>207</v>
      </c>
      <c r="AH256" s="467" t="s">
        <v>846</v>
      </c>
      <c r="AI256" s="495">
        <v>-15736.5</v>
      </c>
      <c r="AJ256" s="480">
        <v>30989.001104999974</v>
      </c>
      <c r="AK256" s="476">
        <v>142670.24432800012</v>
      </c>
      <c r="AL256" s="477">
        <v>-216440.45271000022</v>
      </c>
      <c r="AM256" s="478">
        <v>-58517.707277000125</v>
      </c>
      <c r="AN256" s="478"/>
      <c r="AO256" s="467"/>
      <c r="AP256" s="479">
        <f t="shared" si="39"/>
        <v>-42781.207277000125</v>
      </c>
      <c r="AQ256" s="467"/>
      <c r="AR256" s="467"/>
      <c r="AS256" s="512">
        <f>+AI256+AJ256</f>
        <v>15252.501104999974</v>
      </c>
      <c r="AT256" s="476">
        <v>142670.24432800012</v>
      </c>
      <c r="AU256" s="477">
        <v>-216440.45271000022</v>
      </c>
      <c r="AV256" s="494">
        <f t="shared" si="41"/>
        <v>-58517.707277000125</v>
      </c>
      <c r="AW256" s="513">
        <f>+AV256-AM256</f>
        <v>0</v>
      </c>
      <c r="AX256" s="468"/>
      <c r="AY256" s="589">
        <v>-218526.85040700005</v>
      </c>
      <c r="AZ256" s="510">
        <f t="shared" si="43"/>
        <v>-277044.55768400017</v>
      </c>
      <c r="BA256" s="511">
        <f t="shared" si="44"/>
        <v>0</v>
      </c>
      <c r="BB256" s="460"/>
      <c r="BC256" s="464">
        <f t="shared" si="35"/>
        <v>0</v>
      </c>
    </row>
    <row r="257" spans="1:55" ht="15">
      <c r="A257" s="431">
        <v>251</v>
      </c>
      <c r="B257" s="431">
        <v>214</v>
      </c>
      <c r="C257" s="347" t="s">
        <v>535</v>
      </c>
      <c r="D257" s="348" t="s">
        <v>536</v>
      </c>
      <c r="E257" s="380">
        <v>0</v>
      </c>
      <c r="F257" s="371"/>
      <c r="G257" s="377"/>
      <c r="H257" s="590">
        <v>0</v>
      </c>
      <c r="I257" s="358">
        <f t="shared" si="36"/>
        <v>0</v>
      </c>
      <c r="K257" s="66">
        <f t="shared" si="34"/>
        <v>0</v>
      </c>
      <c r="L257" s="66"/>
      <c r="M257" s="431">
        <v>251</v>
      </c>
      <c r="N257" s="431">
        <v>214</v>
      </c>
      <c r="O257" s="447" t="s">
        <v>535</v>
      </c>
      <c r="P257" s="448" t="s">
        <v>2504</v>
      </c>
      <c r="Q257" s="203">
        <v>0</v>
      </c>
      <c r="R257" s="457" t="s">
        <v>2509</v>
      </c>
      <c r="S257" s="253"/>
      <c r="T257" s="159">
        <v>249</v>
      </c>
      <c r="U257" s="347" t="s">
        <v>535</v>
      </c>
      <c r="V257" s="348" t="s">
        <v>536</v>
      </c>
      <c r="W257" s="380">
        <v>0</v>
      </c>
      <c r="X257" s="371"/>
      <c r="Y257" s="377"/>
      <c r="Z257" s="378"/>
      <c r="AA257" s="358">
        <f t="shared" si="37"/>
        <v>0</v>
      </c>
      <c r="AE257" s="159">
        <f t="shared" si="38"/>
        <v>0</v>
      </c>
      <c r="AG257" s="471" t="s">
        <v>535</v>
      </c>
      <c r="AH257" s="467" t="s">
        <v>536</v>
      </c>
      <c r="AI257" s="484">
        <v>0</v>
      </c>
      <c r="AJ257" s="485"/>
      <c r="AK257" s="476"/>
      <c r="AL257" s="477"/>
      <c r="AM257" s="478">
        <v>0</v>
      </c>
      <c r="AN257" s="478"/>
      <c r="AO257" s="467"/>
      <c r="AP257" s="479">
        <f t="shared" si="39"/>
        <v>0</v>
      </c>
      <c r="AQ257" s="467"/>
      <c r="AR257" s="467"/>
      <c r="AS257" s="509">
        <f t="shared" si="40"/>
        <v>0</v>
      </c>
      <c r="AT257" s="476"/>
      <c r="AU257" s="477"/>
      <c r="AV257" s="494">
        <f t="shared" si="41"/>
        <v>0</v>
      </c>
      <c r="AW257" s="494">
        <f t="shared" si="42"/>
        <v>0</v>
      </c>
      <c r="AX257" s="468"/>
      <c r="AY257" s="589">
        <v>0</v>
      </c>
      <c r="AZ257" s="510">
        <f t="shared" si="43"/>
        <v>0</v>
      </c>
      <c r="BA257" s="511">
        <f t="shared" si="44"/>
        <v>0</v>
      </c>
      <c r="BB257" s="460"/>
      <c r="BC257" s="464">
        <f t="shared" si="35"/>
        <v>0</v>
      </c>
    </row>
    <row r="258" spans="1:55" ht="15">
      <c r="A258" s="431">
        <v>252</v>
      </c>
      <c r="B258" s="431">
        <v>173</v>
      </c>
      <c r="C258" t="s">
        <v>462</v>
      </c>
      <c r="D258" t="s">
        <v>960</v>
      </c>
      <c r="E258" s="372">
        <v>396680.43309817603</v>
      </c>
      <c r="F258" s="372">
        <v>688758.06454539881</v>
      </c>
      <c r="G258" s="377">
        <v>310829.49709983252</v>
      </c>
      <c r="H258" s="590">
        <v>130834.10921600088</v>
      </c>
      <c r="I258" s="358">
        <f t="shared" si="36"/>
        <v>1527102.1039594081</v>
      </c>
      <c r="K258" s="66">
        <f t="shared" si="34"/>
        <v>0</v>
      </c>
      <c r="L258" s="66"/>
      <c r="M258" s="431">
        <v>252</v>
      </c>
      <c r="N258" s="431">
        <v>173</v>
      </c>
      <c r="O258" s="443" t="s">
        <v>462</v>
      </c>
      <c r="P258" s="443" t="s">
        <v>960</v>
      </c>
      <c r="Q258" s="203">
        <v>130834.10921600088</v>
      </c>
      <c r="R258" s="457" t="s">
        <v>2509</v>
      </c>
      <c r="S258" s="253"/>
      <c r="T258" s="159">
        <v>250</v>
      </c>
      <c r="U258" t="s">
        <v>462</v>
      </c>
      <c r="V258" t="s">
        <v>960</v>
      </c>
      <c r="W258" s="372">
        <v>515849.70000000164</v>
      </c>
      <c r="X258" s="372">
        <v>-119169.26690182563</v>
      </c>
      <c r="Y258" s="377">
        <v>688758.06454539881</v>
      </c>
      <c r="Z258" s="378">
        <v>310829.49709983252</v>
      </c>
      <c r="AA258" s="358">
        <f t="shared" si="37"/>
        <v>1396267.9947434072</v>
      </c>
      <c r="AE258" s="159">
        <f t="shared" si="38"/>
        <v>0</v>
      </c>
      <c r="AG258" s="471" t="s">
        <v>462</v>
      </c>
      <c r="AH258" s="467" t="s">
        <v>960</v>
      </c>
      <c r="AI258" s="480">
        <v>515849.70000000164</v>
      </c>
      <c r="AJ258" s="480">
        <v>-119169.26690182563</v>
      </c>
      <c r="AK258" s="476">
        <v>688758.06454539881</v>
      </c>
      <c r="AL258" s="477">
        <v>310829.49709983252</v>
      </c>
      <c r="AM258" s="478">
        <v>1396267.9947434072</v>
      </c>
      <c r="AN258" s="478"/>
      <c r="AO258" s="467"/>
      <c r="AP258" s="479">
        <f t="shared" si="39"/>
        <v>880418.29474340566</v>
      </c>
      <c r="AQ258" s="467"/>
      <c r="AR258" s="467"/>
      <c r="AS258" s="512">
        <f>+AI258+AJ258</f>
        <v>396680.43309817603</v>
      </c>
      <c r="AT258" s="476">
        <v>688758.06454539881</v>
      </c>
      <c r="AU258" s="477">
        <v>310829.49709983252</v>
      </c>
      <c r="AV258" s="494">
        <f t="shared" si="41"/>
        <v>1396267.9947434072</v>
      </c>
      <c r="AW258" s="513">
        <f>+AV258-AM258</f>
        <v>0</v>
      </c>
      <c r="AX258" s="468"/>
      <c r="AY258" s="589">
        <v>130834.10921600088</v>
      </c>
      <c r="AZ258" s="510">
        <f t="shared" si="43"/>
        <v>1527102.1039594081</v>
      </c>
      <c r="BA258" s="511">
        <f t="shared" si="44"/>
        <v>0</v>
      </c>
      <c r="BB258" s="460"/>
      <c r="BC258" s="464">
        <f t="shared" si="35"/>
        <v>0</v>
      </c>
    </row>
    <row r="259" spans="1:55" ht="15">
      <c r="A259" s="431">
        <v>253</v>
      </c>
      <c r="B259" s="431">
        <v>112</v>
      </c>
      <c r="C259" t="s">
        <v>366</v>
      </c>
      <c r="D259" t="s">
        <v>921</v>
      </c>
      <c r="E259" s="372">
        <v>0</v>
      </c>
      <c r="F259" s="372">
        <v>0</v>
      </c>
      <c r="G259" s="377">
        <v>0</v>
      </c>
      <c r="H259" s="590">
        <v>-439495.66410799976</v>
      </c>
      <c r="I259" s="358">
        <f t="shared" si="36"/>
        <v>-439495.66410799976</v>
      </c>
      <c r="K259" s="66">
        <f t="shared" si="34"/>
        <v>0</v>
      </c>
      <c r="L259" s="66"/>
      <c r="M259" s="431">
        <v>253</v>
      </c>
      <c r="N259" s="431">
        <v>112</v>
      </c>
      <c r="O259" s="443" t="s">
        <v>366</v>
      </c>
      <c r="P259" s="443" t="s">
        <v>921</v>
      </c>
      <c r="Q259" s="203">
        <v>-439495.66410799976</v>
      </c>
      <c r="R259" s="457" t="s">
        <v>2509</v>
      </c>
      <c r="S259" s="253"/>
      <c r="T259" s="159">
        <v>251</v>
      </c>
      <c r="U259" t="s">
        <v>366</v>
      </c>
      <c r="V259" t="s">
        <v>921</v>
      </c>
      <c r="W259" s="372">
        <v>-647491.83999999997</v>
      </c>
      <c r="X259" s="372">
        <v>77064.489171666792</v>
      </c>
      <c r="Y259" s="377">
        <v>273920.58455105126</v>
      </c>
      <c r="Z259" s="378">
        <v>22178.091608894814</v>
      </c>
      <c r="AA259" s="358">
        <f t="shared" si="37"/>
        <v>-274328.6746683871</v>
      </c>
      <c r="AE259" s="159">
        <f t="shared" si="38"/>
        <v>0</v>
      </c>
      <c r="AG259" s="471" t="s">
        <v>366</v>
      </c>
      <c r="AH259" s="467" t="s">
        <v>921</v>
      </c>
      <c r="AI259" s="480">
        <v>-647491.83999999997</v>
      </c>
      <c r="AJ259" s="480">
        <v>77064.489171666792</v>
      </c>
      <c r="AK259" s="481">
        <v>273920.58455105126</v>
      </c>
      <c r="AL259" s="482">
        <v>22178.091608894814</v>
      </c>
      <c r="AM259" s="478">
        <v>-274328.6746683871</v>
      </c>
      <c r="AN259" s="483">
        <v>0</v>
      </c>
      <c r="AO259" s="467"/>
      <c r="AP259" s="479">
        <f t="shared" si="39"/>
        <v>373163.16533161286</v>
      </c>
      <c r="AQ259" s="467"/>
      <c r="AR259" s="467"/>
      <c r="AS259" s="512">
        <v>0</v>
      </c>
      <c r="AT259" s="481">
        <v>0</v>
      </c>
      <c r="AU259" s="482">
        <v>0</v>
      </c>
      <c r="AV259" s="494">
        <f t="shared" si="41"/>
        <v>0</v>
      </c>
      <c r="AW259" s="494">
        <f t="shared" si="42"/>
        <v>-373163.16533161286</v>
      </c>
      <c r="AX259" s="468"/>
      <c r="AY259" s="589">
        <v>-439495.66410799976</v>
      </c>
      <c r="AZ259" s="510">
        <f t="shared" si="43"/>
        <v>-439495.66410799976</v>
      </c>
      <c r="BA259" s="511">
        <f t="shared" si="44"/>
        <v>0</v>
      </c>
      <c r="BB259" s="460"/>
      <c r="BC259" s="464">
        <f t="shared" si="35"/>
        <v>0</v>
      </c>
    </row>
    <row r="260" spans="1:55" ht="15">
      <c r="A260" s="431">
        <v>254</v>
      </c>
      <c r="B260" s="431">
        <v>226</v>
      </c>
      <c r="C260" t="s">
        <v>556</v>
      </c>
      <c r="D260" t="s">
        <v>1002</v>
      </c>
      <c r="E260" s="372">
        <v>-55487.455696000005</v>
      </c>
      <c r="F260" s="372">
        <v>-51014.796050000012</v>
      </c>
      <c r="G260" s="377">
        <v>-78278.155970000022</v>
      </c>
      <c r="H260" s="590">
        <v>-71773.424785999989</v>
      </c>
      <c r="I260" s="358">
        <f t="shared" si="36"/>
        <v>-256553.83250200003</v>
      </c>
      <c r="K260" s="66">
        <f t="shared" si="34"/>
        <v>0</v>
      </c>
      <c r="L260" s="66"/>
      <c r="M260" s="431">
        <v>254</v>
      </c>
      <c r="N260" s="431">
        <v>226</v>
      </c>
      <c r="O260" s="443" t="s">
        <v>556</v>
      </c>
      <c r="P260" s="443" t="s">
        <v>1002</v>
      </c>
      <c r="Q260" s="203">
        <v>-71773.424785999989</v>
      </c>
      <c r="R260" s="457" t="s">
        <v>2509</v>
      </c>
      <c r="S260" s="253"/>
      <c r="T260" s="159">
        <v>252</v>
      </c>
      <c r="U260" t="s">
        <v>556</v>
      </c>
      <c r="V260" t="s">
        <v>1002</v>
      </c>
      <c r="W260" s="372">
        <v>-61298.96</v>
      </c>
      <c r="X260" s="372">
        <v>-55487.455696000005</v>
      </c>
      <c r="Y260" s="377">
        <v>-51014.796050000012</v>
      </c>
      <c r="Z260" s="378">
        <v>-78278.155970000022</v>
      </c>
      <c r="AA260" s="358">
        <f t="shared" si="37"/>
        <v>-246079.36771600004</v>
      </c>
      <c r="AE260" s="159">
        <f t="shared" si="38"/>
        <v>0</v>
      </c>
      <c r="AG260" s="471" t="s">
        <v>556</v>
      </c>
      <c r="AH260" s="467" t="s">
        <v>1002</v>
      </c>
      <c r="AI260" s="475">
        <v>-61298.96</v>
      </c>
      <c r="AJ260" s="475">
        <v>-55487.455696000005</v>
      </c>
      <c r="AK260" s="476">
        <v>-51014.796050000012</v>
      </c>
      <c r="AL260" s="477">
        <v>-78278.155970000022</v>
      </c>
      <c r="AM260" s="478">
        <v>-246079.36771600004</v>
      </c>
      <c r="AN260" s="478"/>
      <c r="AO260" s="467"/>
      <c r="AP260" s="479">
        <f t="shared" si="39"/>
        <v>-184780.40771600005</v>
      </c>
      <c r="AQ260" s="467"/>
      <c r="AR260" s="467"/>
      <c r="AS260" s="509">
        <f t="shared" si="40"/>
        <v>-55487.455696000005</v>
      </c>
      <c r="AT260" s="476">
        <v>-51014.796050000012</v>
      </c>
      <c r="AU260" s="477">
        <v>-78278.155970000022</v>
      </c>
      <c r="AV260" s="494">
        <f t="shared" si="41"/>
        <v>-184780.40771600005</v>
      </c>
      <c r="AW260" s="494">
        <f t="shared" si="42"/>
        <v>0</v>
      </c>
      <c r="AX260" s="468"/>
      <c r="AY260" s="589">
        <v>-71773.424785999989</v>
      </c>
      <c r="AZ260" s="510">
        <f t="shared" si="43"/>
        <v>-256553.83250200003</v>
      </c>
      <c r="BA260" s="511">
        <f t="shared" si="44"/>
        <v>0</v>
      </c>
      <c r="BB260" s="460"/>
      <c r="BC260" s="464">
        <f t="shared" si="35"/>
        <v>0</v>
      </c>
    </row>
    <row r="261" spans="1:55" ht="15">
      <c r="A261" s="431">
        <v>255</v>
      </c>
      <c r="B261" s="431">
        <v>104</v>
      </c>
      <c r="C261" t="s">
        <v>352</v>
      </c>
      <c r="D261" t="s">
        <v>913</v>
      </c>
      <c r="E261" s="372">
        <v>-52354.519844000002</v>
      </c>
      <c r="F261" s="372">
        <v>-72404.951320000007</v>
      </c>
      <c r="G261" s="377">
        <v>-73162.914210000003</v>
      </c>
      <c r="H261" s="590">
        <v>-73365.013267000002</v>
      </c>
      <c r="I261" s="358">
        <f t="shared" si="36"/>
        <v>-271287.39864100004</v>
      </c>
      <c r="K261" s="66">
        <f t="shared" ref="K261:K324" si="45">+O261-C261</f>
        <v>0</v>
      </c>
      <c r="L261" s="66"/>
      <c r="M261" s="431">
        <v>255</v>
      </c>
      <c r="N261" s="431">
        <v>104</v>
      </c>
      <c r="O261" s="443" t="s">
        <v>352</v>
      </c>
      <c r="P261" s="443" t="s">
        <v>913</v>
      </c>
      <c r="Q261" s="203">
        <v>-73365.013267000002</v>
      </c>
      <c r="R261" s="457" t="s">
        <v>2509</v>
      </c>
      <c r="S261" s="253"/>
      <c r="T261" s="159">
        <v>253</v>
      </c>
      <c r="U261" t="s">
        <v>352</v>
      </c>
      <c r="V261" t="s">
        <v>913</v>
      </c>
      <c r="W261" s="372">
        <v>-73954.37</v>
      </c>
      <c r="X261" s="372">
        <v>-52354.519844000002</v>
      </c>
      <c r="Y261" s="377">
        <v>-72404.951320000007</v>
      </c>
      <c r="Z261" s="378">
        <v>-73162.914210000003</v>
      </c>
      <c r="AA261" s="358">
        <f t="shared" si="37"/>
        <v>-271876.755374</v>
      </c>
      <c r="AE261" s="159">
        <f t="shared" si="38"/>
        <v>0</v>
      </c>
      <c r="AG261" s="471" t="s">
        <v>352</v>
      </c>
      <c r="AH261" s="467" t="s">
        <v>913</v>
      </c>
      <c r="AI261" s="475">
        <v>-73954.37</v>
      </c>
      <c r="AJ261" s="475">
        <v>-52354.519844000002</v>
      </c>
      <c r="AK261" s="476">
        <v>-72404.951320000007</v>
      </c>
      <c r="AL261" s="477">
        <v>-73162.914210000003</v>
      </c>
      <c r="AM261" s="478">
        <v>-271876.755374</v>
      </c>
      <c r="AN261" s="478"/>
      <c r="AO261" s="467"/>
      <c r="AP261" s="479">
        <f t="shared" si="39"/>
        <v>-197922.385374</v>
      </c>
      <c r="AQ261" s="467"/>
      <c r="AR261" s="467"/>
      <c r="AS261" s="509">
        <f t="shared" si="40"/>
        <v>-52354.519844000002</v>
      </c>
      <c r="AT261" s="476">
        <v>-72404.951320000007</v>
      </c>
      <c r="AU261" s="477">
        <v>-73162.914210000003</v>
      </c>
      <c r="AV261" s="494">
        <f t="shared" si="41"/>
        <v>-197922.385374</v>
      </c>
      <c r="AW261" s="494">
        <f t="shared" si="42"/>
        <v>0</v>
      </c>
      <c r="AX261" s="468"/>
      <c r="AY261" s="589">
        <v>-73365.013267000002</v>
      </c>
      <c r="AZ261" s="510">
        <f t="shared" si="43"/>
        <v>-271287.39864100004</v>
      </c>
      <c r="BA261" s="511">
        <f t="shared" si="44"/>
        <v>0</v>
      </c>
      <c r="BB261" s="460"/>
      <c r="BC261" s="464">
        <f t="shared" si="35"/>
        <v>0</v>
      </c>
    </row>
    <row r="262" spans="1:55" ht="15">
      <c r="A262" s="610">
        <v>256</v>
      </c>
      <c r="B262" s="610">
        <v>238</v>
      </c>
      <c r="C262" s="611" t="s">
        <v>580</v>
      </c>
      <c r="D262" s="611" t="s">
        <v>1012</v>
      </c>
      <c r="E262" s="372">
        <v>0</v>
      </c>
      <c r="F262" s="372">
        <v>360103.86702500028</v>
      </c>
      <c r="G262" s="377">
        <v>140460.94030169991</v>
      </c>
      <c r="H262" s="615">
        <v>-83933.474256000482</v>
      </c>
      <c r="I262" s="358">
        <f t="shared" si="36"/>
        <v>416631.33307069971</v>
      </c>
      <c r="K262" s="66">
        <f t="shared" si="45"/>
        <v>0</v>
      </c>
      <c r="L262" s="66"/>
      <c r="M262" s="431">
        <v>256</v>
      </c>
      <c r="N262" s="431">
        <v>238</v>
      </c>
      <c r="O262" s="443" t="s">
        <v>580</v>
      </c>
      <c r="P262" s="443" t="s">
        <v>1012</v>
      </c>
      <c r="Q262" s="56">
        <v>-83933.474256000482</v>
      </c>
      <c r="R262" s="457" t="s">
        <v>2509</v>
      </c>
      <c r="S262" s="253"/>
      <c r="T262" s="159">
        <v>254</v>
      </c>
      <c r="U262" t="s">
        <v>580</v>
      </c>
      <c r="V262" t="s">
        <v>1012</v>
      </c>
      <c r="W262" s="372">
        <v>-35661.879999999997</v>
      </c>
      <c r="X262" s="372">
        <v>15723.009424999764</v>
      </c>
      <c r="Y262" s="377">
        <v>380042.73760000052</v>
      </c>
      <c r="Z262" s="378">
        <v>140460.94030169991</v>
      </c>
      <c r="AA262" s="358">
        <f t="shared" si="37"/>
        <v>500564.80732670019</v>
      </c>
      <c r="AE262" s="159">
        <f t="shared" si="38"/>
        <v>0</v>
      </c>
      <c r="AG262" s="471" t="s">
        <v>580</v>
      </c>
      <c r="AH262" s="467" t="s">
        <v>1012</v>
      </c>
      <c r="AI262" s="480">
        <v>-35661.879999999997</v>
      </c>
      <c r="AJ262" s="480">
        <v>15723.009424999764</v>
      </c>
      <c r="AK262" s="481">
        <v>380042.73760000052</v>
      </c>
      <c r="AL262" s="477">
        <v>140460.94030169991</v>
      </c>
      <c r="AM262" s="478">
        <v>500564.80732670019</v>
      </c>
      <c r="AN262" s="483">
        <f>+AI262+AJ262+AK262</f>
        <v>360103.86702500028</v>
      </c>
      <c r="AO262" s="467"/>
      <c r="AP262" s="479">
        <f t="shared" si="39"/>
        <v>536226.68732670019</v>
      </c>
      <c r="AQ262" s="467"/>
      <c r="AR262" s="467"/>
      <c r="AS262" s="512">
        <v>0</v>
      </c>
      <c r="AT262" s="481">
        <v>360103.86702500028</v>
      </c>
      <c r="AU262" s="477">
        <v>140460.94030169991</v>
      </c>
      <c r="AV262" s="494">
        <f t="shared" si="41"/>
        <v>500564.80732670019</v>
      </c>
      <c r="AW262" s="513">
        <f>+AV262-AM262</f>
        <v>0</v>
      </c>
      <c r="AX262" s="468"/>
      <c r="AY262" s="589">
        <v>-208906.28961600037</v>
      </c>
      <c r="AZ262" s="510">
        <f t="shared" si="43"/>
        <v>291658.51771069982</v>
      </c>
      <c r="BA262" s="511">
        <f t="shared" si="44"/>
        <v>-124972.81535999989</v>
      </c>
      <c r="BB262" s="460"/>
      <c r="BC262" s="464">
        <f t="shared" si="35"/>
        <v>0</v>
      </c>
    </row>
    <row r="263" spans="1:55" ht="15">
      <c r="A263" s="431">
        <v>257</v>
      </c>
      <c r="B263" s="431">
        <v>110</v>
      </c>
      <c r="C263" t="s">
        <v>363</v>
      </c>
      <c r="D263" t="s">
        <v>919</v>
      </c>
      <c r="E263" s="372">
        <v>-1052956.6755058398</v>
      </c>
      <c r="F263" s="372">
        <v>-529843.71187395277</v>
      </c>
      <c r="G263" s="377">
        <v>-781990.54889062885</v>
      </c>
      <c r="H263" s="590">
        <v>-748012.30641200067</v>
      </c>
      <c r="I263" s="358">
        <f t="shared" si="36"/>
        <v>-3112803.242682422</v>
      </c>
      <c r="K263" s="66">
        <f t="shared" si="45"/>
        <v>0</v>
      </c>
      <c r="L263" s="66"/>
      <c r="M263" s="431">
        <v>257</v>
      </c>
      <c r="N263" s="431">
        <v>110</v>
      </c>
      <c r="O263" s="443" t="s">
        <v>363</v>
      </c>
      <c r="P263" s="443" t="s">
        <v>919</v>
      </c>
      <c r="Q263" s="203">
        <v>-748012.30641200067</v>
      </c>
      <c r="R263" s="457" t="s">
        <v>2509</v>
      </c>
      <c r="S263" s="253"/>
      <c r="T263" s="159">
        <v>255</v>
      </c>
      <c r="U263" t="s">
        <v>363</v>
      </c>
      <c r="V263" t="s">
        <v>919</v>
      </c>
      <c r="W263" s="372">
        <v>-834016.95</v>
      </c>
      <c r="X263" s="372">
        <v>-1052956.6755058398</v>
      </c>
      <c r="Y263" s="377">
        <v>-529843.71187395277</v>
      </c>
      <c r="Z263" s="378">
        <v>-781990.54889062885</v>
      </c>
      <c r="AA263" s="358">
        <f t="shared" si="37"/>
        <v>-3198807.8862704216</v>
      </c>
      <c r="AE263" s="159">
        <f t="shared" si="38"/>
        <v>0</v>
      </c>
      <c r="AG263" s="471" t="s">
        <v>363</v>
      </c>
      <c r="AH263" s="467" t="s">
        <v>919</v>
      </c>
      <c r="AI263" s="475">
        <v>-834016.95</v>
      </c>
      <c r="AJ263" s="475">
        <v>-1052956.6755058398</v>
      </c>
      <c r="AK263" s="476">
        <v>-529843.71187395277</v>
      </c>
      <c r="AL263" s="477">
        <v>-781990.54889062885</v>
      </c>
      <c r="AM263" s="478">
        <v>-3198807.8862704216</v>
      </c>
      <c r="AN263" s="478"/>
      <c r="AO263" s="467"/>
      <c r="AP263" s="479">
        <f t="shared" si="39"/>
        <v>-2364790.9362704214</v>
      </c>
      <c r="AQ263" s="467"/>
      <c r="AR263" s="467"/>
      <c r="AS263" s="509">
        <f t="shared" si="40"/>
        <v>-1052956.6755058398</v>
      </c>
      <c r="AT263" s="476">
        <v>-529843.71187395277</v>
      </c>
      <c r="AU263" s="477">
        <v>-781990.54889062885</v>
      </c>
      <c r="AV263" s="494">
        <f t="shared" si="41"/>
        <v>-2364790.9362704214</v>
      </c>
      <c r="AW263" s="494">
        <f t="shared" si="42"/>
        <v>0</v>
      </c>
      <c r="AX263" s="468"/>
      <c r="AY263" s="589">
        <v>-748012.30641200067</v>
      </c>
      <c r="AZ263" s="510">
        <f t="shared" si="43"/>
        <v>-3112803.242682422</v>
      </c>
      <c r="BA263" s="511">
        <f t="shared" si="44"/>
        <v>0</v>
      </c>
      <c r="BB263" s="460"/>
      <c r="BC263" s="464">
        <f t="shared" ref="BC263:BC326" si="46">+O263-C263</f>
        <v>0</v>
      </c>
    </row>
    <row r="264" spans="1:55" ht="15">
      <c r="A264" s="431">
        <v>258</v>
      </c>
      <c r="B264" s="431">
        <v>70</v>
      </c>
      <c r="C264" t="s">
        <v>285</v>
      </c>
      <c r="D264" t="s">
        <v>881</v>
      </c>
      <c r="E264" s="372">
        <v>-75808.295680000025</v>
      </c>
      <c r="F264" s="372">
        <v>-64050.303435999958</v>
      </c>
      <c r="G264" s="377">
        <v>-99307.677473000047</v>
      </c>
      <c r="H264" s="590">
        <v>-95942.396399999969</v>
      </c>
      <c r="I264" s="358">
        <f t="shared" si="36"/>
        <v>-335108.67298899998</v>
      </c>
      <c r="K264" s="66">
        <f t="shared" si="45"/>
        <v>0</v>
      </c>
      <c r="L264" s="66"/>
      <c r="M264" s="431">
        <v>258</v>
      </c>
      <c r="N264" s="431">
        <v>70</v>
      </c>
      <c r="O264" s="443" t="s">
        <v>285</v>
      </c>
      <c r="P264" s="443" t="s">
        <v>881</v>
      </c>
      <c r="Q264" s="203">
        <v>-95942.396399999969</v>
      </c>
      <c r="R264" s="457" t="s">
        <v>2509</v>
      </c>
      <c r="S264" s="253"/>
      <c r="T264" s="159">
        <v>256</v>
      </c>
      <c r="U264" t="s">
        <v>285</v>
      </c>
      <c r="V264" t="s">
        <v>881</v>
      </c>
      <c r="W264" s="372">
        <v>-18779.59</v>
      </c>
      <c r="X264" s="372">
        <v>-75808.295680000025</v>
      </c>
      <c r="Y264" s="377">
        <v>-64050.303435999958</v>
      </c>
      <c r="Z264" s="378">
        <v>-99307.677473000047</v>
      </c>
      <c r="AA264" s="358">
        <f t="shared" si="37"/>
        <v>-257945.86658900001</v>
      </c>
      <c r="AE264" s="159">
        <f t="shared" si="38"/>
        <v>0</v>
      </c>
      <c r="AG264" s="471" t="s">
        <v>285</v>
      </c>
      <c r="AH264" s="467" t="s">
        <v>881</v>
      </c>
      <c r="AI264" s="475">
        <v>-18779.59</v>
      </c>
      <c r="AJ264" s="475">
        <v>-75808.295680000025</v>
      </c>
      <c r="AK264" s="476">
        <v>-64050.303435999958</v>
      </c>
      <c r="AL264" s="477">
        <v>-99307.677473000047</v>
      </c>
      <c r="AM264" s="478">
        <v>-257945.86658900001</v>
      </c>
      <c r="AN264" s="478"/>
      <c r="AO264" s="467"/>
      <c r="AP264" s="479">
        <f t="shared" si="39"/>
        <v>-239166.27658900004</v>
      </c>
      <c r="AQ264" s="467"/>
      <c r="AR264" s="467"/>
      <c r="AS264" s="509">
        <f t="shared" si="40"/>
        <v>-75808.295680000025</v>
      </c>
      <c r="AT264" s="476">
        <v>-64050.303435999958</v>
      </c>
      <c r="AU264" s="477">
        <v>-99307.677473000047</v>
      </c>
      <c r="AV264" s="494">
        <f t="shared" si="41"/>
        <v>-239166.27658900004</v>
      </c>
      <c r="AW264" s="494">
        <f t="shared" si="42"/>
        <v>0</v>
      </c>
      <c r="AX264" s="468"/>
      <c r="AY264" s="589">
        <v>-95942.396399999969</v>
      </c>
      <c r="AZ264" s="510">
        <f t="shared" si="43"/>
        <v>-335108.67298899998</v>
      </c>
      <c r="BA264" s="511">
        <f t="shared" si="44"/>
        <v>0</v>
      </c>
      <c r="BB264" s="460"/>
      <c r="BC264" s="464">
        <f t="shared" si="46"/>
        <v>0</v>
      </c>
    </row>
    <row r="265" spans="1:55" ht="15">
      <c r="A265" s="431">
        <v>259</v>
      </c>
      <c r="B265" s="431">
        <v>189</v>
      </c>
      <c r="C265" t="s">
        <v>492</v>
      </c>
      <c r="D265" t="s">
        <v>975</v>
      </c>
      <c r="E265" s="372">
        <v>0</v>
      </c>
      <c r="F265" s="372">
        <v>-28824.448685000069</v>
      </c>
      <c r="G265" s="377">
        <v>-44670.754329999982</v>
      </c>
      <c r="H265" s="590">
        <v>-16704.320981999917</v>
      </c>
      <c r="I265" s="358">
        <f t="shared" si="36"/>
        <v>-90199.523996999967</v>
      </c>
      <c r="K265" s="66">
        <f t="shared" si="45"/>
        <v>0</v>
      </c>
      <c r="L265" s="66"/>
      <c r="M265" s="431">
        <v>259</v>
      </c>
      <c r="N265" s="431">
        <v>189</v>
      </c>
      <c r="O265" s="443" t="s">
        <v>492</v>
      </c>
      <c r="P265" s="443" t="s">
        <v>975</v>
      </c>
      <c r="Q265" s="203">
        <v>-16704.320981999917</v>
      </c>
      <c r="R265" s="457" t="s">
        <v>2509</v>
      </c>
      <c r="S265" s="253"/>
      <c r="T265" s="159">
        <v>257</v>
      </c>
      <c r="U265" t="s">
        <v>492</v>
      </c>
      <c r="V265" t="s">
        <v>975</v>
      </c>
      <c r="W265" s="372">
        <v>-34103.72</v>
      </c>
      <c r="X265" s="372">
        <v>0</v>
      </c>
      <c r="Y265" s="377">
        <v>-28824.448685000069</v>
      </c>
      <c r="Z265" s="378">
        <v>-44670.754329999982</v>
      </c>
      <c r="AA265" s="358">
        <f t="shared" si="37"/>
        <v>-107598.92301500005</v>
      </c>
      <c r="AE265" s="159">
        <f t="shared" si="38"/>
        <v>0</v>
      </c>
      <c r="AG265" s="471" t="s">
        <v>492</v>
      </c>
      <c r="AH265" s="467" t="s">
        <v>975</v>
      </c>
      <c r="AI265" s="475">
        <v>-34103.72</v>
      </c>
      <c r="AJ265" s="475">
        <v>0</v>
      </c>
      <c r="AK265" s="476">
        <v>-28824.448685000069</v>
      </c>
      <c r="AL265" s="477">
        <v>-44670.754329999982</v>
      </c>
      <c r="AM265" s="478">
        <v>-107598.92301500005</v>
      </c>
      <c r="AN265" s="478"/>
      <c r="AO265" s="467"/>
      <c r="AP265" s="479">
        <f t="shared" si="39"/>
        <v>-73495.20301500005</v>
      </c>
      <c r="AQ265" s="467"/>
      <c r="AR265" s="467"/>
      <c r="AS265" s="509">
        <f t="shared" si="40"/>
        <v>0</v>
      </c>
      <c r="AT265" s="476">
        <v>-28824.448685000069</v>
      </c>
      <c r="AU265" s="477">
        <v>-44670.754329999982</v>
      </c>
      <c r="AV265" s="494">
        <f t="shared" si="41"/>
        <v>-73495.20301500005</v>
      </c>
      <c r="AW265" s="494">
        <f t="shared" si="42"/>
        <v>0</v>
      </c>
      <c r="AX265" s="468"/>
      <c r="AY265" s="589">
        <v>-16704.320981999917</v>
      </c>
      <c r="AZ265" s="510">
        <f t="shared" si="43"/>
        <v>-90199.523996999967</v>
      </c>
      <c r="BA265" s="511">
        <f t="shared" si="44"/>
        <v>0</v>
      </c>
      <c r="BB265" s="460"/>
      <c r="BC265" s="464">
        <f t="shared" si="46"/>
        <v>0</v>
      </c>
    </row>
    <row r="266" spans="1:55" ht="15">
      <c r="A266" s="431">
        <v>260</v>
      </c>
      <c r="B266" s="431">
        <v>130</v>
      </c>
      <c r="C266" t="s">
        <v>382</v>
      </c>
      <c r="D266" t="s">
        <v>928</v>
      </c>
      <c r="E266" s="372">
        <v>330617.81026204908</v>
      </c>
      <c r="F266" s="372">
        <v>570732.52924617007</v>
      </c>
      <c r="G266" s="377">
        <v>-243983.23626993207</v>
      </c>
      <c r="H266" s="590">
        <v>-424682.98060799949</v>
      </c>
      <c r="I266" s="358">
        <f t="shared" ref="I266:I329" si="47">SUM(E266:H266)</f>
        <v>232684.12263028766</v>
      </c>
      <c r="K266" s="66">
        <f t="shared" si="45"/>
        <v>0</v>
      </c>
      <c r="L266" s="66"/>
      <c r="M266" s="431">
        <v>260</v>
      </c>
      <c r="N266" s="431">
        <v>130</v>
      </c>
      <c r="O266" s="443" t="s">
        <v>382</v>
      </c>
      <c r="P266" s="443" t="s">
        <v>928</v>
      </c>
      <c r="Q266" s="203">
        <v>-424682.98060799949</v>
      </c>
      <c r="R266" s="457" t="s">
        <v>2509</v>
      </c>
      <c r="S266" s="253"/>
      <c r="T266" s="159">
        <v>258</v>
      </c>
      <c r="U266" t="s">
        <v>382</v>
      </c>
      <c r="V266" t="s">
        <v>928</v>
      </c>
      <c r="W266" s="372">
        <v>504217.35000000003</v>
      </c>
      <c r="X266" s="372">
        <v>-173599.53973795092</v>
      </c>
      <c r="Y266" s="377">
        <v>570732.52924617007</v>
      </c>
      <c r="Z266" s="378">
        <v>-243983.23626993207</v>
      </c>
      <c r="AA266" s="358">
        <f t="shared" ref="AA266:AA329" si="48">SUM(W266:Z266)</f>
        <v>657367.10323828715</v>
      </c>
      <c r="AE266" s="159">
        <f t="shared" ref="AE266:AE329" si="49">+AG266-U266</f>
        <v>0</v>
      </c>
      <c r="AG266" s="471" t="s">
        <v>382</v>
      </c>
      <c r="AH266" s="467" t="s">
        <v>928</v>
      </c>
      <c r="AI266" s="480">
        <v>504217.35000000003</v>
      </c>
      <c r="AJ266" s="480">
        <v>-173599.53973795092</v>
      </c>
      <c r="AK266" s="476">
        <v>570732.52924617007</v>
      </c>
      <c r="AL266" s="477">
        <v>-243983.23626993207</v>
      </c>
      <c r="AM266" s="478">
        <v>657367.10323828715</v>
      </c>
      <c r="AN266" s="478"/>
      <c r="AO266" s="467"/>
      <c r="AP266" s="479">
        <f t="shared" ref="AP266:AP329" si="50">SUM(AJ266:AL266)</f>
        <v>153149.75323828711</v>
      </c>
      <c r="AQ266" s="467"/>
      <c r="AR266" s="467"/>
      <c r="AS266" s="512">
        <f>+AI266+AJ266</f>
        <v>330617.81026204908</v>
      </c>
      <c r="AT266" s="476">
        <v>570732.52924617007</v>
      </c>
      <c r="AU266" s="477">
        <v>-243983.23626993207</v>
      </c>
      <c r="AV266" s="494">
        <f t="shared" ref="AV266:AV329" si="51">SUM(AS266:AU266)</f>
        <v>657367.10323828715</v>
      </c>
      <c r="AW266" s="513">
        <f>+AV266-AM266</f>
        <v>0</v>
      </c>
      <c r="AX266" s="468"/>
      <c r="AY266" s="589">
        <v>-424682.98060799949</v>
      </c>
      <c r="AZ266" s="510">
        <f t="shared" ref="AZ266:AZ329" si="52">+AY266+AV266</f>
        <v>232684.12263028766</v>
      </c>
      <c r="BA266" s="511">
        <f t="shared" ref="BA266:BA329" si="53">+AZ266-I266</f>
        <v>0</v>
      </c>
      <c r="BB266" s="460"/>
      <c r="BC266" s="464">
        <f t="shared" si="46"/>
        <v>0</v>
      </c>
    </row>
    <row r="267" spans="1:55" ht="15">
      <c r="A267" s="431">
        <v>261</v>
      </c>
      <c r="B267" s="431">
        <v>91</v>
      </c>
      <c r="C267" t="s">
        <v>326</v>
      </c>
      <c r="D267" t="s">
        <v>901</v>
      </c>
      <c r="E267" s="372">
        <v>-141821.17311999999</v>
      </c>
      <c r="F267" s="372">
        <v>-231546.51909199997</v>
      </c>
      <c r="G267" s="377">
        <v>-278198.0517689999</v>
      </c>
      <c r="H267" s="590">
        <v>-250288.98549800005</v>
      </c>
      <c r="I267" s="358">
        <f t="shared" si="47"/>
        <v>-901854.72947899986</v>
      </c>
      <c r="K267" s="66">
        <f t="shared" si="45"/>
        <v>0</v>
      </c>
      <c r="L267" s="66"/>
      <c r="M267" s="431">
        <v>261</v>
      </c>
      <c r="N267" s="431">
        <v>91</v>
      </c>
      <c r="O267" s="443" t="s">
        <v>326</v>
      </c>
      <c r="P267" s="443" t="s">
        <v>901</v>
      </c>
      <c r="Q267" s="203">
        <v>-250288.98549800005</v>
      </c>
      <c r="R267" s="457" t="s">
        <v>2509</v>
      </c>
      <c r="S267" s="253"/>
      <c r="T267" s="159">
        <v>259</v>
      </c>
      <c r="U267" t="s">
        <v>326</v>
      </c>
      <c r="V267" t="s">
        <v>901</v>
      </c>
      <c r="W267" s="372">
        <v>-263115.71999999997</v>
      </c>
      <c r="X267" s="372">
        <v>-141821.17311999999</v>
      </c>
      <c r="Y267" s="377">
        <v>-231546.51909199997</v>
      </c>
      <c r="Z267" s="378">
        <v>-278198.0517689999</v>
      </c>
      <c r="AA267" s="358">
        <f t="shared" si="48"/>
        <v>-914681.46398099989</v>
      </c>
      <c r="AE267" s="159">
        <f t="shared" si="49"/>
        <v>0</v>
      </c>
      <c r="AG267" s="471" t="s">
        <v>326</v>
      </c>
      <c r="AH267" s="467" t="s">
        <v>901</v>
      </c>
      <c r="AI267" s="475">
        <v>-263115.71999999997</v>
      </c>
      <c r="AJ267" s="475">
        <v>-141821.17311999999</v>
      </c>
      <c r="AK267" s="476">
        <v>-231546.51909199997</v>
      </c>
      <c r="AL267" s="477">
        <v>-278198.0517689999</v>
      </c>
      <c r="AM267" s="478">
        <v>-914681.46398099989</v>
      </c>
      <c r="AN267" s="478"/>
      <c r="AO267" s="467"/>
      <c r="AP267" s="479">
        <f t="shared" si="50"/>
        <v>-651565.7439809998</v>
      </c>
      <c r="AQ267" s="467"/>
      <c r="AR267" s="467"/>
      <c r="AS267" s="509">
        <f t="shared" ref="AS267:AS328" si="54">+AJ267</f>
        <v>-141821.17311999999</v>
      </c>
      <c r="AT267" s="476">
        <v>-231546.51909199997</v>
      </c>
      <c r="AU267" s="477">
        <v>-278198.0517689999</v>
      </c>
      <c r="AV267" s="494">
        <f t="shared" si="51"/>
        <v>-651565.7439809998</v>
      </c>
      <c r="AW267" s="494">
        <f t="shared" ref="AW267:AW328" si="55">+AV267-AP267</f>
        <v>0</v>
      </c>
      <c r="AX267" s="468"/>
      <c r="AY267" s="589">
        <v>-250288.98549800005</v>
      </c>
      <c r="AZ267" s="510">
        <f t="shared" si="52"/>
        <v>-901854.72947899986</v>
      </c>
      <c r="BA267" s="511">
        <f t="shared" si="53"/>
        <v>0</v>
      </c>
      <c r="BB267" s="460"/>
      <c r="BC267" s="464">
        <f t="shared" si="46"/>
        <v>0</v>
      </c>
    </row>
    <row r="268" spans="1:55" ht="15">
      <c r="A268" s="431">
        <v>262</v>
      </c>
      <c r="B268" s="431">
        <v>171</v>
      </c>
      <c r="C268" t="s">
        <v>458</v>
      </c>
      <c r="D268" t="s">
        <v>958</v>
      </c>
      <c r="E268" s="372">
        <v>0</v>
      </c>
      <c r="F268" s="372">
        <v>-9458.3793559999904</v>
      </c>
      <c r="G268" s="377">
        <v>-20870.449752000011</v>
      </c>
      <c r="H268" s="590">
        <v>-35181.822656000033</v>
      </c>
      <c r="I268" s="358">
        <f t="shared" si="47"/>
        <v>-65510.651764000038</v>
      </c>
      <c r="K268" s="66">
        <f t="shared" si="45"/>
        <v>0</v>
      </c>
      <c r="L268" s="66"/>
      <c r="M268" s="431">
        <v>262</v>
      </c>
      <c r="N268" s="431">
        <v>171</v>
      </c>
      <c r="O268" s="443" t="s">
        <v>458</v>
      </c>
      <c r="P268" s="443" t="s">
        <v>958</v>
      </c>
      <c r="Q268" s="203">
        <v>-35181.822656000033</v>
      </c>
      <c r="R268" s="457" t="s">
        <v>2509</v>
      </c>
      <c r="S268" s="253"/>
      <c r="T268" s="159">
        <v>260</v>
      </c>
      <c r="U268" t="s">
        <v>458</v>
      </c>
      <c r="V268" t="s">
        <v>958</v>
      </c>
      <c r="W268" s="372">
        <v>-18842.57</v>
      </c>
      <c r="X268" s="372">
        <v>0</v>
      </c>
      <c r="Y268" s="377">
        <v>-9458.3793559999904</v>
      </c>
      <c r="Z268" s="378">
        <v>-20870.449752000011</v>
      </c>
      <c r="AA268" s="358">
        <f t="shared" si="48"/>
        <v>-49171.399107999998</v>
      </c>
      <c r="AE268" s="159">
        <f t="shared" si="49"/>
        <v>0</v>
      </c>
      <c r="AG268" s="471" t="s">
        <v>458</v>
      </c>
      <c r="AH268" s="467" t="s">
        <v>958</v>
      </c>
      <c r="AI268" s="475">
        <v>-18842.57</v>
      </c>
      <c r="AJ268" s="475">
        <v>0</v>
      </c>
      <c r="AK268" s="476">
        <v>-9458.3793559999904</v>
      </c>
      <c r="AL268" s="477">
        <v>-20870.449752000011</v>
      </c>
      <c r="AM268" s="478">
        <v>-49171.399107999998</v>
      </c>
      <c r="AN268" s="478"/>
      <c r="AO268" s="467"/>
      <c r="AP268" s="479">
        <f t="shared" si="50"/>
        <v>-30328.829108000002</v>
      </c>
      <c r="AQ268" s="467"/>
      <c r="AR268" s="467"/>
      <c r="AS268" s="509">
        <f t="shared" si="54"/>
        <v>0</v>
      </c>
      <c r="AT268" s="476">
        <v>-9458.3793559999904</v>
      </c>
      <c r="AU268" s="477">
        <v>-20870.449752000011</v>
      </c>
      <c r="AV268" s="494">
        <f t="shared" si="51"/>
        <v>-30328.829108000002</v>
      </c>
      <c r="AW268" s="494">
        <f t="shared" si="55"/>
        <v>0</v>
      </c>
      <c r="AX268" s="468"/>
      <c r="AY268" s="589">
        <v>-35181.822656000033</v>
      </c>
      <c r="AZ268" s="510">
        <f t="shared" si="52"/>
        <v>-65510.651764000038</v>
      </c>
      <c r="BA268" s="511">
        <f t="shared" si="53"/>
        <v>0</v>
      </c>
      <c r="BB268" s="460"/>
      <c r="BC268" s="464">
        <f t="shared" si="46"/>
        <v>0</v>
      </c>
    </row>
    <row r="269" spans="1:55" ht="15">
      <c r="A269" s="431">
        <v>263</v>
      </c>
      <c r="B269" s="431">
        <v>244</v>
      </c>
      <c r="C269" t="s">
        <v>592</v>
      </c>
      <c r="D269" t="s">
        <v>1017</v>
      </c>
      <c r="E269" s="372">
        <v>133478.69376368227</v>
      </c>
      <c r="F269" s="372">
        <v>1799476.5237534654</v>
      </c>
      <c r="G269" s="377">
        <v>928928.11038640304</v>
      </c>
      <c r="H269" s="590">
        <v>871508.71492799744</v>
      </c>
      <c r="I269" s="358">
        <f t="shared" si="47"/>
        <v>3733392.0428315485</v>
      </c>
      <c r="K269" s="66">
        <f t="shared" si="45"/>
        <v>0</v>
      </c>
      <c r="L269" s="66"/>
      <c r="M269" s="431">
        <v>263</v>
      </c>
      <c r="N269" s="431">
        <v>244</v>
      </c>
      <c r="O269" s="443" t="s">
        <v>592</v>
      </c>
      <c r="P269" s="443" t="s">
        <v>1017</v>
      </c>
      <c r="Q269" s="203">
        <v>871508.71492799744</v>
      </c>
      <c r="R269" s="457" t="s">
        <v>2509</v>
      </c>
      <c r="S269" s="253"/>
      <c r="T269" s="159">
        <v>261</v>
      </c>
      <c r="U269" t="s">
        <v>592</v>
      </c>
      <c r="V269" t="s">
        <v>1017</v>
      </c>
      <c r="W269" s="372">
        <v>-914481.04</v>
      </c>
      <c r="X269" s="372">
        <v>1047959.7337636823</v>
      </c>
      <c r="Y269" s="377">
        <v>1799476.5237534654</v>
      </c>
      <c r="Z269" s="378">
        <v>928928.11038640304</v>
      </c>
      <c r="AA269" s="358">
        <f t="shared" si="48"/>
        <v>2861883.327903551</v>
      </c>
      <c r="AE269" s="159">
        <f t="shared" si="49"/>
        <v>0</v>
      </c>
      <c r="AG269" s="471" t="s">
        <v>592</v>
      </c>
      <c r="AH269" s="467" t="s">
        <v>1017</v>
      </c>
      <c r="AI269" s="480">
        <v>-914481.04</v>
      </c>
      <c r="AJ269" s="480">
        <v>1047959.7337636823</v>
      </c>
      <c r="AK269" s="476">
        <v>1799476.5237534654</v>
      </c>
      <c r="AL269" s="477">
        <v>928928.11038640304</v>
      </c>
      <c r="AM269" s="478">
        <v>2861883.327903551</v>
      </c>
      <c r="AN269" s="478"/>
      <c r="AO269" s="467"/>
      <c r="AP269" s="479">
        <f t="shared" si="50"/>
        <v>3776364.3679035511</v>
      </c>
      <c r="AQ269" s="467"/>
      <c r="AR269" s="467"/>
      <c r="AS269" s="512">
        <f>+AI269+AJ269</f>
        <v>133478.69376368227</v>
      </c>
      <c r="AT269" s="476">
        <v>1799476.5237534654</v>
      </c>
      <c r="AU269" s="477">
        <v>928928.11038640304</v>
      </c>
      <c r="AV269" s="494">
        <f t="shared" si="51"/>
        <v>2861883.327903551</v>
      </c>
      <c r="AW269" s="513">
        <f>+AV269-AM269</f>
        <v>0</v>
      </c>
      <c r="AX269" s="468"/>
      <c r="AY269" s="589">
        <v>871508.71492799744</v>
      </c>
      <c r="AZ269" s="510">
        <f t="shared" si="52"/>
        <v>3733392.0428315485</v>
      </c>
      <c r="BA269" s="511">
        <f t="shared" si="53"/>
        <v>0</v>
      </c>
      <c r="BB269" s="460"/>
      <c r="BC269" s="464">
        <f t="shared" si="46"/>
        <v>0</v>
      </c>
    </row>
    <row r="270" spans="1:55" ht="15">
      <c r="A270" s="431">
        <v>264</v>
      </c>
      <c r="B270" s="431">
        <v>259</v>
      </c>
      <c r="C270" t="s">
        <v>1446</v>
      </c>
      <c r="D270" t="s">
        <v>1678</v>
      </c>
      <c r="E270" s="372">
        <v>0</v>
      </c>
      <c r="F270" s="372">
        <v>-71355.868557999958</v>
      </c>
      <c r="G270" s="377">
        <v>-107523.48939199993</v>
      </c>
      <c r="H270" s="590">
        <v>-107762.47003199987</v>
      </c>
      <c r="I270" s="358">
        <f t="shared" si="47"/>
        <v>-286641.82798199973</v>
      </c>
      <c r="K270" s="66">
        <f t="shared" si="45"/>
        <v>0</v>
      </c>
      <c r="L270" s="66"/>
      <c r="M270" s="431">
        <v>264</v>
      </c>
      <c r="N270" s="431">
        <v>259</v>
      </c>
      <c r="O270" s="443" t="s">
        <v>1446</v>
      </c>
      <c r="P270" s="443" t="s">
        <v>1678</v>
      </c>
      <c r="Q270" s="203">
        <v>-107762.47003199987</v>
      </c>
      <c r="R270" s="457" t="s">
        <v>2509</v>
      </c>
      <c r="S270" s="253"/>
      <c r="T270" s="159">
        <v>262</v>
      </c>
      <c r="U270" t="s">
        <v>1446</v>
      </c>
      <c r="V270" t="s">
        <v>1678</v>
      </c>
      <c r="W270" s="372">
        <v>-49551.8</v>
      </c>
      <c r="X270" s="372">
        <v>0</v>
      </c>
      <c r="Y270" s="377">
        <v>-71355.868557999958</v>
      </c>
      <c r="Z270" s="378">
        <v>-107523.48939199993</v>
      </c>
      <c r="AA270" s="358">
        <f t="shared" si="48"/>
        <v>-228431.15794999991</v>
      </c>
      <c r="AE270" s="159">
        <f t="shared" si="49"/>
        <v>0</v>
      </c>
      <c r="AG270" s="471" t="s">
        <v>1446</v>
      </c>
      <c r="AH270" s="467" t="s">
        <v>1678</v>
      </c>
      <c r="AI270" s="475">
        <v>-49551.8</v>
      </c>
      <c r="AJ270" s="475">
        <v>0</v>
      </c>
      <c r="AK270" s="476">
        <v>-71355.868557999958</v>
      </c>
      <c r="AL270" s="477">
        <v>-107523.48939199993</v>
      </c>
      <c r="AM270" s="478">
        <v>-228431.15794999991</v>
      </c>
      <c r="AN270" s="478"/>
      <c r="AO270" s="467"/>
      <c r="AP270" s="479">
        <f t="shared" si="50"/>
        <v>-178879.35794999989</v>
      </c>
      <c r="AQ270" s="467"/>
      <c r="AR270" s="467"/>
      <c r="AS270" s="509">
        <f t="shared" si="54"/>
        <v>0</v>
      </c>
      <c r="AT270" s="476">
        <v>-71355.868557999958</v>
      </c>
      <c r="AU270" s="477">
        <v>-107523.48939199993</v>
      </c>
      <c r="AV270" s="494">
        <f t="shared" si="51"/>
        <v>-178879.35794999989</v>
      </c>
      <c r="AW270" s="494">
        <f t="shared" si="55"/>
        <v>0</v>
      </c>
      <c r="AX270" s="468"/>
      <c r="AY270" s="589">
        <v>-107762.47003199987</v>
      </c>
      <c r="AZ270" s="510">
        <f t="shared" si="52"/>
        <v>-286641.82798199973</v>
      </c>
      <c r="BA270" s="511">
        <f t="shared" si="53"/>
        <v>0</v>
      </c>
      <c r="BB270" s="460"/>
      <c r="BC270" s="464">
        <f t="shared" si="46"/>
        <v>0</v>
      </c>
    </row>
    <row r="271" spans="1:55" ht="15">
      <c r="A271" s="431">
        <v>265</v>
      </c>
      <c r="B271" s="431">
        <v>163</v>
      </c>
      <c r="C271" t="s">
        <v>442</v>
      </c>
      <c r="D271" t="s">
        <v>951</v>
      </c>
      <c r="E271" s="372">
        <v>-58824.915562999995</v>
      </c>
      <c r="F271" s="372">
        <v>-42495.452113000007</v>
      </c>
      <c r="G271" s="377">
        <v>-46906.800111000004</v>
      </c>
      <c r="H271" s="590">
        <v>-52188.039359999995</v>
      </c>
      <c r="I271" s="358">
        <f t="shared" si="47"/>
        <v>-200415.20714700001</v>
      </c>
      <c r="K271" s="66">
        <f t="shared" si="45"/>
        <v>0</v>
      </c>
      <c r="L271" s="66"/>
      <c r="M271" s="431">
        <v>265</v>
      </c>
      <c r="N271" s="431">
        <v>163</v>
      </c>
      <c r="O271" s="443" t="s">
        <v>442</v>
      </c>
      <c r="P271" s="443" t="s">
        <v>951</v>
      </c>
      <c r="Q271" s="203">
        <v>-52188.039359999995</v>
      </c>
      <c r="R271" s="457" t="s">
        <v>2509</v>
      </c>
      <c r="S271" s="253"/>
      <c r="T271" s="159">
        <v>263</v>
      </c>
      <c r="U271" t="s">
        <v>442</v>
      </c>
      <c r="V271" t="s">
        <v>951</v>
      </c>
      <c r="W271" s="372">
        <v>-24758.11</v>
      </c>
      <c r="X271" s="372">
        <v>-58824.915562999995</v>
      </c>
      <c r="Y271" s="377">
        <v>-42495.452113000007</v>
      </c>
      <c r="Z271" s="378">
        <v>-46906.800111000004</v>
      </c>
      <c r="AA271" s="358">
        <f t="shared" si="48"/>
        <v>-172985.277787</v>
      </c>
      <c r="AE271" s="159">
        <f t="shared" si="49"/>
        <v>0</v>
      </c>
      <c r="AG271" s="471" t="s">
        <v>442</v>
      </c>
      <c r="AH271" s="467" t="s">
        <v>951</v>
      </c>
      <c r="AI271" s="475">
        <v>-24758.11</v>
      </c>
      <c r="AJ271" s="475">
        <v>-58824.915562999995</v>
      </c>
      <c r="AK271" s="476">
        <v>-42495.452113000007</v>
      </c>
      <c r="AL271" s="477">
        <v>-46906.800111000004</v>
      </c>
      <c r="AM271" s="478">
        <v>-172985.277787</v>
      </c>
      <c r="AN271" s="478"/>
      <c r="AO271" s="467"/>
      <c r="AP271" s="479">
        <f t="shared" si="50"/>
        <v>-148227.16778700001</v>
      </c>
      <c r="AQ271" s="467"/>
      <c r="AR271" s="467"/>
      <c r="AS271" s="509">
        <f t="shared" si="54"/>
        <v>-58824.915562999995</v>
      </c>
      <c r="AT271" s="476">
        <v>-42495.452113000007</v>
      </c>
      <c r="AU271" s="477">
        <v>-46906.800111000004</v>
      </c>
      <c r="AV271" s="494">
        <f t="shared" si="51"/>
        <v>-148227.16778700001</v>
      </c>
      <c r="AW271" s="494">
        <f t="shared" si="55"/>
        <v>0</v>
      </c>
      <c r="AX271" s="468"/>
      <c r="AY271" s="589">
        <v>-52188.039359999995</v>
      </c>
      <c r="AZ271" s="510">
        <f t="shared" si="52"/>
        <v>-200415.20714700001</v>
      </c>
      <c r="BA271" s="511">
        <f t="shared" si="53"/>
        <v>0</v>
      </c>
      <c r="BB271" s="460"/>
      <c r="BC271" s="464">
        <f t="shared" si="46"/>
        <v>0</v>
      </c>
    </row>
    <row r="272" spans="1:55" ht="15">
      <c r="A272" s="431">
        <v>266</v>
      </c>
      <c r="B272" s="431">
        <v>312</v>
      </c>
      <c r="C272" t="s">
        <v>707</v>
      </c>
      <c r="D272" t="s">
        <v>1067</v>
      </c>
      <c r="E272" s="372">
        <v>-110689.854232</v>
      </c>
      <c r="F272" s="372">
        <v>-88548.762519999989</v>
      </c>
      <c r="G272" s="377">
        <v>-112800.114548</v>
      </c>
      <c r="H272" s="590">
        <v>-99272.803839999993</v>
      </c>
      <c r="I272" s="358">
        <f t="shared" si="47"/>
        <v>-411311.53513999999</v>
      </c>
      <c r="K272" s="66">
        <f t="shared" si="45"/>
        <v>0</v>
      </c>
      <c r="L272" s="66"/>
      <c r="M272" s="431">
        <v>266</v>
      </c>
      <c r="N272" s="431">
        <v>312</v>
      </c>
      <c r="O272" s="443" t="s">
        <v>707</v>
      </c>
      <c r="P272" s="443" t="s">
        <v>1067</v>
      </c>
      <c r="Q272" s="203">
        <v>-99272.803839999993</v>
      </c>
      <c r="R272" s="457" t="s">
        <v>2509</v>
      </c>
      <c r="S272" s="253"/>
      <c r="T272" s="159">
        <v>264</v>
      </c>
      <c r="U272" t="s">
        <v>707</v>
      </c>
      <c r="V272" t="s">
        <v>1067</v>
      </c>
      <c r="W272" s="372">
        <v>-103815.7</v>
      </c>
      <c r="X272" s="372">
        <v>-110689.854232</v>
      </c>
      <c r="Y272" s="377">
        <v>-88548.762519999989</v>
      </c>
      <c r="Z272" s="378">
        <v>-112800.114548</v>
      </c>
      <c r="AA272" s="358">
        <f t="shared" si="48"/>
        <v>-415854.4313</v>
      </c>
      <c r="AE272" s="159">
        <f t="shared" si="49"/>
        <v>0</v>
      </c>
      <c r="AG272" s="471" t="s">
        <v>707</v>
      </c>
      <c r="AH272" s="467" t="s">
        <v>1067</v>
      </c>
      <c r="AI272" s="475">
        <v>-103815.7</v>
      </c>
      <c r="AJ272" s="475">
        <v>-110689.854232</v>
      </c>
      <c r="AK272" s="476">
        <v>-88548.762519999989</v>
      </c>
      <c r="AL272" s="477">
        <v>-112800.114548</v>
      </c>
      <c r="AM272" s="478">
        <v>-415854.4313</v>
      </c>
      <c r="AN272" s="478"/>
      <c r="AO272" s="467"/>
      <c r="AP272" s="479">
        <f t="shared" si="50"/>
        <v>-312038.73129999998</v>
      </c>
      <c r="AQ272" s="467"/>
      <c r="AR272" s="467"/>
      <c r="AS272" s="509">
        <f t="shared" si="54"/>
        <v>-110689.854232</v>
      </c>
      <c r="AT272" s="476">
        <v>-88548.762519999989</v>
      </c>
      <c r="AU272" s="477">
        <v>-112800.114548</v>
      </c>
      <c r="AV272" s="494">
        <f t="shared" si="51"/>
        <v>-312038.73129999998</v>
      </c>
      <c r="AW272" s="494">
        <f t="shared" si="55"/>
        <v>0</v>
      </c>
      <c r="AX272" s="468"/>
      <c r="AY272" s="589">
        <v>-99272.803839999993</v>
      </c>
      <c r="AZ272" s="510">
        <f t="shared" si="52"/>
        <v>-411311.53513999999</v>
      </c>
      <c r="BA272" s="511">
        <f t="shared" si="53"/>
        <v>0</v>
      </c>
      <c r="BB272" s="460"/>
      <c r="BC272" s="464">
        <f t="shared" si="46"/>
        <v>0</v>
      </c>
    </row>
    <row r="273" spans="1:55" ht="15">
      <c r="A273" s="431">
        <v>267</v>
      </c>
      <c r="B273" s="431">
        <v>243</v>
      </c>
      <c r="C273" t="s">
        <v>590</v>
      </c>
      <c r="D273" t="s">
        <v>1675</v>
      </c>
      <c r="E273" s="372">
        <v>-741202.79307599994</v>
      </c>
      <c r="F273" s="372">
        <v>-252886.89768495038</v>
      </c>
      <c r="G273" s="377">
        <v>-880736.21975599974</v>
      </c>
      <c r="H273" s="590">
        <v>-881818.67239599931</v>
      </c>
      <c r="I273" s="358">
        <f t="shared" si="47"/>
        <v>-2756644.5829129494</v>
      </c>
      <c r="K273" s="66">
        <f t="shared" si="45"/>
        <v>0</v>
      </c>
      <c r="L273" s="66"/>
      <c r="M273" s="431">
        <v>267</v>
      </c>
      <c r="N273" s="431">
        <v>243</v>
      </c>
      <c r="O273" s="443" t="s">
        <v>590</v>
      </c>
      <c r="P273" s="443" t="s">
        <v>1675</v>
      </c>
      <c r="Q273" s="203">
        <v>-881818.67239599931</v>
      </c>
      <c r="R273" s="457" t="s">
        <v>2509</v>
      </c>
      <c r="S273" s="253"/>
      <c r="T273" s="159">
        <v>265</v>
      </c>
      <c r="U273" t="s">
        <v>590</v>
      </c>
      <c r="V273" t="s">
        <v>1675</v>
      </c>
      <c r="W273" s="372">
        <v>-581759.54</v>
      </c>
      <c r="X273" s="372">
        <v>-741202.79307599994</v>
      </c>
      <c r="Y273" s="377">
        <v>-252886.89768495038</v>
      </c>
      <c r="Z273" s="378">
        <v>-880736.21975599974</v>
      </c>
      <c r="AA273" s="358">
        <f t="shared" si="48"/>
        <v>-2456585.4505169503</v>
      </c>
      <c r="AE273" s="159">
        <f t="shared" si="49"/>
        <v>0</v>
      </c>
      <c r="AG273" s="471" t="s">
        <v>590</v>
      </c>
      <c r="AH273" s="467" t="s">
        <v>1675</v>
      </c>
      <c r="AI273" s="475">
        <v>-581759.54</v>
      </c>
      <c r="AJ273" s="475">
        <v>-741202.79307599994</v>
      </c>
      <c r="AK273" s="476">
        <v>-252886.89768495038</v>
      </c>
      <c r="AL273" s="477">
        <v>-880736.21975599974</v>
      </c>
      <c r="AM273" s="478">
        <v>-2456585.4505169503</v>
      </c>
      <c r="AN273" s="478"/>
      <c r="AO273" s="467"/>
      <c r="AP273" s="479">
        <f t="shared" si="50"/>
        <v>-1874825.9105169501</v>
      </c>
      <c r="AQ273" s="467"/>
      <c r="AR273" s="467"/>
      <c r="AS273" s="509">
        <f t="shared" si="54"/>
        <v>-741202.79307599994</v>
      </c>
      <c r="AT273" s="476">
        <v>-252886.89768495038</v>
      </c>
      <c r="AU273" s="477">
        <v>-880736.21975599974</v>
      </c>
      <c r="AV273" s="494">
        <f t="shared" si="51"/>
        <v>-1874825.9105169501</v>
      </c>
      <c r="AW273" s="494">
        <f t="shared" si="55"/>
        <v>0</v>
      </c>
      <c r="AX273" s="468"/>
      <c r="AY273" s="589">
        <v>-881818.67239599931</v>
      </c>
      <c r="AZ273" s="510">
        <f t="shared" si="52"/>
        <v>-2756644.5829129494</v>
      </c>
      <c r="BA273" s="511">
        <f t="shared" si="53"/>
        <v>0</v>
      </c>
      <c r="BB273" s="460"/>
      <c r="BC273" s="464">
        <f t="shared" si="46"/>
        <v>0</v>
      </c>
    </row>
    <row r="274" spans="1:55" ht="15">
      <c r="A274" s="431">
        <v>268</v>
      </c>
      <c r="B274" s="431">
        <v>62</v>
      </c>
      <c r="C274" s="347" t="s">
        <v>271</v>
      </c>
      <c r="D274" s="348" t="s">
        <v>272</v>
      </c>
      <c r="E274" s="380">
        <v>0</v>
      </c>
      <c r="F274" s="371"/>
      <c r="G274" s="377"/>
      <c r="H274" s="590">
        <v>0</v>
      </c>
      <c r="I274" s="358">
        <f t="shared" si="47"/>
        <v>0</v>
      </c>
      <c r="K274" s="66">
        <f t="shared" si="45"/>
        <v>0</v>
      </c>
      <c r="L274" s="66"/>
      <c r="M274" s="431">
        <v>268</v>
      </c>
      <c r="N274" s="431">
        <v>62</v>
      </c>
      <c r="O274" s="447" t="s">
        <v>271</v>
      </c>
      <c r="P274" s="448" t="s">
        <v>2505</v>
      </c>
      <c r="Q274" s="203">
        <v>0</v>
      </c>
      <c r="R274" s="457" t="s">
        <v>2509</v>
      </c>
      <c r="S274" s="253"/>
      <c r="T274" s="159">
        <v>266</v>
      </c>
      <c r="U274" s="347" t="s">
        <v>271</v>
      </c>
      <c r="V274" s="348" t="s">
        <v>272</v>
      </c>
      <c r="W274" s="380">
        <v>0</v>
      </c>
      <c r="X274" s="371"/>
      <c r="Y274" s="377"/>
      <c r="Z274" s="378"/>
      <c r="AA274" s="358">
        <f t="shared" si="48"/>
        <v>0</v>
      </c>
      <c r="AE274" s="159">
        <f t="shared" si="49"/>
        <v>0</v>
      </c>
      <c r="AG274" s="471" t="s">
        <v>271</v>
      </c>
      <c r="AH274" s="467" t="s">
        <v>272</v>
      </c>
      <c r="AI274" s="484">
        <v>0</v>
      </c>
      <c r="AJ274" s="485"/>
      <c r="AK274" s="476"/>
      <c r="AL274" s="477"/>
      <c r="AM274" s="478">
        <v>0</v>
      </c>
      <c r="AN274" s="478"/>
      <c r="AO274" s="467"/>
      <c r="AP274" s="479">
        <f t="shared" si="50"/>
        <v>0</v>
      </c>
      <c r="AQ274" s="467"/>
      <c r="AR274" s="467"/>
      <c r="AS274" s="509">
        <f t="shared" si="54"/>
        <v>0</v>
      </c>
      <c r="AT274" s="476"/>
      <c r="AU274" s="477"/>
      <c r="AV274" s="494">
        <f t="shared" si="51"/>
        <v>0</v>
      </c>
      <c r="AW274" s="494">
        <f t="shared" si="55"/>
        <v>0</v>
      </c>
      <c r="AX274" s="468"/>
      <c r="AY274" s="589">
        <v>0</v>
      </c>
      <c r="AZ274" s="510">
        <f t="shared" si="52"/>
        <v>0</v>
      </c>
      <c r="BA274" s="511">
        <f t="shared" si="53"/>
        <v>0</v>
      </c>
      <c r="BB274" s="460"/>
      <c r="BC274" s="464">
        <f t="shared" si="46"/>
        <v>0</v>
      </c>
    </row>
    <row r="275" spans="1:55" ht="15">
      <c r="A275" s="431">
        <v>269</v>
      </c>
      <c r="B275" s="431">
        <v>42</v>
      </c>
      <c r="C275" s="357" t="s">
        <v>231</v>
      </c>
      <c r="D275" t="s">
        <v>232</v>
      </c>
      <c r="E275" s="381">
        <v>0</v>
      </c>
      <c r="F275" s="372">
        <v>-62648.210387000014</v>
      </c>
      <c r="G275" s="377">
        <v>-31719.806906000013</v>
      </c>
      <c r="H275" s="590">
        <v>-17951.670000000006</v>
      </c>
      <c r="I275" s="358">
        <f t="shared" si="47"/>
        <v>-112319.68729300002</v>
      </c>
      <c r="K275" s="66">
        <f t="shared" si="45"/>
        <v>0</v>
      </c>
      <c r="L275" s="66"/>
      <c r="M275" s="431">
        <v>269</v>
      </c>
      <c r="N275" s="431">
        <v>42</v>
      </c>
      <c r="O275" s="443" t="s">
        <v>231</v>
      </c>
      <c r="P275" s="443" t="s">
        <v>232</v>
      </c>
      <c r="Q275" s="203">
        <v>-17951.670000000006</v>
      </c>
      <c r="R275" s="457" t="s">
        <v>2509</v>
      </c>
      <c r="S275" s="253"/>
      <c r="T275" s="159">
        <v>267</v>
      </c>
      <c r="U275" s="357" t="s">
        <v>231</v>
      </c>
      <c r="V275" t="s">
        <v>232</v>
      </c>
      <c r="W275" s="381">
        <v>0</v>
      </c>
      <c r="X275" s="372"/>
      <c r="Y275" s="377">
        <v>-62648.210387000014</v>
      </c>
      <c r="Z275" s="378">
        <v>-31719.806906000013</v>
      </c>
      <c r="AA275" s="358">
        <f t="shared" si="48"/>
        <v>-94368.017293000026</v>
      </c>
      <c r="AE275" s="159">
        <f t="shared" si="49"/>
        <v>0</v>
      </c>
      <c r="AG275" s="471" t="s">
        <v>231</v>
      </c>
      <c r="AH275" s="467" t="s">
        <v>232</v>
      </c>
      <c r="AI275" s="486">
        <v>0</v>
      </c>
      <c r="AJ275" s="475"/>
      <c r="AK275" s="476">
        <v>-62648.210387000014</v>
      </c>
      <c r="AL275" s="477">
        <v>-31719.806906000013</v>
      </c>
      <c r="AM275" s="478">
        <v>-94368.017293000026</v>
      </c>
      <c r="AN275" s="478"/>
      <c r="AO275" s="467"/>
      <c r="AP275" s="479">
        <f t="shared" si="50"/>
        <v>-94368.017293000026</v>
      </c>
      <c r="AQ275" s="467"/>
      <c r="AR275" s="467"/>
      <c r="AS275" s="509">
        <f t="shared" si="54"/>
        <v>0</v>
      </c>
      <c r="AT275" s="476">
        <v>-62648.210387000014</v>
      </c>
      <c r="AU275" s="477">
        <v>-31719.806906000013</v>
      </c>
      <c r="AV275" s="494">
        <f t="shared" si="51"/>
        <v>-94368.017293000026</v>
      </c>
      <c r="AW275" s="494">
        <f t="shared" si="55"/>
        <v>0</v>
      </c>
      <c r="AX275" s="468"/>
      <c r="AY275" s="589">
        <v>-17951.670000000006</v>
      </c>
      <c r="AZ275" s="510">
        <f t="shared" si="52"/>
        <v>-112319.68729300002</v>
      </c>
      <c r="BA275" s="511">
        <f t="shared" si="53"/>
        <v>0</v>
      </c>
      <c r="BB275" s="460"/>
      <c r="BC275" s="464">
        <f t="shared" si="46"/>
        <v>0</v>
      </c>
    </row>
    <row r="276" spans="1:55" ht="15">
      <c r="A276" s="431">
        <v>270</v>
      </c>
      <c r="B276" s="431">
        <v>15</v>
      </c>
      <c r="C276" s="347" t="s">
        <v>191</v>
      </c>
      <c r="D276" s="348" t="s">
        <v>192</v>
      </c>
      <c r="E276" s="380">
        <v>0</v>
      </c>
      <c r="F276" s="371"/>
      <c r="G276" s="377"/>
      <c r="H276" s="590">
        <v>0</v>
      </c>
      <c r="I276" s="358">
        <f t="shared" si="47"/>
        <v>0</v>
      </c>
      <c r="K276" s="66">
        <f t="shared" si="45"/>
        <v>0</v>
      </c>
      <c r="L276" s="66"/>
      <c r="M276" s="431">
        <v>270</v>
      </c>
      <c r="N276" s="431">
        <v>15</v>
      </c>
      <c r="O276" s="447" t="s">
        <v>191</v>
      </c>
      <c r="P276" s="446" t="s">
        <v>2371</v>
      </c>
      <c r="Q276" s="203">
        <v>0</v>
      </c>
      <c r="R276" s="457" t="s">
        <v>2509</v>
      </c>
      <c r="S276" s="253"/>
      <c r="T276" s="159">
        <v>268</v>
      </c>
      <c r="U276" s="347" t="s">
        <v>191</v>
      </c>
      <c r="V276" s="348" t="s">
        <v>192</v>
      </c>
      <c r="W276" s="380">
        <v>0</v>
      </c>
      <c r="X276" s="371"/>
      <c r="Y276" s="377"/>
      <c r="Z276" s="378"/>
      <c r="AA276" s="358">
        <f t="shared" si="48"/>
        <v>0</v>
      </c>
      <c r="AE276" s="159">
        <f t="shared" si="49"/>
        <v>0</v>
      </c>
      <c r="AG276" s="471" t="s">
        <v>191</v>
      </c>
      <c r="AH276" s="467" t="s">
        <v>192</v>
      </c>
      <c r="AI276" s="484">
        <v>0</v>
      </c>
      <c r="AJ276" s="485"/>
      <c r="AK276" s="476"/>
      <c r="AL276" s="477"/>
      <c r="AM276" s="478">
        <v>0</v>
      </c>
      <c r="AN276" s="478"/>
      <c r="AO276" s="467"/>
      <c r="AP276" s="479">
        <f t="shared" si="50"/>
        <v>0</v>
      </c>
      <c r="AQ276" s="467"/>
      <c r="AR276" s="467"/>
      <c r="AS276" s="509">
        <f t="shared" si="54"/>
        <v>0</v>
      </c>
      <c r="AT276" s="476"/>
      <c r="AU276" s="477"/>
      <c r="AV276" s="494">
        <f t="shared" si="51"/>
        <v>0</v>
      </c>
      <c r="AW276" s="494">
        <f t="shared" si="55"/>
        <v>0</v>
      </c>
      <c r="AX276" s="468"/>
      <c r="AY276" s="589">
        <v>0</v>
      </c>
      <c r="AZ276" s="510">
        <f t="shared" si="52"/>
        <v>0</v>
      </c>
      <c r="BA276" s="511">
        <f t="shared" si="53"/>
        <v>0</v>
      </c>
      <c r="BB276" s="460"/>
      <c r="BC276" s="464">
        <f t="shared" si="46"/>
        <v>0</v>
      </c>
    </row>
    <row r="277" spans="1:55" ht="15">
      <c r="A277" s="431">
        <v>271</v>
      </c>
      <c r="B277" s="431">
        <v>196</v>
      </c>
      <c r="C277" t="s">
        <v>505</v>
      </c>
      <c r="D277" t="s">
        <v>982</v>
      </c>
      <c r="E277" s="381">
        <v>-30112.744849999784</v>
      </c>
      <c r="F277" s="372">
        <v>0</v>
      </c>
      <c r="G277" s="377">
        <v>0</v>
      </c>
      <c r="H277" s="590">
        <v>-488.36717299977317</v>
      </c>
      <c r="I277" s="358">
        <f t="shared" si="47"/>
        <v>-30601.112022999558</v>
      </c>
      <c r="K277" s="66">
        <f t="shared" si="45"/>
        <v>0</v>
      </c>
      <c r="L277" s="66"/>
      <c r="M277" s="431">
        <v>271</v>
      </c>
      <c r="N277" s="431">
        <v>196</v>
      </c>
      <c r="O277" s="443" t="s">
        <v>505</v>
      </c>
      <c r="P277" s="443" t="s">
        <v>982</v>
      </c>
      <c r="Q277" s="203">
        <v>-488.36717299977317</v>
      </c>
      <c r="R277" s="457" t="s">
        <v>2509</v>
      </c>
      <c r="S277" s="253"/>
      <c r="T277" s="159">
        <v>269</v>
      </c>
      <c r="U277" t="s">
        <v>505</v>
      </c>
      <c r="V277" t="s">
        <v>982</v>
      </c>
      <c r="W277" s="381">
        <v>-120324.63</v>
      </c>
      <c r="X277" s="372">
        <v>-30112.744849999784</v>
      </c>
      <c r="Y277" s="377">
        <v>11075.164526000095</v>
      </c>
      <c r="Z277" s="378">
        <v>65677.098313000053</v>
      </c>
      <c r="AA277" s="358">
        <f t="shared" si="48"/>
        <v>-73685.112010999641</v>
      </c>
      <c r="AE277" s="159">
        <f t="shared" si="49"/>
        <v>0</v>
      </c>
      <c r="AG277" s="471" t="s">
        <v>505</v>
      </c>
      <c r="AH277" s="467" t="s">
        <v>982</v>
      </c>
      <c r="AI277" s="495">
        <v>-120324.63</v>
      </c>
      <c r="AJ277" s="475">
        <v>-30112.744849999784</v>
      </c>
      <c r="AK277" s="481">
        <v>11075.164526000095</v>
      </c>
      <c r="AL277" s="482">
        <v>65677.098313000053</v>
      </c>
      <c r="AM277" s="478">
        <v>-73685.112010999641</v>
      </c>
      <c r="AN277" s="478">
        <f>+AJ277</f>
        <v>-30112.744849999784</v>
      </c>
      <c r="AO277" s="467"/>
      <c r="AP277" s="479">
        <f t="shared" si="50"/>
        <v>46639.517989000364</v>
      </c>
      <c r="AQ277" s="467"/>
      <c r="AR277" s="467"/>
      <c r="AS277" s="509">
        <f t="shared" si="54"/>
        <v>-30112.744849999784</v>
      </c>
      <c r="AT277" s="481">
        <v>0</v>
      </c>
      <c r="AU277" s="482">
        <v>0</v>
      </c>
      <c r="AV277" s="494">
        <f t="shared" si="51"/>
        <v>-30112.744849999784</v>
      </c>
      <c r="AW277" s="514">
        <f t="shared" si="55"/>
        <v>-76752.262839000148</v>
      </c>
      <c r="AX277" s="468"/>
      <c r="AY277" s="589">
        <v>-488.36717299977317</v>
      </c>
      <c r="AZ277" s="510">
        <f t="shared" si="52"/>
        <v>-30601.112022999558</v>
      </c>
      <c r="BA277" s="511">
        <f t="shared" si="53"/>
        <v>0</v>
      </c>
      <c r="BB277" s="460"/>
      <c r="BC277" s="464">
        <f t="shared" si="46"/>
        <v>0</v>
      </c>
    </row>
    <row r="278" spans="1:55" ht="15">
      <c r="A278" s="431">
        <v>272</v>
      </c>
      <c r="B278" s="431">
        <v>308</v>
      </c>
      <c r="C278" s="347" t="s">
        <v>699</v>
      </c>
      <c r="D278" s="348" t="s">
        <v>700</v>
      </c>
      <c r="E278" s="380">
        <v>0</v>
      </c>
      <c r="F278" s="371"/>
      <c r="G278" s="377"/>
      <c r="H278" s="590">
        <v>0</v>
      </c>
      <c r="I278" s="358">
        <f t="shared" si="47"/>
        <v>0</v>
      </c>
      <c r="K278" s="66">
        <f t="shared" si="45"/>
        <v>0</v>
      </c>
      <c r="L278" s="66"/>
      <c r="M278" s="431">
        <v>272</v>
      </c>
      <c r="N278" s="431">
        <v>308</v>
      </c>
      <c r="O278" s="447" t="s">
        <v>699</v>
      </c>
      <c r="P278" s="448" t="s">
        <v>2386</v>
      </c>
      <c r="Q278" s="203">
        <v>0</v>
      </c>
      <c r="R278" s="457" t="s">
        <v>2509</v>
      </c>
      <c r="S278" s="253"/>
      <c r="T278" s="159">
        <v>270</v>
      </c>
      <c r="U278" s="347" t="s">
        <v>699</v>
      </c>
      <c r="V278" s="348" t="s">
        <v>700</v>
      </c>
      <c r="W278" s="380">
        <v>0</v>
      </c>
      <c r="X278" s="371"/>
      <c r="Y278" s="377"/>
      <c r="Z278" s="378"/>
      <c r="AA278" s="358">
        <f t="shared" si="48"/>
        <v>0</v>
      </c>
      <c r="AE278" s="159">
        <f t="shared" si="49"/>
        <v>0</v>
      </c>
      <c r="AG278" s="471" t="s">
        <v>699</v>
      </c>
      <c r="AH278" s="467" t="s">
        <v>700</v>
      </c>
      <c r="AI278" s="484">
        <v>0</v>
      </c>
      <c r="AJ278" s="485"/>
      <c r="AK278" s="476"/>
      <c r="AL278" s="477"/>
      <c r="AM278" s="478">
        <v>0</v>
      </c>
      <c r="AN278" s="478"/>
      <c r="AO278" s="467"/>
      <c r="AP278" s="479">
        <f t="shared" si="50"/>
        <v>0</v>
      </c>
      <c r="AQ278" s="467"/>
      <c r="AR278" s="467"/>
      <c r="AS278" s="509">
        <f t="shared" si="54"/>
        <v>0</v>
      </c>
      <c r="AT278" s="476"/>
      <c r="AU278" s="477"/>
      <c r="AV278" s="494">
        <f t="shared" si="51"/>
        <v>0</v>
      </c>
      <c r="AW278" s="494">
        <f t="shared" si="55"/>
        <v>0</v>
      </c>
      <c r="AX278" s="468"/>
      <c r="AY278" s="589">
        <v>0</v>
      </c>
      <c r="AZ278" s="510">
        <f t="shared" si="52"/>
        <v>0</v>
      </c>
      <c r="BA278" s="511">
        <f t="shared" si="53"/>
        <v>0</v>
      </c>
      <c r="BB278" s="460"/>
      <c r="BC278" s="464">
        <f t="shared" si="46"/>
        <v>0</v>
      </c>
    </row>
    <row r="279" spans="1:55" ht="15">
      <c r="A279" s="431">
        <v>273</v>
      </c>
      <c r="B279" s="431">
        <v>229</v>
      </c>
      <c r="C279" t="s">
        <v>562</v>
      </c>
      <c r="D279" t="s">
        <v>563</v>
      </c>
      <c r="E279" s="372">
        <v>-93285.851157681653</v>
      </c>
      <c r="F279" s="372">
        <v>-137434.15801280562</v>
      </c>
      <c r="G279" s="377">
        <v>-96655.24377735093</v>
      </c>
      <c r="H279" s="590">
        <v>-109986.49252800003</v>
      </c>
      <c r="I279" s="358">
        <f t="shared" si="47"/>
        <v>-437361.74547583825</v>
      </c>
      <c r="K279" s="66">
        <f t="shared" si="45"/>
        <v>0</v>
      </c>
      <c r="L279" s="66"/>
      <c r="M279" s="431">
        <v>273</v>
      </c>
      <c r="N279" s="431">
        <v>229</v>
      </c>
      <c r="O279" s="443" t="s">
        <v>562</v>
      </c>
      <c r="P279" s="443" t="s">
        <v>563</v>
      </c>
      <c r="Q279" s="203">
        <v>-109986.49252800003</v>
      </c>
      <c r="R279" s="457" t="s">
        <v>2509</v>
      </c>
      <c r="S279" s="253"/>
      <c r="T279" s="159">
        <v>271</v>
      </c>
      <c r="U279" t="s">
        <v>562</v>
      </c>
      <c r="V279" t="s">
        <v>563</v>
      </c>
      <c r="W279" s="372">
        <v>-117142.04</v>
      </c>
      <c r="X279" s="372">
        <v>-93285.851157681653</v>
      </c>
      <c r="Y279" s="377">
        <v>-137434.15801280562</v>
      </c>
      <c r="Z279" s="378">
        <v>-96655.24377735093</v>
      </c>
      <c r="AA279" s="358">
        <f t="shared" si="48"/>
        <v>-444517.2929478382</v>
      </c>
      <c r="AE279" s="159">
        <f t="shared" si="49"/>
        <v>0</v>
      </c>
      <c r="AG279" s="471" t="s">
        <v>562</v>
      </c>
      <c r="AH279" s="467" t="s">
        <v>563</v>
      </c>
      <c r="AI279" s="475">
        <v>-117142.04</v>
      </c>
      <c r="AJ279" s="475">
        <v>-93285.851157681653</v>
      </c>
      <c r="AK279" s="476">
        <v>-137434.15801280562</v>
      </c>
      <c r="AL279" s="477">
        <v>-96655.24377735093</v>
      </c>
      <c r="AM279" s="478">
        <v>-444517.2929478382</v>
      </c>
      <c r="AN279" s="478"/>
      <c r="AO279" s="467"/>
      <c r="AP279" s="479">
        <f t="shared" si="50"/>
        <v>-327375.25294783822</v>
      </c>
      <c r="AQ279" s="467"/>
      <c r="AR279" s="467"/>
      <c r="AS279" s="509">
        <f t="shared" si="54"/>
        <v>-93285.851157681653</v>
      </c>
      <c r="AT279" s="476">
        <v>-137434.15801280562</v>
      </c>
      <c r="AU279" s="477">
        <v>-96655.24377735093</v>
      </c>
      <c r="AV279" s="494">
        <f t="shared" si="51"/>
        <v>-327375.25294783822</v>
      </c>
      <c r="AW279" s="494">
        <f t="shared" si="55"/>
        <v>0</v>
      </c>
      <c r="AX279" s="468"/>
      <c r="AY279" s="589">
        <v>-109986.49252800003</v>
      </c>
      <c r="AZ279" s="510">
        <f t="shared" si="52"/>
        <v>-437361.74547583825</v>
      </c>
      <c r="BA279" s="511">
        <f t="shared" si="53"/>
        <v>0</v>
      </c>
      <c r="BB279" s="460"/>
      <c r="BC279" s="464">
        <f t="shared" si="46"/>
        <v>0</v>
      </c>
    </row>
    <row r="280" spans="1:55" ht="15">
      <c r="A280" s="431">
        <v>274</v>
      </c>
      <c r="B280" s="431">
        <v>240</v>
      </c>
      <c r="C280" t="s">
        <v>584</v>
      </c>
      <c r="D280" t="s">
        <v>1014</v>
      </c>
      <c r="E280" s="372">
        <v>92671.94313999977</v>
      </c>
      <c r="F280" s="372">
        <v>104310.51368300011</v>
      </c>
      <c r="G280" s="377">
        <v>-92026.969409999889</v>
      </c>
      <c r="H280" s="590">
        <v>-1814.0932679998223</v>
      </c>
      <c r="I280" s="358">
        <f t="shared" si="47"/>
        <v>103141.39414500016</v>
      </c>
      <c r="K280" s="66">
        <f t="shared" si="45"/>
        <v>0</v>
      </c>
      <c r="L280" s="66"/>
      <c r="M280" s="431">
        <v>274</v>
      </c>
      <c r="N280" s="431">
        <v>240</v>
      </c>
      <c r="O280" s="443" t="s">
        <v>584</v>
      </c>
      <c r="P280" s="443" t="s">
        <v>1014</v>
      </c>
      <c r="Q280" s="203">
        <v>-1814.0932679998223</v>
      </c>
      <c r="R280" s="457" t="s">
        <v>2509</v>
      </c>
      <c r="S280" s="253"/>
      <c r="T280" s="159">
        <v>272</v>
      </c>
      <c r="U280" t="s">
        <v>584</v>
      </c>
      <c r="V280" t="s">
        <v>1014</v>
      </c>
      <c r="W280" s="372">
        <v>45287.89</v>
      </c>
      <c r="X280" s="372">
        <v>47384.053139999771</v>
      </c>
      <c r="Y280" s="377">
        <v>104310.51368300011</v>
      </c>
      <c r="Z280" s="378">
        <v>-92026.969409999889</v>
      </c>
      <c r="AA280" s="358">
        <f t="shared" si="48"/>
        <v>104955.48741299998</v>
      </c>
      <c r="AE280" s="159">
        <f t="shared" si="49"/>
        <v>0</v>
      </c>
      <c r="AG280" s="471" t="s">
        <v>584</v>
      </c>
      <c r="AH280" s="467" t="s">
        <v>1014</v>
      </c>
      <c r="AI280" s="480">
        <v>45287.89</v>
      </c>
      <c r="AJ280" s="480">
        <v>47384.053139999771</v>
      </c>
      <c r="AK280" s="476">
        <v>104310.51368300011</v>
      </c>
      <c r="AL280" s="477">
        <v>-92026.969409999889</v>
      </c>
      <c r="AM280" s="478">
        <v>104955.48741299998</v>
      </c>
      <c r="AN280" s="478"/>
      <c r="AO280" s="467"/>
      <c r="AP280" s="479">
        <f t="shared" si="50"/>
        <v>59667.597412999996</v>
      </c>
      <c r="AQ280" s="467"/>
      <c r="AR280" s="467"/>
      <c r="AS280" s="512">
        <f>+AI280+AJ280</f>
        <v>92671.94313999977</v>
      </c>
      <c r="AT280" s="476">
        <v>104310.51368300011</v>
      </c>
      <c r="AU280" s="477">
        <v>-92026.969409999889</v>
      </c>
      <c r="AV280" s="494">
        <f t="shared" si="51"/>
        <v>104955.48741299998</v>
      </c>
      <c r="AW280" s="513">
        <f>+AV280-AM280</f>
        <v>0</v>
      </c>
      <c r="AX280" s="468"/>
      <c r="AY280" s="589">
        <v>-1814.0932679998223</v>
      </c>
      <c r="AZ280" s="510">
        <f t="shared" si="52"/>
        <v>103141.39414500016</v>
      </c>
      <c r="BA280" s="511">
        <f t="shared" si="53"/>
        <v>0</v>
      </c>
      <c r="BB280" s="460"/>
      <c r="BC280" s="464">
        <f t="shared" si="46"/>
        <v>0</v>
      </c>
    </row>
    <row r="281" spans="1:55" ht="15">
      <c r="A281" s="431">
        <v>275</v>
      </c>
      <c r="B281" s="431">
        <v>268</v>
      </c>
      <c r="C281" t="s">
        <v>630</v>
      </c>
      <c r="D281" t="s">
        <v>1033</v>
      </c>
      <c r="E281" s="372">
        <v>-67617.574877999985</v>
      </c>
      <c r="F281" s="372">
        <v>-5485.8716120000026</v>
      </c>
      <c r="G281" s="377">
        <v>-628.77311199999531</v>
      </c>
      <c r="H281" s="590">
        <v>-16401.125150000007</v>
      </c>
      <c r="I281" s="358">
        <f>SUM(E281:H281)</f>
        <v>-90133.34475199999</v>
      </c>
      <c r="K281" s="66">
        <f t="shared" si="45"/>
        <v>0</v>
      </c>
      <c r="L281" s="66"/>
      <c r="M281" s="431">
        <v>275</v>
      </c>
      <c r="N281" s="431">
        <v>268</v>
      </c>
      <c r="O281" s="443" t="s">
        <v>630</v>
      </c>
      <c r="P281" s="443" t="s">
        <v>1033</v>
      </c>
      <c r="Q281" s="203">
        <v>-16401.125150000007</v>
      </c>
      <c r="R281" s="457" t="s">
        <v>2509</v>
      </c>
      <c r="S281" s="253"/>
      <c r="T281" s="159">
        <v>276</v>
      </c>
      <c r="U281" t="s">
        <v>630</v>
      </c>
      <c r="V281" t="s">
        <v>1033</v>
      </c>
      <c r="W281" s="372">
        <v>-26038.65</v>
      </c>
      <c r="X281" s="372">
        <v>-67617.574877999985</v>
      </c>
      <c r="Y281" s="377">
        <v>-5485.8716120000026</v>
      </c>
      <c r="Z281" s="378">
        <v>-628.77311199999531</v>
      </c>
      <c r="AA281" s="358">
        <f>SUM(W281:Z281)</f>
        <v>-99770.869601999977</v>
      </c>
      <c r="AE281" s="159">
        <f>+AG281-U281</f>
        <v>0</v>
      </c>
      <c r="AG281" s="471" t="s">
        <v>630</v>
      </c>
      <c r="AH281" s="467" t="s">
        <v>1033</v>
      </c>
      <c r="AI281" s="475">
        <v>-26038.65</v>
      </c>
      <c r="AJ281" s="475">
        <v>-67617.574877999985</v>
      </c>
      <c r="AK281" s="476">
        <v>-5485.8716120000026</v>
      </c>
      <c r="AL281" s="477">
        <v>-628.77311199999531</v>
      </c>
      <c r="AM281" s="478">
        <v>-99770.869601999977</v>
      </c>
      <c r="AN281" s="478"/>
      <c r="AO281" s="467"/>
      <c r="AP281" s="479">
        <f>SUM(AJ281:AL281)</f>
        <v>-73732.219601999983</v>
      </c>
      <c r="AQ281" s="467"/>
      <c r="AR281" s="467"/>
      <c r="AS281" s="509">
        <f>+AJ281</f>
        <v>-67617.574877999985</v>
      </c>
      <c r="AT281" s="476">
        <v>-5485.8716120000026</v>
      </c>
      <c r="AU281" s="477">
        <v>-628.77311199999531</v>
      </c>
      <c r="AV281" s="494">
        <f>SUM(AS281:AU281)</f>
        <v>-73732.219601999983</v>
      </c>
      <c r="AW281" s="494">
        <f>+AV281-AP281</f>
        <v>0</v>
      </c>
      <c r="AX281" s="468"/>
      <c r="AY281" s="589">
        <v>-16401.125150000007</v>
      </c>
      <c r="AZ281" s="510">
        <f>+AY281+AV281</f>
        <v>-90133.34475199999</v>
      </c>
      <c r="BA281" s="511">
        <f>+AZ281-I281</f>
        <v>0</v>
      </c>
      <c r="BB281" s="460"/>
      <c r="BC281" s="464">
        <f t="shared" si="46"/>
        <v>0</v>
      </c>
    </row>
    <row r="282" spans="1:55" ht="15">
      <c r="A282" s="431">
        <v>276</v>
      </c>
      <c r="B282" s="431">
        <v>119</v>
      </c>
      <c r="C282" t="s">
        <v>1515</v>
      </c>
      <c r="D282" t="s">
        <v>1666</v>
      </c>
      <c r="E282" s="372">
        <v>-70812.493999999992</v>
      </c>
      <c r="F282" s="372">
        <v>-44713.510000000009</v>
      </c>
      <c r="G282" s="377">
        <v>-55224.745999999992</v>
      </c>
      <c r="H282" s="590">
        <v>-52562.300738999969</v>
      </c>
      <c r="I282" s="358">
        <f t="shared" si="47"/>
        <v>-223313.05073899997</v>
      </c>
      <c r="K282" s="66">
        <f t="shared" si="45"/>
        <v>0</v>
      </c>
      <c r="L282" s="66"/>
      <c r="M282" s="431">
        <v>276</v>
      </c>
      <c r="N282" s="431">
        <v>119</v>
      </c>
      <c r="O282" s="443" t="s">
        <v>1515</v>
      </c>
      <c r="P282" s="443" t="s">
        <v>1666</v>
      </c>
      <c r="Q282" s="203">
        <v>-52562.300738999969</v>
      </c>
      <c r="R282" s="457" t="s">
        <v>2509</v>
      </c>
      <c r="S282" s="253"/>
      <c r="T282" s="159">
        <v>273</v>
      </c>
      <c r="U282" t="s">
        <v>1515</v>
      </c>
      <c r="V282" t="s">
        <v>1666</v>
      </c>
      <c r="W282" s="372">
        <v>-90654.17</v>
      </c>
      <c r="X282" s="372">
        <v>-70812.493999999992</v>
      </c>
      <c r="Y282" s="377">
        <v>-44713.510000000009</v>
      </c>
      <c r="Z282" s="378">
        <v>-55224.745999999992</v>
      </c>
      <c r="AA282" s="358">
        <f t="shared" si="48"/>
        <v>-261404.91999999998</v>
      </c>
      <c r="AE282" s="159">
        <f t="shared" si="49"/>
        <v>0</v>
      </c>
      <c r="AG282" s="471" t="s">
        <v>1515</v>
      </c>
      <c r="AH282" s="467" t="s">
        <v>1666</v>
      </c>
      <c r="AI282" s="475">
        <v>-90654.17</v>
      </c>
      <c r="AJ282" s="475">
        <v>-70812.493999999992</v>
      </c>
      <c r="AK282" s="476">
        <v>-44713.510000000009</v>
      </c>
      <c r="AL282" s="477">
        <v>-55224.745999999992</v>
      </c>
      <c r="AM282" s="478">
        <v>-261404.91999999998</v>
      </c>
      <c r="AN282" s="478"/>
      <c r="AO282" s="467"/>
      <c r="AP282" s="479">
        <f t="shared" si="50"/>
        <v>-170750.75</v>
      </c>
      <c r="AQ282" s="467"/>
      <c r="AR282" s="467"/>
      <c r="AS282" s="509">
        <f t="shared" si="54"/>
        <v>-70812.493999999992</v>
      </c>
      <c r="AT282" s="476">
        <v>-44713.510000000009</v>
      </c>
      <c r="AU282" s="477">
        <v>-55224.745999999992</v>
      </c>
      <c r="AV282" s="494">
        <f t="shared" si="51"/>
        <v>-170750.75</v>
      </c>
      <c r="AW282" s="494">
        <f t="shared" si="55"/>
        <v>0</v>
      </c>
      <c r="AX282" s="468"/>
      <c r="AY282" s="589">
        <v>-52562.300738999969</v>
      </c>
      <c r="AZ282" s="510">
        <f t="shared" si="52"/>
        <v>-223313.05073899997</v>
      </c>
      <c r="BA282" s="511">
        <f t="shared" si="53"/>
        <v>0</v>
      </c>
      <c r="BB282" s="460"/>
      <c r="BC282" s="464">
        <f t="shared" si="46"/>
        <v>0</v>
      </c>
    </row>
    <row r="283" spans="1:55" ht="15">
      <c r="A283" s="431">
        <v>277</v>
      </c>
      <c r="B283" s="431">
        <v>213</v>
      </c>
      <c r="C283" t="s">
        <v>1458</v>
      </c>
      <c r="D283" t="s">
        <v>1647</v>
      </c>
      <c r="E283" s="372">
        <v>-35526.348065000013</v>
      </c>
      <c r="F283" s="372">
        <v>-29062.916509999995</v>
      </c>
      <c r="G283" s="377">
        <v>-31303.087064000003</v>
      </c>
      <c r="H283" s="590">
        <v>-28198.835514999999</v>
      </c>
      <c r="I283" s="358">
        <f t="shared" si="47"/>
        <v>-124091.18715400001</v>
      </c>
      <c r="K283" s="66">
        <f t="shared" si="45"/>
        <v>0</v>
      </c>
      <c r="L283" s="66"/>
      <c r="M283" s="431">
        <v>277</v>
      </c>
      <c r="N283" s="431">
        <v>213</v>
      </c>
      <c r="O283" s="443" t="s">
        <v>1458</v>
      </c>
      <c r="P283" s="443" t="s">
        <v>1647</v>
      </c>
      <c r="Q283" s="203">
        <v>-28198.835514999999</v>
      </c>
      <c r="R283" s="457" t="s">
        <v>2509</v>
      </c>
      <c r="S283" s="253"/>
      <c r="T283" s="159">
        <v>274</v>
      </c>
      <c r="U283" t="s">
        <v>1458</v>
      </c>
      <c r="V283" t="s">
        <v>1647</v>
      </c>
      <c r="W283" s="372">
        <v>-55449.2</v>
      </c>
      <c r="X283" s="372">
        <v>-35526.348065000013</v>
      </c>
      <c r="Y283" s="377">
        <v>-29062.916509999995</v>
      </c>
      <c r="Z283" s="378">
        <v>-31303.087064000003</v>
      </c>
      <c r="AA283" s="358">
        <f t="shared" si="48"/>
        <v>-151341.55163900001</v>
      </c>
      <c r="AE283" s="159">
        <f t="shared" si="49"/>
        <v>0</v>
      </c>
      <c r="AG283" s="471" t="s">
        <v>1458</v>
      </c>
      <c r="AH283" s="467" t="s">
        <v>1647</v>
      </c>
      <c r="AI283" s="475">
        <v>-55449.2</v>
      </c>
      <c r="AJ283" s="475">
        <v>-35526.348065000013</v>
      </c>
      <c r="AK283" s="476">
        <v>-29062.916509999995</v>
      </c>
      <c r="AL283" s="477">
        <v>-31303.087064000003</v>
      </c>
      <c r="AM283" s="478">
        <v>-151341.55163900001</v>
      </c>
      <c r="AN283" s="478"/>
      <c r="AO283" s="467"/>
      <c r="AP283" s="479">
        <f t="shared" si="50"/>
        <v>-95892.351639000015</v>
      </c>
      <c r="AQ283" s="467"/>
      <c r="AR283" s="467"/>
      <c r="AS283" s="509">
        <f t="shared" si="54"/>
        <v>-35526.348065000013</v>
      </c>
      <c r="AT283" s="476">
        <v>-29062.916509999995</v>
      </c>
      <c r="AU283" s="477">
        <v>-31303.087064000003</v>
      </c>
      <c r="AV283" s="494">
        <f t="shared" si="51"/>
        <v>-95892.351639000015</v>
      </c>
      <c r="AW283" s="494">
        <f t="shared" si="55"/>
        <v>0</v>
      </c>
      <c r="AX283" s="468"/>
      <c r="AY283" s="589">
        <v>-28198.835514999999</v>
      </c>
      <c r="AZ283" s="510">
        <f t="shared" si="52"/>
        <v>-124091.18715400001</v>
      </c>
      <c r="BA283" s="511">
        <f t="shared" si="53"/>
        <v>0</v>
      </c>
      <c r="BB283" s="460"/>
      <c r="BC283" s="464">
        <f t="shared" si="46"/>
        <v>0</v>
      </c>
    </row>
    <row r="284" spans="1:55" ht="15">
      <c r="A284" s="431">
        <v>278</v>
      </c>
      <c r="B284" s="431">
        <v>117</v>
      </c>
      <c r="C284" t="s">
        <v>1460</v>
      </c>
      <c r="D284" t="s">
        <v>1648</v>
      </c>
      <c r="E284" s="372">
        <v>-59708.753303999998</v>
      </c>
      <c r="F284" s="372">
        <v>-44586.923548000006</v>
      </c>
      <c r="G284" s="377">
        <v>-48948.54823</v>
      </c>
      <c r="H284" s="590">
        <v>-11416.650664000001</v>
      </c>
      <c r="I284" s="358">
        <f t="shared" si="47"/>
        <v>-164660.87574600003</v>
      </c>
      <c r="K284" s="66">
        <f t="shared" si="45"/>
        <v>0</v>
      </c>
      <c r="L284" s="66"/>
      <c r="M284" s="431">
        <v>278</v>
      </c>
      <c r="N284" s="431">
        <v>117</v>
      </c>
      <c r="O284" s="443" t="s">
        <v>1460</v>
      </c>
      <c r="P284" s="443" t="s">
        <v>1648</v>
      </c>
      <c r="Q284" s="203">
        <v>-11416.650664000001</v>
      </c>
      <c r="R284" s="457" t="s">
        <v>2509</v>
      </c>
      <c r="S284" s="253"/>
      <c r="T284" s="159">
        <v>275</v>
      </c>
      <c r="U284" t="s">
        <v>1460</v>
      </c>
      <c r="V284" t="s">
        <v>1648</v>
      </c>
      <c r="W284" s="372">
        <v>-59323</v>
      </c>
      <c r="X284" s="372">
        <v>-59708.753303999998</v>
      </c>
      <c r="Y284" s="377">
        <v>-44586.923548000006</v>
      </c>
      <c r="Z284" s="378">
        <v>-48948.54823</v>
      </c>
      <c r="AA284" s="358">
        <f t="shared" si="48"/>
        <v>-212567.22508200002</v>
      </c>
      <c r="AE284" s="159">
        <f t="shared" si="49"/>
        <v>0</v>
      </c>
      <c r="AG284" s="471" t="s">
        <v>1460</v>
      </c>
      <c r="AH284" s="467" t="s">
        <v>1648</v>
      </c>
      <c r="AI284" s="475">
        <v>-59323</v>
      </c>
      <c r="AJ284" s="475">
        <v>-59708.753303999998</v>
      </c>
      <c r="AK284" s="476">
        <v>-44586.923548000006</v>
      </c>
      <c r="AL284" s="477">
        <v>-48948.54823</v>
      </c>
      <c r="AM284" s="478">
        <v>-212567.22508200002</v>
      </c>
      <c r="AN284" s="478"/>
      <c r="AO284" s="467"/>
      <c r="AP284" s="479">
        <f t="shared" si="50"/>
        <v>-153244.22508200002</v>
      </c>
      <c r="AQ284" s="467"/>
      <c r="AR284" s="467"/>
      <c r="AS284" s="509">
        <f t="shared" si="54"/>
        <v>-59708.753303999998</v>
      </c>
      <c r="AT284" s="476">
        <v>-44586.923548000006</v>
      </c>
      <c r="AU284" s="477">
        <v>-48948.54823</v>
      </c>
      <c r="AV284" s="494">
        <f t="shared" si="51"/>
        <v>-153244.22508200002</v>
      </c>
      <c r="AW284" s="494">
        <f t="shared" si="55"/>
        <v>0</v>
      </c>
      <c r="AX284" s="468"/>
      <c r="AY284" s="589">
        <v>-11416.650664000001</v>
      </c>
      <c r="AZ284" s="510">
        <f t="shared" si="52"/>
        <v>-164660.87574600003</v>
      </c>
      <c r="BA284" s="511">
        <f t="shared" si="53"/>
        <v>0</v>
      </c>
      <c r="BB284" s="460"/>
      <c r="BC284" s="464">
        <f t="shared" si="46"/>
        <v>0</v>
      </c>
    </row>
    <row r="285" spans="1:55" ht="15">
      <c r="A285" s="431">
        <v>279</v>
      </c>
      <c r="B285" s="431">
        <v>201</v>
      </c>
      <c r="C285" t="s">
        <v>515</v>
      </c>
      <c r="D285" t="s">
        <v>987</v>
      </c>
      <c r="E285" s="372">
        <v>-371857.04156399926</v>
      </c>
      <c r="F285" s="372">
        <v>1385593.3939413978</v>
      </c>
      <c r="G285" s="377">
        <v>121559.30401311992</v>
      </c>
      <c r="H285" s="590">
        <v>-270799.58294400014</v>
      </c>
      <c r="I285" s="358">
        <f t="shared" si="47"/>
        <v>864496.07344651828</v>
      </c>
      <c r="K285" s="66">
        <f t="shared" si="45"/>
        <v>0</v>
      </c>
      <c r="L285" s="66"/>
      <c r="M285" s="431">
        <v>279</v>
      </c>
      <c r="N285" s="431">
        <v>201</v>
      </c>
      <c r="O285" s="443" t="s">
        <v>515</v>
      </c>
      <c r="P285" s="443" t="s">
        <v>987</v>
      </c>
      <c r="Q285" s="203">
        <v>-270799.58294400014</v>
      </c>
      <c r="R285" s="457" t="s">
        <v>2509</v>
      </c>
      <c r="S285" s="253"/>
      <c r="T285" s="159">
        <v>277</v>
      </c>
      <c r="U285" t="s">
        <v>515</v>
      </c>
      <c r="V285" t="s">
        <v>987</v>
      </c>
      <c r="W285" s="372">
        <v>-108297.52</v>
      </c>
      <c r="X285" s="372">
        <v>-371857.04156399926</v>
      </c>
      <c r="Y285" s="377">
        <v>1493890.9139413978</v>
      </c>
      <c r="Z285" s="378">
        <v>121559.30401311992</v>
      </c>
      <c r="AA285" s="358">
        <f t="shared" si="48"/>
        <v>1135295.6563905184</v>
      </c>
      <c r="AE285" s="159">
        <f t="shared" si="49"/>
        <v>0</v>
      </c>
      <c r="AG285" s="471" t="s">
        <v>515</v>
      </c>
      <c r="AH285" s="467" t="s">
        <v>987</v>
      </c>
      <c r="AI285" s="480">
        <v>-108297.52</v>
      </c>
      <c r="AJ285" s="475">
        <v>-371857.04156399926</v>
      </c>
      <c r="AK285" s="481">
        <v>1493890.9139413978</v>
      </c>
      <c r="AL285" s="477">
        <v>121559.30401311992</v>
      </c>
      <c r="AM285" s="478">
        <v>1135295.6563905184</v>
      </c>
      <c r="AN285" s="483">
        <f>+AI285+AK285</f>
        <v>1385593.3939413978</v>
      </c>
      <c r="AO285" s="467"/>
      <c r="AP285" s="479">
        <f t="shared" si="50"/>
        <v>1243593.1763905184</v>
      </c>
      <c r="AQ285" s="467"/>
      <c r="AR285" s="467"/>
      <c r="AS285" s="509">
        <f t="shared" si="54"/>
        <v>-371857.04156399926</v>
      </c>
      <c r="AT285" s="481">
        <v>1385593.3939413978</v>
      </c>
      <c r="AU285" s="477">
        <v>121559.30401311992</v>
      </c>
      <c r="AV285" s="494">
        <f t="shared" si="51"/>
        <v>1135295.6563905184</v>
      </c>
      <c r="AW285" s="513">
        <f>+AV285-AM285</f>
        <v>0</v>
      </c>
      <c r="AX285" s="468"/>
      <c r="AY285" s="589">
        <v>-270799.58294400014</v>
      </c>
      <c r="AZ285" s="510">
        <f t="shared" si="52"/>
        <v>864496.07344651828</v>
      </c>
      <c r="BA285" s="511">
        <f t="shared" si="53"/>
        <v>0</v>
      </c>
      <c r="BB285" s="460"/>
      <c r="BC285" s="464">
        <f t="shared" si="46"/>
        <v>0</v>
      </c>
    </row>
    <row r="286" spans="1:55" ht="15">
      <c r="A286" s="431">
        <v>280</v>
      </c>
      <c r="B286" s="431">
        <v>321</v>
      </c>
      <c r="C286" t="s">
        <v>724</v>
      </c>
      <c r="D286" t="s">
        <v>1074</v>
      </c>
      <c r="E286" s="372">
        <v>-1658863.9974180001</v>
      </c>
      <c r="F286" s="372">
        <v>-540206.5966409985</v>
      </c>
      <c r="G286" s="377">
        <v>-501723.61128599953</v>
      </c>
      <c r="H286" s="590">
        <v>-631325.0601320006</v>
      </c>
      <c r="I286" s="358">
        <f t="shared" si="47"/>
        <v>-3332119.2654769989</v>
      </c>
      <c r="K286" s="66">
        <f t="shared" si="45"/>
        <v>0</v>
      </c>
      <c r="L286" s="66"/>
      <c r="M286" s="431">
        <v>280</v>
      </c>
      <c r="N286" s="431">
        <v>321</v>
      </c>
      <c r="O286" s="443" t="s">
        <v>724</v>
      </c>
      <c r="P286" s="443" t="s">
        <v>1074</v>
      </c>
      <c r="Q286" s="203">
        <v>-631325.0601320006</v>
      </c>
      <c r="R286" s="457" t="s">
        <v>2509</v>
      </c>
      <c r="S286" s="253"/>
      <c r="T286" s="159">
        <v>278</v>
      </c>
      <c r="U286" t="s">
        <v>724</v>
      </c>
      <c r="V286" t="s">
        <v>1074</v>
      </c>
      <c r="W286" s="372">
        <v>-780638.5</v>
      </c>
      <c r="X286" s="372">
        <v>-1658863.9974180001</v>
      </c>
      <c r="Y286" s="377">
        <v>-540206.5966409985</v>
      </c>
      <c r="Z286" s="378">
        <v>-501723.61128599953</v>
      </c>
      <c r="AA286" s="358">
        <f t="shared" si="48"/>
        <v>-3481432.7053449983</v>
      </c>
      <c r="AE286" s="159">
        <f t="shared" si="49"/>
        <v>0</v>
      </c>
      <c r="AG286" s="471" t="s">
        <v>724</v>
      </c>
      <c r="AH286" s="467" t="s">
        <v>1074</v>
      </c>
      <c r="AI286" s="475">
        <v>-780638.5</v>
      </c>
      <c r="AJ286" s="475">
        <v>-1658863.9974180001</v>
      </c>
      <c r="AK286" s="476">
        <v>-540206.5966409985</v>
      </c>
      <c r="AL286" s="477">
        <v>-501723.61128599953</v>
      </c>
      <c r="AM286" s="478">
        <v>-3481432.7053449983</v>
      </c>
      <c r="AN286" s="478"/>
      <c r="AO286" s="467"/>
      <c r="AP286" s="479">
        <f t="shared" si="50"/>
        <v>-2700794.2053449983</v>
      </c>
      <c r="AQ286" s="467"/>
      <c r="AR286" s="467"/>
      <c r="AS286" s="509">
        <f t="shared" si="54"/>
        <v>-1658863.9974180001</v>
      </c>
      <c r="AT286" s="476">
        <v>-540206.5966409985</v>
      </c>
      <c r="AU286" s="477">
        <v>-501723.61128599953</v>
      </c>
      <c r="AV286" s="494">
        <f t="shared" si="51"/>
        <v>-2700794.2053449983</v>
      </c>
      <c r="AW286" s="494">
        <f t="shared" si="55"/>
        <v>0</v>
      </c>
      <c r="AX286" s="468"/>
      <c r="AY286" s="589">
        <v>-631325.0601320006</v>
      </c>
      <c r="AZ286" s="510">
        <f t="shared" si="52"/>
        <v>-3332119.2654769989</v>
      </c>
      <c r="BA286" s="511">
        <f t="shared" si="53"/>
        <v>0</v>
      </c>
      <c r="BB286" s="460"/>
      <c r="BC286" s="464">
        <f t="shared" si="46"/>
        <v>0</v>
      </c>
    </row>
    <row r="287" spans="1:55" ht="15">
      <c r="A287" s="431">
        <v>281</v>
      </c>
      <c r="B287" s="431">
        <v>133</v>
      </c>
      <c r="C287" s="353" t="s">
        <v>1178</v>
      </c>
      <c r="D287" s="354" t="s">
        <v>1190</v>
      </c>
      <c r="E287" s="372">
        <v>0</v>
      </c>
      <c r="F287" s="372"/>
      <c r="G287" s="377"/>
      <c r="H287" s="590">
        <v>-86079.499064999996</v>
      </c>
      <c r="I287" s="358">
        <f t="shared" si="47"/>
        <v>-86079.499064999996</v>
      </c>
      <c r="K287" s="66">
        <f t="shared" si="45"/>
        <v>0</v>
      </c>
      <c r="L287" s="66"/>
      <c r="M287" s="431">
        <v>281</v>
      </c>
      <c r="N287" s="431">
        <v>133</v>
      </c>
      <c r="O287" s="445" t="s">
        <v>1178</v>
      </c>
      <c r="P287" s="446" t="s">
        <v>2493</v>
      </c>
      <c r="Q287" s="203">
        <v>-86079.499064999996</v>
      </c>
      <c r="R287" s="457" t="s">
        <v>2509</v>
      </c>
      <c r="S287" s="253"/>
      <c r="T287" s="159">
        <v>279</v>
      </c>
      <c r="U287" s="353" t="s">
        <v>1178</v>
      </c>
      <c r="V287" s="354" t="s">
        <v>1190</v>
      </c>
      <c r="W287" s="372">
        <v>0</v>
      </c>
      <c r="X287" s="372"/>
      <c r="Y287" s="377"/>
      <c r="Z287" s="378"/>
      <c r="AA287" s="358">
        <f t="shared" si="48"/>
        <v>0</v>
      </c>
      <c r="AE287" s="159">
        <f t="shared" si="49"/>
        <v>0</v>
      </c>
      <c r="AG287" s="471" t="s">
        <v>1178</v>
      </c>
      <c r="AH287" s="467" t="s">
        <v>1190</v>
      </c>
      <c r="AI287" s="475">
        <v>0</v>
      </c>
      <c r="AJ287" s="475"/>
      <c r="AK287" s="476"/>
      <c r="AL287" s="477"/>
      <c r="AM287" s="478">
        <v>0</v>
      </c>
      <c r="AN287" s="478"/>
      <c r="AO287" s="467"/>
      <c r="AP287" s="479">
        <f t="shared" si="50"/>
        <v>0</v>
      </c>
      <c r="AQ287" s="467"/>
      <c r="AR287" s="467"/>
      <c r="AS287" s="509">
        <f t="shared" si="54"/>
        <v>0</v>
      </c>
      <c r="AT287" s="476"/>
      <c r="AU287" s="477"/>
      <c r="AV287" s="494">
        <f t="shared" si="51"/>
        <v>0</v>
      </c>
      <c r="AW287" s="494">
        <f t="shared" si="55"/>
        <v>0</v>
      </c>
      <c r="AX287" s="468"/>
      <c r="AY287" s="589">
        <v>-86079.499064999996</v>
      </c>
      <c r="AZ287" s="510">
        <f t="shared" si="52"/>
        <v>-86079.499064999996</v>
      </c>
      <c r="BA287" s="511">
        <f t="shared" si="53"/>
        <v>0</v>
      </c>
      <c r="BB287" s="460"/>
      <c r="BC287" s="464">
        <f t="shared" si="46"/>
        <v>0</v>
      </c>
    </row>
    <row r="288" spans="1:55" ht="15">
      <c r="A288" s="431">
        <v>282</v>
      </c>
      <c r="B288" s="431">
        <v>198</v>
      </c>
      <c r="C288" t="s">
        <v>509</v>
      </c>
      <c r="D288" t="s">
        <v>984</v>
      </c>
      <c r="E288" s="372">
        <v>-5950973.99039998</v>
      </c>
      <c r="F288" s="372">
        <v>-2695722.0426317044</v>
      </c>
      <c r="G288" s="377">
        <v>-2975047.5678945817</v>
      </c>
      <c r="H288" s="590">
        <v>-4584046.9748560041</v>
      </c>
      <c r="I288" s="358">
        <f t="shared" si="47"/>
        <v>-16205790.575782269</v>
      </c>
      <c r="K288" s="66">
        <f t="shared" si="45"/>
        <v>0</v>
      </c>
      <c r="L288" s="66"/>
      <c r="M288" s="431">
        <v>282</v>
      </c>
      <c r="N288" s="431">
        <v>198</v>
      </c>
      <c r="O288" s="443" t="s">
        <v>509</v>
      </c>
      <c r="P288" s="443" t="s">
        <v>984</v>
      </c>
      <c r="Q288" s="203">
        <v>-4584046.9748560041</v>
      </c>
      <c r="R288" s="457" t="s">
        <v>2509</v>
      </c>
      <c r="S288" s="253"/>
      <c r="T288" s="159">
        <v>280</v>
      </c>
      <c r="U288" t="s">
        <v>509</v>
      </c>
      <c r="V288" t="s">
        <v>984</v>
      </c>
      <c r="W288" s="372">
        <v>-3041143.11</v>
      </c>
      <c r="X288" s="372">
        <v>-5950973.99039998</v>
      </c>
      <c r="Y288" s="377">
        <v>-2695722.0426317044</v>
      </c>
      <c r="Z288" s="378">
        <v>-2975047.5678945817</v>
      </c>
      <c r="AA288" s="358">
        <f t="shared" si="48"/>
        <v>-14662886.710926266</v>
      </c>
      <c r="AE288" s="159">
        <f t="shared" si="49"/>
        <v>0</v>
      </c>
      <c r="AG288" s="471" t="s">
        <v>509</v>
      </c>
      <c r="AH288" s="467" t="s">
        <v>984</v>
      </c>
      <c r="AI288" s="475">
        <v>-3041143.11</v>
      </c>
      <c r="AJ288" s="475">
        <v>-5950973.99039998</v>
      </c>
      <c r="AK288" s="476">
        <v>-2695722.0426317044</v>
      </c>
      <c r="AL288" s="477">
        <v>-2975047.5678945817</v>
      </c>
      <c r="AM288" s="478">
        <v>-14662886.710926266</v>
      </c>
      <c r="AN288" s="478"/>
      <c r="AO288" s="467"/>
      <c r="AP288" s="479">
        <f t="shared" si="50"/>
        <v>-11621743.600926265</v>
      </c>
      <c r="AQ288" s="467"/>
      <c r="AR288" s="467"/>
      <c r="AS288" s="509">
        <f t="shared" si="54"/>
        <v>-5950973.99039998</v>
      </c>
      <c r="AT288" s="476">
        <v>-2695722.0426317044</v>
      </c>
      <c r="AU288" s="477">
        <v>-2975047.5678945817</v>
      </c>
      <c r="AV288" s="494">
        <f t="shared" si="51"/>
        <v>-11621743.600926265</v>
      </c>
      <c r="AW288" s="494">
        <f t="shared" si="55"/>
        <v>0</v>
      </c>
      <c r="AX288" s="468"/>
      <c r="AY288" s="589">
        <v>-4584046.9748560041</v>
      </c>
      <c r="AZ288" s="510">
        <f t="shared" si="52"/>
        <v>-16205790.575782269</v>
      </c>
      <c r="BA288" s="511">
        <f t="shared" si="53"/>
        <v>0</v>
      </c>
      <c r="BB288" s="460"/>
      <c r="BC288" s="464">
        <f t="shared" si="46"/>
        <v>0</v>
      </c>
    </row>
    <row r="289" spans="1:55" ht="15">
      <c r="A289" s="431">
        <v>283</v>
      </c>
      <c r="B289" s="431">
        <v>82</v>
      </c>
      <c r="C289" t="s">
        <v>309</v>
      </c>
      <c r="D289" t="s">
        <v>892</v>
      </c>
      <c r="E289" s="372">
        <v>-257745.80747000006</v>
      </c>
      <c r="F289" s="372">
        <v>-250743.15007599996</v>
      </c>
      <c r="G289" s="377">
        <v>-214489.59792000003</v>
      </c>
      <c r="H289" s="590">
        <v>-259429.24068299998</v>
      </c>
      <c r="I289" s="358">
        <f t="shared" si="47"/>
        <v>-982407.79614899994</v>
      </c>
      <c r="K289" s="66">
        <f t="shared" si="45"/>
        <v>0</v>
      </c>
      <c r="L289" s="66"/>
      <c r="M289" s="431">
        <v>283</v>
      </c>
      <c r="N289" s="431">
        <v>82</v>
      </c>
      <c r="O289" s="443" t="s">
        <v>309</v>
      </c>
      <c r="P289" s="443" t="s">
        <v>892</v>
      </c>
      <c r="Q289" s="203">
        <v>-259429.24068299998</v>
      </c>
      <c r="R289" s="457" t="s">
        <v>2509</v>
      </c>
      <c r="S289" s="253"/>
      <c r="T289" s="159">
        <v>281</v>
      </c>
      <c r="U289" t="s">
        <v>309</v>
      </c>
      <c r="V289" t="s">
        <v>892</v>
      </c>
      <c r="W289" s="372">
        <v>-194832.09</v>
      </c>
      <c r="X289" s="372">
        <v>-257745.80747000006</v>
      </c>
      <c r="Y289" s="377">
        <v>-250743.15007599996</v>
      </c>
      <c r="Z289" s="378">
        <v>-214489.59792000003</v>
      </c>
      <c r="AA289" s="358">
        <f t="shared" si="48"/>
        <v>-917810.64546600007</v>
      </c>
      <c r="AE289" s="159">
        <f t="shared" si="49"/>
        <v>0</v>
      </c>
      <c r="AG289" s="471" t="s">
        <v>309</v>
      </c>
      <c r="AH289" s="467" t="s">
        <v>892</v>
      </c>
      <c r="AI289" s="475">
        <v>-194832.09</v>
      </c>
      <c r="AJ289" s="475">
        <v>-257745.80747000006</v>
      </c>
      <c r="AK289" s="476">
        <v>-250743.15007599996</v>
      </c>
      <c r="AL289" s="477">
        <v>-214489.59792000003</v>
      </c>
      <c r="AM289" s="478">
        <v>-917810.64546600007</v>
      </c>
      <c r="AN289" s="478"/>
      <c r="AO289" s="467"/>
      <c r="AP289" s="479">
        <f t="shared" si="50"/>
        <v>-722978.55546599999</v>
      </c>
      <c r="AQ289" s="467"/>
      <c r="AR289" s="467"/>
      <c r="AS289" s="509">
        <f t="shared" si="54"/>
        <v>-257745.80747000006</v>
      </c>
      <c r="AT289" s="476">
        <v>-250743.15007599996</v>
      </c>
      <c r="AU289" s="477">
        <v>-214489.59792000003</v>
      </c>
      <c r="AV289" s="494">
        <f t="shared" si="51"/>
        <v>-722978.55546599999</v>
      </c>
      <c r="AW289" s="494">
        <f t="shared" si="55"/>
        <v>0</v>
      </c>
      <c r="AX289" s="468"/>
      <c r="AY289" s="589">
        <v>-259429.24068299998</v>
      </c>
      <c r="AZ289" s="510">
        <f t="shared" si="52"/>
        <v>-982407.79614899994</v>
      </c>
      <c r="BA289" s="511">
        <f t="shared" si="53"/>
        <v>0</v>
      </c>
      <c r="BB289" s="460"/>
      <c r="BC289" s="464">
        <f t="shared" si="46"/>
        <v>0</v>
      </c>
    </row>
    <row r="290" spans="1:55" ht="15">
      <c r="A290" s="431">
        <v>284</v>
      </c>
      <c r="B290" s="431">
        <v>109</v>
      </c>
      <c r="C290" t="s">
        <v>361</v>
      </c>
      <c r="D290" t="s">
        <v>918</v>
      </c>
      <c r="E290" s="372">
        <v>-558746.50160000031</v>
      </c>
      <c r="F290" s="372">
        <v>30423.405499999644</v>
      </c>
      <c r="G290" s="377">
        <v>-197538.90419800041</v>
      </c>
      <c r="H290" s="590">
        <v>-378838.68312100088</v>
      </c>
      <c r="I290" s="358">
        <f t="shared" si="47"/>
        <v>-1104700.683419002</v>
      </c>
      <c r="K290" s="66">
        <f t="shared" si="45"/>
        <v>0</v>
      </c>
      <c r="L290" s="66"/>
      <c r="M290" s="431">
        <v>284</v>
      </c>
      <c r="N290" s="431">
        <v>109</v>
      </c>
      <c r="O290" s="443" t="s">
        <v>361</v>
      </c>
      <c r="P290" s="443" t="s">
        <v>918</v>
      </c>
      <c r="Q290" s="203">
        <v>-378838.68312100088</v>
      </c>
      <c r="R290" s="457" t="s">
        <v>2509</v>
      </c>
      <c r="S290" s="253"/>
      <c r="T290" s="159">
        <v>282</v>
      </c>
      <c r="U290" t="s">
        <v>361</v>
      </c>
      <c r="V290" t="s">
        <v>918</v>
      </c>
      <c r="W290" s="372">
        <v>-545694.12</v>
      </c>
      <c r="X290" s="372">
        <v>-558746.50160000031</v>
      </c>
      <c r="Y290" s="377">
        <v>576117.52549999964</v>
      </c>
      <c r="Z290" s="378">
        <v>-197538.90419800041</v>
      </c>
      <c r="AA290" s="358">
        <f t="shared" si="48"/>
        <v>-725862.00029800099</v>
      </c>
      <c r="AE290" s="159">
        <f t="shared" si="49"/>
        <v>0</v>
      </c>
      <c r="AG290" s="471" t="s">
        <v>361</v>
      </c>
      <c r="AH290" s="467" t="s">
        <v>918</v>
      </c>
      <c r="AI290" s="480">
        <v>-545694.12</v>
      </c>
      <c r="AJ290" s="475">
        <v>-558746.50160000031</v>
      </c>
      <c r="AK290" s="481">
        <v>576117.52549999964</v>
      </c>
      <c r="AL290" s="477">
        <v>-197538.90419800041</v>
      </c>
      <c r="AM290" s="478">
        <v>-725862.00029800099</v>
      </c>
      <c r="AN290" s="483">
        <f>+AI290+AK290</f>
        <v>30423.405499999644</v>
      </c>
      <c r="AO290" s="467"/>
      <c r="AP290" s="479">
        <f t="shared" si="50"/>
        <v>-180167.88029800108</v>
      </c>
      <c r="AQ290" s="467"/>
      <c r="AR290" s="467"/>
      <c r="AS290" s="509">
        <f t="shared" si="54"/>
        <v>-558746.50160000031</v>
      </c>
      <c r="AT290" s="481">
        <v>30423.405499999644</v>
      </c>
      <c r="AU290" s="477">
        <v>-197538.90419800041</v>
      </c>
      <c r="AV290" s="494">
        <f t="shared" si="51"/>
        <v>-725862.0002980011</v>
      </c>
      <c r="AW290" s="513">
        <f>+AV290-AM290</f>
        <v>0</v>
      </c>
      <c r="AX290" s="468"/>
      <c r="AY290" s="589">
        <v>-378838.68312100088</v>
      </c>
      <c r="AZ290" s="510">
        <f t="shared" si="52"/>
        <v>-1104700.683419002</v>
      </c>
      <c r="BA290" s="511">
        <f t="shared" si="53"/>
        <v>0</v>
      </c>
      <c r="BB290" s="460"/>
      <c r="BC290" s="464">
        <f t="shared" si="46"/>
        <v>0</v>
      </c>
    </row>
    <row r="291" spans="1:55" ht="15">
      <c r="A291" s="431">
        <v>285</v>
      </c>
      <c r="B291" s="431">
        <v>303</v>
      </c>
      <c r="C291" t="s">
        <v>689</v>
      </c>
      <c r="D291" t="s">
        <v>1060</v>
      </c>
      <c r="E291" s="372">
        <v>-38094.605971999998</v>
      </c>
      <c r="F291" s="372">
        <v>-53871.693883999993</v>
      </c>
      <c r="G291" s="377">
        <v>19052.573615999987</v>
      </c>
      <c r="H291" s="590">
        <v>-15490.49933999998</v>
      </c>
      <c r="I291" s="358">
        <f t="shared" si="47"/>
        <v>-88404.225579999998</v>
      </c>
      <c r="K291" s="66">
        <f t="shared" si="45"/>
        <v>0</v>
      </c>
      <c r="L291" s="66"/>
      <c r="M291" s="431">
        <v>285</v>
      </c>
      <c r="N291" s="431">
        <v>303</v>
      </c>
      <c r="O291" s="443" t="s">
        <v>689</v>
      </c>
      <c r="P291" s="443" t="s">
        <v>1060</v>
      </c>
      <c r="Q291" s="203">
        <v>-15490.49933999998</v>
      </c>
      <c r="R291" s="457" t="s">
        <v>2509</v>
      </c>
      <c r="S291" s="253"/>
      <c r="T291" s="159">
        <v>283</v>
      </c>
      <c r="U291" t="s">
        <v>689</v>
      </c>
      <c r="V291" t="s">
        <v>1060</v>
      </c>
      <c r="W291" s="372">
        <v>-35018.14</v>
      </c>
      <c r="X291" s="372">
        <v>-38094.605971999998</v>
      </c>
      <c r="Y291" s="377">
        <v>-53871.693883999993</v>
      </c>
      <c r="Z291" s="378">
        <v>19052.573615999987</v>
      </c>
      <c r="AA291" s="358">
        <f t="shared" si="48"/>
        <v>-107931.86624</v>
      </c>
      <c r="AE291" s="159">
        <f t="shared" si="49"/>
        <v>0</v>
      </c>
      <c r="AG291" s="471" t="s">
        <v>689</v>
      </c>
      <c r="AH291" s="467" t="s">
        <v>1060</v>
      </c>
      <c r="AI291" s="475">
        <v>-35018.14</v>
      </c>
      <c r="AJ291" s="475">
        <v>-38094.605971999998</v>
      </c>
      <c r="AK291" s="476">
        <v>-53871.693883999993</v>
      </c>
      <c r="AL291" s="477">
        <v>19052.573615999987</v>
      </c>
      <c r="AM291" s="478">
        <v>-107931.86624</v>
      </c>
      <c r="AN291" s="478"/>
      <c r="AO291" s="467"/>
      <c r="AP291" s="479">
        <f t="shared" si="50"/>
        <v>-72913.726240000018</v>
      </c>
      <c r="AQ291" s="467"/>
      <c r="AR291" s="467"/>
      <c r="AS291" s="509">
        <f t="shared" si="54"/>
        <v>-38094.605971999998</v>
      </c>
      <c r="AT291" s="476">
        <v>-53871.693883999993</v>
      </c>
      <c r="AU291" s="477">
        <v>19052.573615999987</v>
      </c>
      <c r="AV291" s="494">
        <f t="shared" si="51"/>
        <v>-72913.726240000018</v>
      </c>
      <c r="AW291" s="494">
        <f t="shared" si="55"/>
        <v>0</v>
      </c>
      <c r="AX291" s="468"/>
      <c r="AY291" s="589">
        <v>-15490.49933999998</v>
      </c>
      <c r="AZ291" s="510">
        <f t="shared" si="52"/>
        <v>-88404.225579999998</v>
      </c>
      <c r="BA291" s="511">
        <f t="shared" si="53"/>
        <v>0</v>
      </c>
      <c r="BB291" s="460"/>
      <c r="BC291" s="464">
        <f t="shared" si="46"/>
        <v>0</v>
      </c>
    </row>
    <row r="292" spans="1:55" ht="15">
      <c r="A292" s="431">
        <v>286</v>
      </c>
      <c r="B292" s="431">
        <v>281</v>
      </c>
      <c r="C292" t="s">
        <v>654</v>
      </c>
      <c r="D292" t="s">
        <v>1044</v>
      </c>
      <c r="E292" s="372">
        <v>-252215.19486900017</v>
      </c>
      <c r="F292" s="372">
        <v>-81288.606354000163</v>
      </c>
      <c r="G292" s="377">
        <v>-278636.95793000003</v>
      </c>
      <c r="H292" s="590">
        <v>-301396.96591000003</v>
      </c>
      <c r="I292" s="358">
        <f t="shared" si="47"/>
        <v>-913537.72506300034</v>
      </c>
      <c r="K292" s="66">
        <f t="shared" si="45"/>
        <v>0</v>
      </c>
      <c r="L292" s="66"/>
      <c r="M292" s="431">
        <v>286</v>
      </c>
      <c r="N292" s="431">
        <v>281</v>
      </c>
      <c r="O292" s="443" t="s">
        <v>654</v>
      </c>
      <c r="P292" s="443" t="s">
        <v>1044</v>
      </c>
      <c r="Q292" s="203">
        <v>-301396.96591000003</v>
      </c>
      <c r="R292" s="457" t="s">
        <v>2509</v>
      </c>
      <c r="S292" s="253"/>
      <c r="T292" s="159">
        <v>284</v>
      </c>
      <c r="U292" t="s">
        <v>654</v>
      </c>
      <c r="V292" t="s">
        <v>1044</v>
      </c>
      <c r="W292" s="372">
        <v>-214863.12</v>
      </c>
      <c r="X292" s="372">
        <v>-252215.19486900017</v>
      </c>
      <c r="Y292" s="377">
        <v>-81288.606354000163</v>
      </c>
      <c r="Z292" s="378">
        <v>-278636.95793000003</v>
      </c>
      <c r="AA292" s="358">
        <f t="shared" si="48"/>
        <v>-827003.87915300042</v>
      </c>
      <c r="AE292" s="159">
        <f t="shared" si="49"/>
        <v>0</v>
      </c>
      <c r="AG292" s="471" t="s">
        <v>654</v>
      </c>
      <c r="AH292" s="467" t="s">
        <v>1044</v>
      </c>
      <c r="AI292" s="475">
        <v>-214863.12</v>
      </c>
      <c r="AJ292" s="475">
        <v>-252215.19486900017</v>
      </c>
      <c r="AK292" s="476">
        <v>-81288.606354000163</v>
      </c>
      <c r="AL292" s="477">
        <v>-278636.95793000003</v>
      </c>
      <c r="AM292" s="478">
        <v>-827003.87915300042</v>
      </c>
      <c r="AN292" s="478"/>
      <c r="AO292" s="467"/>
      <c r="AP292" s="479">
        <f t="shared" si="50"/>
        <v>-612140.75915300031</v>
      </c>
      <c r="AQ292" s="467"/>
      <c r="AR292" s="467"/>
      <c r="AS292" s="509">
        <f t="shared" si="54"/>
        <v>-252215.19486900017</v>
      </c>
      <c r="AT292" s="476">
        <v>-81288.606354000163</v>
      </c>
      <c r="AU292" s="477">
        <v>-278636.95793000003</v>
      </c>
      <c r="AV292" s="494">
        <f t="shared" si="51"/>
        <v>-612140.75915300031</v>
      </c>
      <c r="AW292" s="494">
        <f t="shared" si="55"/>
        <v>0</v>
      </c>
      <c r="AX292" s="468"/>
      <c r="AY292" s="589">
        <v>-301396.96591000003</v>
      </c>
      <c r="AZ292" s="510">
        <f t="shared" si="52"/>
        <v>-913537.72506300034</v>
      </c>
      <c r="BA292" s="511">
        <f t="shared" si="53"/>
        <v>0</v>
      </c>
      <c r="BB292" s="460"/>
      <c r="BC292" s="464">
        <f t="shared" si="46"/>
        <v>0</v>
      </c>
    </row>
    <row r="293" spans="1:55" ht="15">
      <c r="A293" s="431">
        <v>287</v>
      </c>
      <c r="B293" s="431">
        <v>136</v>
      </c>
      <c r="C293" t="s">
        <v>388</v>
      </c>
      <c r="D293" t="s">
        <v>930</v>
      </c>
      <c r="E293" s="372">
        <v>-113732.40082400004</v>
      </c>
      <c r="F293" s="372">
        <v>-88440.604090000066</v>
      </c>
      <c r="G293" s="377">
        <v>-129800.39143500001</v>
      </c>
      <c r="H293" s="590">
        <v>-188125.33134799998</v>
      </c>
      <c r="I293" s="358">
        <f t="shared" si="47"/>
        <v>-520098.72769700008</v>
      </c>
      <c r="K293" s="66">
        <f t="shared" si="45"/>
        <v>0</v>
      </c>
      <c r="L293" s="66"/>
      <c r="M293" s="431">
        <v>287</v>
      </c>
      <c r="N293" s="431">
        <v>136</v>
      </c>
      <c r="O293" s="443" t="s">
        <v>388</v>
      </c>
      <c r="P293" s="443" t="s">
        <v>930</v>
      </c>
      <c r="Q293" s="203">
        <v>-188125.33134799998</v>
      </c>
      <c r="R293" s="457" t="s">
        <v>2509</v>
      </c>
      <c r="S293" s="253"/>
      <c r="T293" s="159">
        <v>285</v>
      </c>
      <c r="U293" t="s">
        <v>388</v>
      </c>
      <c r="V293" t="s">
        <v>930</v>
      </c>
      <c r="W293" s="372">
        <v>-162302.39000000001</v>
      </c>
      <c r="X293" s="372">
        <v>-113732.40082400004</v>
      </c>
      <c r="Y293" s="377">
        <v>-88440.604090000066</v>
      </c>
      <c r="Z293" s="378">
        <v>-129800.39143500001</v>
      </c>
      <c r="AA293" s="358">
        <f t="shared" si="48"/>
        <v>-494275.78634900006</v>
      </c>
      <c r="AE293" s="159">
        <f t="shared" si="49"/>
        <v>0</v>
      </c>
      <c r="AG293" s="471" t="s">
        <v>388</v>
      </c>
      <c r="AH293" s="467" t="s">
        <v>930</v>
      </c>
      <c r="AI293" s="475">
        <v>-162302.39000000001</v>
      </c>
      <c r="AJ293" s="475">
        <v>-113732.40082400004</v>
      </c>
      <c r="AK293" s="476">
        <v>-88440.604090000066</v>
      </c>
      <c r="AL293" s="477">
        <v>-129800.39143500001</v>
      </c>
      <c r="AM293" s="478">
        <v>-494275.78634900006</v>
      </c>
      <c r="AN293" s="478"/>
      <c r="AO293" s="467"/>
      <c r="AP293" s="479">
        <f t="shared" si="50"/>
        <v>-331973.3963490001</v>
      </c>
      <c r="AQ293" s="467"/>
      <c r="AR293" s="467"/>
      <c r="AS293" s="509">
        <f t="shared" si="54"/>
        <v>-113732.40082400004</v>
      </c>
      <c r="AT293" s="476">
        <v>-88440.604090000066</v>
      </c>
      <c r="AU293" s="477">
        <v>-129800.39143500001</v>
      </c>
      <c r="AV293" s="494">
        <f t="shared" si="51"/>
        <v>-331973.3963490001</v>
      </c>
      <c r="AW293" s="494">
        <f t="shared" si="55"/>
        <v>0</v>
      </c>
      <c r="AX293" s="468"/>
      <c r="AY293" s="589">
        <v>-188125.33134799998</v>
      </c>
      <c r="AZ293" s="510">
        <f t="shared" si="52"/>
        <v>-520098.72769700008</v>
      </c>
      <c r="BA293" s="511">
        <f t="shared" si="53"/>
        <v>0</v>
      </c>
      <c r="BB293" s="460"/>
      <c r="BC293" s="464">
        <f t="shared" si="46"/>
        <v>0</v>
      </c>
    </row>
    <row r="294" spans="1:55" ht="15">
      <c r="A294" s="431">
        <v>288</v>
      </c>
      <c r="B294" s="431">
        <v>157</v>
      </c>
      <c r="C294" t="s">
        <v>430</v>
      </c>
      <c r="D294" t="s">
        <v>945</v>
      </c>
      <c r="E294" s="372">
        <v>0</v>
      </c>
      <c r="F294" s="372">
        <v>372.67008100004387</v>
      </c>
      <c r="G294" s="377">
        <v>-75253.215883000026</v>
      </c>
      <c r="H294" s="590">
        <v>17277.808972000086</v>
      </c>
      <c r="I294" s="358">
        <f t="shared" si="47"/>
        <v>-57602.736829999893</v>
      </c>
      <c r="K294" s="66">
        <f t="shared" si="45"/>
        <v>0</v>
      </c>
      <c r="L294" s="66"/>
      <c r="M294" s="431">
        <v>288</v>
      </c>
      <c r="N294" s="431">
        <v>157</v>
      </c>
      <c r="O294" s="443" t="s">
        <v>430</v>
      </c>
      <c r="P294" s="443" t="s">
        <v>945</v>
      </c>
      <c r="Q294" s="203">
        <v>17277.808972000086</v>
      </c>
      <c r="R294" s="457" t="s">
        <v>2509</v>
      </c>
      <c r="S294" s="253"/>
      <c r="T294" s="159">
        <v>286</v>
      </c>
      <c r="U294" t="s">
        <v>430</v>
      </c>
      <c r="V294" t="s">
        <v>945</v>
      </c>
      <c r="W294" s="372">
        <v>0</v>
      </c>
      <c r="X294" s="372">
        <v>0</v>
      </c>
      <c r="Y294" s="377">
        <v>372.67008100004387</v>
      </c>
      <c r="Z294" s="378">
        <v>-75253.215883000026</v>
      </c>
      <c r="AA294" s="358">
        <f t="shared" si="48"/>
        <v>-74880.545801999979</v>
      </c>
      <c r="AE294" s="159">
        <f t="shared" si="49"/>
        <v>0</v>
      </c>
      <c r="AG294" s="471" t="s">
        <v>430</v>
      </c>
      <c r="AH294" s="467" t="s">
        <v>945</v>
      </c>
      <c r="AI294" s="475">
        <v>0</v>
      </c>
      <c r="AJ294" s="475">
        <v>0</v>
      </c>
      <c r="AK294" s="476">
        <v>372.67008100004387</v>
      </c>
      <c r="AL294" s="477">
        <v>-75253.215883000026</v>
      </c>
      <c r="AM294" s="478">
        <v>-74880.545801999979</v>
      </c>
      <c r="AN294" s="478"/>
      <c r="AO294" s="467"/>
      <c r="AP294" s="479">
        <f t="shared" si="50"/>
        <v>-74880.545801999979</v>
      </c>
      <c r="AQ294" s="467"/>
      <c r="AR294" s="467"/>
      <c r="AS294" s="509">
        <f t="shared" si="54"/>
        <v>0</v>
      </c>
      <c r="AT294" s="476">
        <v>372.67008100004387</v>
      </c>
      <c r="AU294" s="477">
        <v>-75253.215883000026</v>
      </c>
      <c r="AV294" s="494">
        <f t="shared" si="51"/>
        <v>-74880.545801999979</v>
      </c>
      <c r="AW294" s="494">
        <f t="shared" si="55"/>
        <v>0</v>
      </c>
      <c r="AX294" s="468"/>
      <c r="AY294" s="589">
        <v>17277.808972000086</v>
      </c>
      <c r="AZ294" s="510">
        <f t="shared" si="52"/>
        <v>-57602.736829999893</v>
      </c>
      <c r="BA294" s="511">
        <f t="shared" si="53"/>
        <v>0</v>
      </c>
      <c r="BB294" s="460"/>
      <c r="BC294" s="464">
        <f t="shared" si="46"/>
        <v>0</v>
      </c>
    </row>
    <row r="295" spans="1:55" ht="15">
      <c r="A295" s="431">
        <v>289</v>
      </c>
      <c r="B295" s="431">
        <v>184</v>
      </c>
      <c r="C295" t="s">
        <v>484</v>
      </c>
      <c r="D295" t="s">
        <v>971</v>
      </c>
      <c r="E295" s="372">
        <v>-70261.414079999959</v>
      </c>
      <c r="F295" s="372">
        <v>0</v>
      </c>
      <c r="G295" s="377">
        <v>-11160.555087999819</v>
      </c>
      <c r="H295" s="590">
        <v>-89977.460010000039</v>
      </c>
      <c r="I295" s="358">
        <f t="shared" si="47"/>
        <v>-171399.42917799982</v>
      </c>
      <c r="K295" s="66">
        <f t="shared" si="45"/>
        <v>0</v>
      </c>
      <c r="L295" s="66"/>
      <c r="M295" s="431">
        <v>289</v>
      </c>
      <c r="N295" s="431">
        <v>184</v>
      </c>
      <c r="O295" s="443" t="s">
        <v>484</v>
      </c>
      <c r="P295" s="443" t="s">
        <v>971</v>
      </c>
      <c r="Q295" s="203">
        <v>-89977.460010000039</v>
      </c>
      <c r="R295" s="457" t="s">
        <v>2509</v>
      </c>
      <c r="S295" s="253"/>
      <c r="T295" s="159">
        <v>287</v>
      </c>
      <c r="U295" t="s">
        <v>484</v>
      </c>
      <c r="V295" t="s">
        <v>971</v>
      </c>
      <c r="W295" s="372">
        <v>-57092.800000000003</v>
      </c>
      <c r="X295" s="372">
        <v>-70261.414079999959</v>
      </c>
      <c r="Y295" s="377">
        <v>0</v>
      </c>
      <c r="Z295" s="378">
        <v>-11160.555087999819</v>
      </c>
      <c r="AA295" s="358">
        <f t="shared" si="48"/>
        <v>-138514.7691679998</v>
      </c>
      <c r="AE295" s="159">
        <f t="shared" si="49"/>
        <v>0</v>
      </c>
      <c r="AG295" s="471" t="s">
        <v>484</v>
      </c>
      <c r="AH295" s="467" t="s">
        <v>971</v>
      </c>
      <c r="AI295" s="475">
        <v>-57092.800000000003</v>
      </c>
      <c r="AJ295" s="475">
        <v>-70261.414079999959</v>
      </c>
      <c r="AK295" s="476">
        <v>0</v>
      </c>
      <c r="AL295" s="477">
        <v>-11160.555087999819</v>
      </c>
      <c r="AM295" s="478">
        <v>-138514.7691679998</v>
      </c>
      <c r="AN295" s="478"/>
      <c r="AO295" s="467"/>
      <c r="AP295" s="479">
        <f t="shared" si="50"/>
        <v>-81421.969167999778</v>
      </c>
      <c r="AQ295" s="467"/>
      <c r="AR295" s="467"/>
      <c r="AS295" s="509">
        <f t="shared" si="54"/>
        <v>-70261.414079999959</v>
      </c>
      <c r="AT295" s="476">
        <v>0</v>
      </c>
      <c r="AU295" s="477">
        <v>-11160.555087999819</v>
      </c>
      <c r="AV295" s="494">
        <f t="shared" si="51"/>
        <v>-81421.969167999778</v>
      </c>
      <c r="AW295" s="494">
        <f t="shared" si="55"/>
        <v>0</v>
      </c>
      <c r="AX295" s="468"/>
      <c r="AY295" s="589">
        <v>-89977.460010000039</v>
      </c>
      <c r="AZ295" s="510">
        <f t="shared" si="52"/>
        <v>-171399.42917799982</v>
      </c>
      <c r="BA295" s="511">
        <f t="shared" si="53"/>
        <v>0</v>
      </c>
      <c r="BB295" s="460"/>
      <c r="BC295" s="464">
        <f t="shared" si="46"/>
        <v>0</v>
      </c>
    </row>
    <row r="296" spans="1:55" ht="15">
      <c r="A296" s="431">
        <v>290</v>
      </c>
      <c r="B296" s="431">
        <v>322</v>
      </c>
      <c r="C296" t="s">
        <v>726</v>
      </c>
      <c r="D296" t="s">
        <v>1075</v>
      </c>
      <c r="E296" s="372">
        <v>-692240.3835840004</v>
      </c>
      <c r="F296" s="372">
        <v>-313870.20249000005</v>
      </c>
      <c r="G296" s="377">
        <v>-247391.35688300006</v>
      </c>
      <c r="H296" s="590">
        <v>-356239.78215999994</v>
      </c>
      <c r="I296" s="358">
        <f t="shared" si="47"/>
        <v>-1609741.7251170005</v>
      </c>
      <c r="K296" s="66">
        <f t="shared" si="45"/>
        <v>0</v>
      </c>
      <c r="L296" s="66"/>
      <c r="M296" s="431">
        <v>290</v>
      </c>
      <c r="N296" s="431">
        <v>322</v>
      </c>
      <c r="O296" s="443" t="s">
        <v>726</v>
      </c>
      <c r="P296" s="443" t="s">
        <v>1075</v>
      </c>
      <c r="Q296" s="203">
        <v>-356239.78215999994</v>
      </c>
      <c r="R296" s="457" t="s">
        <v>2509</v>
      </c>
      <c r="S296" s="253"/>
      <c r="T296" s="159">
        <v>288</v>
      </c>
      <c r="U296" t="s">
        <v>726</v>
      </c>
      <c r="V296" t="s">
        <v>1075</v>
      </c>
      <c r="W296" s="372">
        <v>-494331.19</v>
      </c>
      <c r="X296" s="372">
        <v>-692240.3835840004</v>
      </c>
      <c r="Y296" s="377">
        <v>-313870.20249000005</v>
      </c>
      <c r="Z296" s="378">
        <v>-247391.35688300006</v>
      </c>
      <c r="AA296" s="358">
        <f t="shared" si="48"/>
        <v>-1747833.1329570005</v>
      </c>
      <c r="AE296" s="159">
        <f t="shared" si="49"/>
        <v>0</v>
      </c>
      <c r="AG296" s="471" t="s">
        <v>726</v>
      </c>
      <c r="AH296" s="467" t="s">
        <v>1075</v>
      </c>
      <c r="AI296" s="475">
        <v>-494331.19</v>
      </c>
      <c r="AJ296" s="475">
        <v>-692240.3835840004</v>
      </c>
      <c r="AK296" s="476">
        <v>-313870.20249000005</v>
      </c>
      <c r="AL296" s="477">
        <v>-247391.35688300006</v>
      </c>
      <c r="AM296" s="478">
        <v>-1747833.1329570005</v>
      </c>
      <c r="AN296" s="478"/>
      <c r="AO296" s="467"/>
      <c r="AP296" s="479">
        <f t="shared" si="50"/>
        <v>-1253501.9429570006</v>
      </c>
      <c r="AQ296" s="467"/>
      <c r="AR296" s="467"/>
      <c r="AS296" s="509">
        <f t="shared" si="54"/>
        <v>-692240.3835840004</v>
      </c>
      <c r="AT296" s="476">
        <v>-313870.20249000005</v>
      </c>
      <c r="AU296" s="477">
        <v>-247391.35688300006</v>
      </c>
      <c r="AV296" s="494">
        <f t="shared" si="51"/>
        <v>-1253501.9429570006</v>
      </c>
      <c r="AW296" s="494">
        <f t="shared" si="55"/>
        <v>0</v>
      </c>
      <c r="AX296" s="468"/>
      <c r="AY296" s="589">
        <v>-356239.78215999994</v>
      </c>
      <c r="AZ296" s="510">
        <f t="shared" si="52"/>
        <v>-1609741.7251170005</v>
      </c>
      <c r="BA296" s="511">
        <f t="shared" si="53"/>
        <v>0</v>
      </c>
      <c r="BB296" s="460"/>
      <c r="BC296" s="464">
        <f t="shared" si="46"/>
        <v>0</v>
      </c>
    </row>
    <row r="297" spans="1:55" ht="15">
      <c r="A297" s="431">
        <v>291</v>
      </c>
      <c r="B297" s="431">
        <v>288</v>
      </c>
      <c r="C297" t="s">
        <v>664</v>
      </c>
      <c r="D297" t="s">
        <v>1049</v>
      </c>
      <c r="E297" s="372">
        <v>-107800.93594200003</v>
      </c>
      <c r="F297" s="372">
        <v>-155221.78713899996</v>
      </c>
      <c r="G297" s="377">
        <v>-110586.2193</v>
      </c>
      <c r="H297" s="590">
        <v>-133452.24344700002</v>
      </c>
      <c r="I297" s="358">
        <f t="shared" si="47"/>
        <v>-507061.18582799996</v>
      </c>
      <c r="K297" s="66">
        <f t="shared" si="45"/>
        <v>0</v>
      </c>
      <c r="L297" s="66"/>
      <c r="M297" s="431">
        <v>291</v>
      </c>
      <c r="N297" s="431">
        <v>288</v>
      </c>
      <c r="O297" s="443" t="s">
        <v>664</v>
      </c>
      <c r="P297" s="443" t="s">
        <v>1049</v>
      </c>
      <c r="Q297" s="203">
        <v>-133452.24344700002</v>
      </c>
      <c r="R297" s="457" t="s">
        <v>2509</v>
      </c>
      <c r="S297" s="253"/>
      <c r="T297" s="159">
        <v>289</v>
      </c>
      <c r="U297" t="s">
        <v>664</v>
      </c>
      <c r="V297" t="s">
        <v>1049</v>
      </c>
      <c r="W297" s="372">
        <v>-166183.04999999999</v>
      </c>
      <c r="X297" s="372">
        <v>-107800.93594200003</v>
      </c>
      <c r="Y297" s="377">
        <v>-155221.78713899996</v>
      </c>
      <c r="Z297" s="378">
        <v>-110586.2193</v>
      </c>
      <c r="AA297" s="358">
        <f t="shared" si="48"/>
        <v>-539791.99238099996</v>
      </c>
      <c r="AE297" s="159">
        <f t="shared" si="49"/>
        <v>0</v>
      </c>
      <c r="AG297" s="471" t="s">
        <v>664</v>
      </c>
      <c r="AH297" s="467" t="s">
        <v>1049</v>
      </c>
      <c r="AI297" s="475">
        <v>-166183.04999999999</v>
      </c>
      <c r="AJ297" s="475">
        <v>-107800.93594200003</v>
      </c>
      <c r="AK297" s="476">
        <v>-155221.78713899996</v>
      </c>
      <c r="AL297" s="477">
        <v>-110586.2193</v>
      </c>
      <c r="AM297" s="478">
        <v>-539791.99238099996</v>
      </c>
      <c r="AN297" s="478"/>
      <c r="AO297" s="467"/>
      <c r="AP297" s="479">
        <f t="shared" si="50"/>
        <v>-373608.94238099997</v>
      </c>
      <c r="AQ297" s="467"/>
      <c r="AR297" s="467"/>
      <c r="AS297" s="509">
        <f t="shared" si="54"/>
        <v>-107800.93594200003</v>
      </c>
      <c r="AT297" s="476">
        <v>-155221.78713899996</v>
      </c>
      <c r="AU297" s="477">
        <v>-110586.2193</v>
      </c>
      <c r="AV297" s="494">
        <f t="shared" si="51"/>
        <v>-373608.94238099997</v>
      </c>
      <c r="AW297" s="494">
        <f t="shared" si="55"/>
        <v>0</v>
      </c>
      <c r="AX297" s="468"/>
      <c r="AY297" s="589">
        <v>-133452.24344700002</v>
      </c>
      <c r="AZ297" s="510">
        <f t="shared" si="52"/>
        <v>-507061.18582799996</v>
      </c>
      <c r="BA297" s="511">
        <f t="shared" si="53"/>
        <v>0</v>
      </c>
      <c r="BB297" s="460"/>
      <c r="BC297" s="464">
        <f t="shared" si="46"/>
        <v>0</v>
      </c>
    </row>
    <row r="298" spans="1:55" ht="15">
      <c r="A298" s="431">
        <v>292</v>
      </c>
      <c r="B298" s="431">
        <v>44</v>
      </c>
      <c r="C298" t="s">
        <v>235</v>
      </c>
      <c r="D298" t="s">
        <v>858</v>
      </c>
      <c r="E298" s="372">
        <v>-140978.70752</v>
      </c>
      <c r="F298" s="372">
        <v>-3968.4280800000997</v>
      </c>
      <c r="G298" s="377">
        <v>-162158.45517600002</v>
      </c>
      <c r="H298" s="590">
        <v>-128237.93544099998</v>
      </c>
      <c r="I298" s="358">
        <f t="shared" si="47"/>
        <v>-435343.52621700009</v>
      </c>
      <c r="K298" s="66">
        <f t="shared" si="45"/>
        <v>0</v>
      </c>
      <c r="L298" s="66"/>
      <c r="M298" s="431">
        <v>292</v>
      </c>
      <c r="N298" s="431">
        <v>44</v>
      </c>
      <c r="O298" s="443" t="s">
        <v>235</v>
      </c>
      <c r="P298" s="443" t="s">
        <v>858</v>
      </c>
      <c r="Q298" s="203">
        <v>-128237.93544099998</v>
      </c>
      <c r="R298" s="457" t="s">
        <v>2509</v>
      </c>
      <c r="S298" s="253"/>
      <c r="T298" s="159">
        <v>290</v>
      </c>
      <c r="U298" t="s">
        <v>235</v>
      </c>
      <c r="V298" t="s">
        <v>858</v>
      </c>
      <c r="W298" s="372">
        <v>-108328.2</v>
      </c>
      <c r="X298" s="372">
        <v>-140978.70752</v>
      </c>
      <c r="Y298" s="377">
        <v>-3968.4280800000997</v>
      </c>
      <c r="Z298" s="378">
        <v>-162158.45517600002</v>
      </c>
      <c r="AA298" s="358">
        <f t="shared" si="48"/>
        <v>-415433.79077600013</v>
      </c>
      <c r="AE298" s="159">
        <f t="shared" si="49"/>
        <v>0</v>
      </c>
      <c r="AG298" s="471" t="s">
        <v>235</v>
      </c>
      <c r="AH298" s="467" t="s">
        <v>858</v>
      </c>
      <c r="AI298" s="475">
        <v>-108328.2</v>
      </c>
      <c r="AJ298" s="475">
        <v>-140978.70752</v>
      </c>
      <c r="AK298" s="476">
        <v>-3968.4280800000997</v>
      </c>
      <c r="AL298" s="477">
        <v>-162158.45517600002</v>
      </c>
      <c r="AM298" s="478">
        <v>-415433.79077600013</v>
      </c>
      <c r="AN298" s="478"/>
      <c r="AO298" s="467"/>
      <c r="AP298" s="479">
        <f t="shared" si="50"/>
        <v>-307105.59077600011</v>
      </c>
      <c r="AQ298" s="467"/>
      <c r="AR298" s="467"/>
      <c r="AS298" s="509">
        <f t="shared" si="54"/>
        <v>-140978.70752</v>
      </c>
      <c r="AT298" s="476">
        <v>-3968.4280800000997</v>
      </c>
      <c r="AU298" s="477">
        <v>-162158.45517600002</v>
      </c>
      <c r="AV298" s="494">
        <f t="shared" si="51"/>
        <v>-307105.59077600011</v>
      </c>
      <c r="AW298" s="494">
        <f t="shared" si="55"/>
        <v>0</v>
      </c>
      <c r="AX298" s="468"/>
      <c r="AY298" s="589">
        <v>-128237.93544099998</v>
      </c>
      <c r="AZ298" s="510">
        <f t="shared" si="52"/>
        <v>-435343.52621700009</v>
      </c>
      <c r="BA298" s="511">
        <f t="shared" si="53"/>
        <v>0</v>
      </c>
      <c r="BB298" s="460"/>
      <c r="BC298" s="464">
        <f t="shared" si="46"/>
        <v>0</v>
      </c>
    </row>
    <row r="299" spans="1:55" ht="15">
      <c r="A299" s="431">
        <v>293</v>
      </c>
      <c r="B299" s="431">
        <v>143</v>
      </c>
      <c r="C299" s="347" t="s">
        <v>402</v>
      </c>
      <c r="D299" s="348" t="s">
        <v>403</v>
      </c>
      <c r="E299" s="380">
        <v>0</v>
      </c>
      <c r="F299" s="371"/>
      <c r="G299" s="377"/>
      <c r="H299" s="590">
        <v>-105789.84381600001</v>
      </c>
      <c r="I299" s="358">
        <f t="shared" si="47"/>
        <v>-105789.84381600001</v>
      </c>
      <c r="K299" s="66">
        <f t="shared" si="45"/>
        <v>0</v>
      </c>
      <c r="L299" s="66"/>
      <c r="M299" s="431">
        <v>293</v>
      </c>
      <c r="N299" s="431">
        <v>143</v>
      </c>
      <c r="O299" s="445" t="s">
        <v>402</v>
      </c>
      <c r="P299" s="454" t="s">
        <v>2377</v>
      </c>
      <c r="Q299" s="203">
        <v>-105789.84381600001</v>
      </c>
      <c r="R299" s="457" t="s">
        <v>2509</v>
      </c>
      <c r="S299" s="253"/>
      <c r="T299" s="159">
        <v>291</v>
      </c>
      <c r="U299" s="347" t="s">
        <v>402</v>
      </c>
      <c r="V299" s="348" t="s">
        <v>403</v>
      </c>
      <c r="W299" s="380">
        <v>0</v>
      </c>
      <c r="X299" s="371"/>
      <c r="Y299" s="377"/>
      <c r="Z299" s="378"/>
      <c r="AA299" s="358">
        <f t="shared" si="48"/>
        <v>0</v>
      </c>
      <c r="AE299" s="159">
        <f t="shared" si="49"/>
        <v>0</v>
      </c>
      <c r="AG299" s="471" t="s">
        <v>402</v>
      </c>
      <c r="AH299" s="467" t="s">
        <v>403</v>
      </c>
      <c r="AI299" s="484">
        <v>0</v>
      </c>
      <c r="AJ299" s="485"/>
      <c r="AK299" s="476"/>
      <c r="AL299" s="477"/>
      <c r="AM299" s="478">
        <v>0</v>
      </c>
      <c r="AN299" s="478"/>
      <c r="AO299" s="467"/>
      <c r="AP299" s="479">
        <f t="shared" si="50"/>
        <v>0</v>
      </c>
      <c r="AQ299" s="467"/>
      <c r="AR299" s="467"/>
      <c r="AS299" s="509">
        <f t="shared" si="54"/>
        <v>0</v>
      </c>
      <c r="AT299" s="476"/>
      <c r="AU299" s="477"/>
      <c r="AV299" s="494">
        <f t="shared" si="51"/>
        <v>0</v>
      </c>
      <c r="AW299" s="494">
        <f t="shared" si="55"/>
        <v>0</v>
      </c>
      <c r="AX299" s="468"/>
      <c r="AY299" s="589">
        <v>-105789.84381600001</v>
      </c>
      <c r="AZ299" s="510">
        <f t="shared" si="52"/>
        <v>-105789.84381600001</v>
      </c>
      <c r="BA299" s="511">
        <f t="shared" si="53"/>
        <v>0</v>
      </c>
      <c r="BB299" s="460"/>
      <c r="BC299" s="464">
        <f t="shared" si="46"/>
        <v>0</v>
      </c>
    </row>
    <row r="300" spans="1:55" ht="15">
      <c r="A300" s="610">
        <v>294</v>
      </c>
      <c r="B300" s="610">
        <v>106</v>
      </c>
      <c r="C300" s="611" t="s">
        <v>356</v>
      </c>
      <c r="D300" s="611" t="s">
        <v>915</v>
      </c>
      <c r="E300" s="372">
        <v>-425295.13996328658</v>
      </c>
      <c r="F300" s="372">
        <v>0</v>
      </c>
      <c r="G300" s="377">
        <v>-80476.878590148146</v>
      </c>
      <c r="H300" s="590">
        <v>-76031.021571999881</v>
      </c>
      <c r="I300" s="358">
        <f t="shared" si="47"/>
        <v>-581803.04012543464</v>
      </c>
      <c r="K300" s="66">
        <f t="shared" si="45"/>
        <v>0</v>
      </c>
      <c r="L300" s="66"/>
      <c r="M300" s="431">
        <v>294</v>
      </c>
      <c r="N300" s="431">
        <v>106</v>
      </c>
      <c r="O300" s="443" t="s">
        <v>356</v>
      </c>
      <c r="P300" s="443" t="s">
        <v>915</v>
      </c>
      <c r="Q300" s="203">
        <v>-76031.021571999881</v>
      </c>
      <c r="R300" s="457" t="s">
        <v>2509</v>
      </c>
      <c r="S300" s="253"/>
      <c r="T300" s="159">
        <v>292</v>
      </c>
      <c r="U300" t="s">
        <v>356</v>
      </c>
      <c r="V300" t="s">
        <v>915</v>
      </c>
      <c r="W300" s="372">
        <v>-371727.23</v>
      </c>
      <c r="X300" s="372">
        <v>-425295.13996328658</v>
      </c>
      <c r="Y300" s="377">
        <v>0</v>
      </c>
      <c r="Z300" s="378">
        <v>-80476.878590148146</v>
      </c>
      <c r="AA300" s="358">
        <f t="shared" si="48"/>
        <v>-877499.24855343474</v>
      </c>
      <c r="AE300" s="159">
        <f t="shared" si="49"/>
        <v>0</v>
      </c>
      <c r="AG300" s="471" t="s">
        <v>356</v>
      </c>
      <c r="AH300" s="467" t="s">
        <v>915</v>
      </c>
      <c r="AI300" s="475">
        <v>-371727.23</v>
      </c>
      <c r="AJ300" s="475">
        <v>-425295.13996328658</v>
      </c>
      <c r="AK300" s="476">
        <v>0</v>
      </c>
      <c r="AL300" s="477">
        <v>-80476.878590148146</v>
      </c>
      <c r="AM300" s="478">
        <v>-877499.24855343474</v>
      </c>
      <c r="AN300" s="478"/>
      <c r="AO300" s="467"/>
      <c r="AP300" s="479">
        <f t="shared" si="50"/>
        <v>-505772.01855343475</v>
      </c>
      <c r="AQ300" s="467"/>
      <c r="AR300" s="467"/>
      <c r="AS300" s="509">
        <f t="shared" si="54"/>
        <v>-425295.13996328658</v>
      </c>
      <c r="AT300" s="476">
        <v>0</v>
      </c>
      <c r="AU300" s="477">
        <v>-80476.878590148146</v>
      </c>
      <c r="AV300" s="494">
        <f t="shared" si="51"/>
        <v>-505772.01855343475</v>
      </c>
      <c r="AW300" s="494">
        <f t="shared" si="55"/>
        <v>0</v>
      </c>
      <c r="AX300" s="468"/>
      <c r="AY300" s="589">
        <v>-76031.021571999881</v>
      </c>
      <c r="AZ300" s="510">
        <f t="shared" si="52"/>
        <v>-581803.04012543464</v>
      </c>
      <c r="BA300" s="511">
        <f t="shared" si="53"/>
        <v>0</v>
      </c>
      <c r="BB300" s="460"/>
      <c r="BC300" s="464">
        <f t="shared" si="46"/>
        <v>0</v>
      </c>
    </row>
    <row r="301" spans="1:55" ht="15">
      <c r="A301" s="431">
        <v>295</v>
      </c>
      <c r="B301" s="431">
        <v>276</v>
      </c>
      <c r="C301" t="s">
        <v>644</v>
      </c>
      <c r="D301" t="s">
        <v>1039</v>
      </c>
      <c r="E301" s="372">
        <v>-759942.60431000008</v>
      </c>
      <c r="F301" s="372">
        <v>0</v>
      </c>
      <c r="G301" s="377">
        <v>-637727.89131199988</v>
      </c>
      <c r="H301" s="590">
        <v>-652047.93568000011</v>
      </c>
      <c r="I301" s="358">
        <f t="shared" si="47"/>
        <v>-2049718.4313020001</v>
      </c>
      <c r="K301" s="66">
        <f t="shared" si="45"/>
        <v>0</v>
      </c>
      <c r="L301" s="66"/>
      <c r="M301" s="431">
        <v>295</v>
      </c>
      <c r="N301" s="431">
        <v>276</v>
      </c>
      <c r="O301" s="443" t="s">
        <v>644</v>
      </c>
      <c r="P301" s="443" t="s">
        <v>1039</v>
      </c>
      <c r="Q301" s="203">
        <v>-652047.93568000011</v>
      </c>
      <c r="R301" s="457" t="s">
        <v>2509</v>
      </c>
      <c r="S301" s="253"/>
      <c r="T301" s="159">
        <v>293</v>
      </c>
      <c r="U301" t="s">
        <v>644</v>
      </c>
      <c r="V301" t="s">
        <v>1039</v>
      </c>
      <c r="W301" s="372">
        <v>-501658.83</v>
      </c>
      <c r="X301" s="372">
        <v>-759942.60431000008</v>
      </c>
      <c r="Y301" s="377">
        <v>0</v>
      </c>
      <c r="Z301" s="378">
        <v>-637727.89131199988</v>
      </c>
      <c r="AA301" s="358">
        <f t="shared" si="48"/>
        <v>-1899329.325622</v>
      </c>
      <c r="AE301" s="159">
        <f t="shared" si="49"/>
        <v>0</v>
      </c>
      <c r="AG301" s="471" t="s">
        <v>644</v>
      </c>
      <c r="AH301" s="467" t="s">
        <v>1039</v>
      </c>
      <c r="AI301" s="475">
        <v>-501658.83</v>
      </c>
      <c r="AJ301" s="475">
        <v>-759942.60431000008</v>
      </c>
      <c r="AK301" s="476">
        <v>0</v>
      </c>
      <c r="AL301" s="477">
        <v>-637727.89131199988</v>
      </c>
      <c r="AM301" s="478">
        <v>-1899329.325622</v>
      </c>
      <c r="AN301" s="478"/>
      <c r="AO301" s="467"/>
      <c r="AP301" s="479">
        <f t="shared" si="50"/>
        <v>-1397670.495622</v>
      </c>
      <c r="AQ301" s="467"/>
      <c r="AR301" s="467"/>
      <c r="AS301" s="509">
        <f t="shared" si="54"/>
        <v>-759942.60431000008</v>
      </c>
      <c r="AT301" s="476">
        <v>0</v>
      </c>
      <c r="AU301" s="477">
        <v>-637727.89131199988</v>
      </c>
      <c r="AV301" s="494">
        <f t="shared" si="51"/>
        <v>-1397670.495622</v>
      </c>
      <c r="AW301" s="494">
        <f t="shared" si="55"/>
        <v>0</v>
      </c>
      <c r="AX301" s="468"/>
      <c r="AY301" s="589">
        <v>-652047.93568000011</v>
      </c>
      <c r="AZ301" s="510">
        <f t="shared" si="52"/>
        <v>-2049718.4313020001</v>
      </c>
      <c r="BA301" s="511">
        <f t="shared" si="53"/>
        <v>0</v>
      </c>
      <c r="BB301" s="460"/>
      <c r="BC301" s="464">
        <f t="shared" si="46"/>
        <v>0</v>
      </c>
    </row>
    <row r="302" spans="1:55" ht="15">
      <c r="A302" s="610">
        <v>296</v>
      </c>
      <c r="B302" s="610">
        <v>314</v>
      </c>
      <c r="C302" s="611" t="s">
        <v>711</v>
      </c>
      <c r="D302" s="611" t="s">
        <v>1068</v>
      </c>
      <c r="E302" s="372">
        <v>-66026.126859999931</v>
      </c>
      <c r="F302" s="372">
        <v>-109936.76562600001</v>
      </c>
      <c r="G302" s="377">
        <v>-110798.27932800008</v>
      </c>
      <c r="H302" s="590">
        <v>-76666.52463</v>
      </c>
      <c r="I302" s="358">
        <f t="shared" si="47"/>
        <v>-363427.696444</v>
      </c>
      <c r="K302" s="66">
        <f t="shared" si="45"/>
        <v>0</v>
      </c>
      <c r="L302" s="66"/>
      <c r="M302" s="431">
        <v>296</v>
      </c>
      <c r="N302" s="431">
        <v>314</v>
      </c>
      <c r="O302" s="443" t="s">
        <v>711</v>
      </c>
      <c r="P302" s="443" t="s">
        <v>1068</v>
      </c>
      <c r="Q302" s="203">
        <v>-76666.52463</v>
      </c>
      <c r="R302" s="457" t="s">
        <v>2509</v>
      </c>
      <c r="S302" s="253"/>
      <c r="T302" s="159">
        <v>294</v>
      </c>
      <c r="U302" t="s">
        <v>711</v>
      </c>
      <c r="V302" t="s">
        <v>1068</v>
      </c>
      <c r="W302" s="372">
        <v>-58363.77</v>
      </c>
      <c r="X302" s="372">
        <v>-66026.126859999931</v>
      </c>
      <c r="Y302" s="377">
        <v>-109936.76562600001</v>
      </c>
      <c r="Z302" s="378">
        <v>-110798.27932800008</v>
      </c>
      <c r="AA302" s="358">
        <f t="shared" si="48"/>
        <v>-345124.94181400002</v>
      </c>
      <c r="AE302" s="159">
        <f t="shared" si="49"/>
        <v>0</v>
      </c>
      <c r="AG302" s="471" t="s">
        <v>711</v>
      </c>
      <c r="AH302" s="467" t="s">
        <v>1068</v>
      </c>
      <c r="AI302" s="475">
        <v>-58363.77</v>
      </c>
      <c r="AJ302" s="475">
        <v>-66026.126859999931</v>
      </c>
      <c r="AK302" s="476">
        <v>-109936.76562600001</v>
      </c>
      <c r="AL302" s="477">
        <v>-110798.27932800008</v>
      </c>
      <c r="AM302" s="478">
        <v>-345124.94181400002</v>
      </c>
      <c r="AN302" s="478"/>
      <c r="AO302" s="467"/>
      <c r="AP302" s="479">
        <f t="shared" si="50"/>
        <v>-286761.171814</v>
      </c>
      <c r="AQ302" s="467"/>
      <c r="AR302" s="467"/>
      <c r="AS302" s="509">
        <f t="shared" si="54"/>
        <v>-66026.126859999931</v>
      </c>
      <c r="AT302" s="476">
        <v>-109936.76562600001</v>
      </c>
      <c r="AU302" s="477">
        <v>-110798.27932800008</v>
      </c>
      <c r="AV302" s="494">
        <f t="shared" si="51"/>
        <v>-286761.171814</v>
      </c>
      <c r="AW302" s="494">
        <f t="shared" si="55"/>
        <v>0</v>
      </c>
      <c r="AX302" s="468"/>
      <c r="AY302" s="589">
        <v>-76666.52463</v>
      </c>
      <c r="AZ302" s="510">
        <f t="shared" si="52"/>
        <v>-363427.696444</v>
      </c>
      <c r="BA302" s="511">
        <f t="shared" si="53"/>
        <v>0</v>
      </c>
      <c r="BB302" s="460"/>
      <c r="BC302" s="464">
        <f t="shared" si="46"/>
        <v>0</v>
      </c>
    </row>
    <row r="303" spans="1:55" ht="15">
      <c r="A303" s="431">
        <v>297</v>
      </c>
      <c r="B303" s="431">
        <v>200</v>
      </c>
      <c r="C303" t="s">
        <v>513</v>
      </c>
      <c r="D303" t="s">
        <v>986</v>
      </c>
      <c r="E303" s="372">
        <v>-657209.63847307093</v>
      </c>
      <c r="F303" s="372">
        <v>0</v>
      </c>
      <c r="G303" s="377">
        <v>-480319.70356190164</v>
      </c>
      <c r="H303" s="590">
        <v>-718593.44943400053</v>
      </c>
      <c r="I303" s="358">
        <f t="shared" si="47"/>
        <v>-1856122.791468973</v>
      </c>
      <c r="K303" s="66">
        <f t="shared" si="45"/>
        <v>0</v>
      </c>
      <c r="L303" s="66"/>
      <c r="M303" s="431">
        <v>297</v>
      </c>
      <c r="N303" s="431">
        <v>200</v>
      </c>
      <c r="O303" s="443" t="s">
        <v>513</v>
      </c>
      <c r="P303" s="443" t="s">
        <v>986</v>
      </c>
      <c r="Q303" s="203">
        <v>-718593.44943400053</v>
      </c>
      <c r="R303" s="457" t="s">
        <v>2509</v>
      </c>
      <c r="S303" s="253"/>
      <c r="T303" s="159">
        <v>295</v>
      </c>
      <c r="U303" t="s">
        <v>513</v>
      </c>
      <c r="V303" t="s">
        <v>986</v>
      </c>
      <c r="W303" s="372">
        <v>-731301.44</v>
      </c>
      <c r="X303" s="372">
        <v>-657209.63847307093</v>
      </c>
      <c r="Y303" s="377">
        <v>0</v>
      </c>
      <c r="Z303" s="378">
        <v>-480319.70356190164</v>
      </c>
      <c r="AA303" s="358">
        <f t="shared" si="48"/>
        <v>-1868830.7820349724</v>
      </c>
      <c r="AE303" s="159">
        <f t="shared" si="49"/>
        <v>0</v>
      </c>
      <c r="AG303" s="471" t="s">
        <v>513</v>
      </c>
      <c r="AH303" s="467" t="s">
        <v>986</v>
      </c>
      <c r="AI303" s="475">
        <v>-731301.44</v>
      </c>
      <c r="AJ303" s="475">
        <v>-657209.63847307093</v>
      </c>
      <c r="AK303" s="476">
        <v>0</v>
      </c>
      <c r="AL303" s="477">
        <v>-480319.70356190164</v>
      </c>
      <c r="AM303" s="478">
        <v>-1868830.7820349724</v>
      </c>
      <c r="AN303" s="478"/>
      <c r="AO303" s="467"/>
      <c r="AP303" s="479">
        <f t="shared" si="50"/>
        <v>-1137529.3420349725</v>
      </c>
      <c r="AQ303" s="467"/>
      <c r="AR303" s="467"/>
      <c r="AS303" s="509">
        <f t="shared" si="54"/>
        <v>-657209.63847307093</v>
      </c>
      <c r="AT303" s="476">
        <v>0</v>
      </c>
      <c r="AU303" s="477">
        <v>-480319.70356190164</v>
      </c>
      <c r="AV303" s="494">
        <f t="shared" si="51"/>
        <v>-1137529.3420349725</v>
      </c>
      <c r="AW303" s="494">
        <f t="shared" si="55"/>
        <v>0</v>
      </c>
      <c r="AX303" s="468"/>
      <c r="AY303" s="589">
        <v>-718593.44943400053</v>
      </c>
      <c r="AZ303" s="510">
        <f t="shared" si="52"/>
        <v>-1856122.791468973</v>
      </c>
      <c r="BA303" s="511">
        <f t="shared" si="53"/>
        <v>0</v>
      </c>
      <c r="BB303" s="460"/>
      <c r="BC303" s="464">
        <f t="shared" si="46"/>
        <v>0</v>
      </c>
    </row>
    <row r="304" spans="1:55" ht="15">
      <c r="A304" s="431">
        <v>298</v>
      </c>
      <c r="B304" s="431">
        <v>265</v>
      </c>
      <c r="C304" t="s">
        <v>624</v>
      </c>
      <c r="D304" t="s">
        <v>1030</v>
      </c>
      <c r="E304" s="372">
        <v>-102922.27848900002</v>
      </c>
      <c r="F304" s="372">
        <v>-171535.82974999998</v>
      </c>
      <c r="G304" s="377">
        <v>-187608.98489599995</v>
      </c>
      <c r="H304" s="590">
        <v>-233121.17422500002</v>
      </c>
      <c r="I304" s="358">
        <f t="shared" si="47"/>
        <v>-695188.26735999994</v>
      </c>
      <c r="K304" s="66">
        <f t="shared" si="45"/>
        <v>0</v>
      </c>
      <c r="L304" s="66"/>
      <c r="M304" s="431">
        <v>298</v>
      </c>
      <c r="N304" s="431">
        <v>265</v>
      </c>
      <c r="O304" s="443" t="s">
        <v>624</v>
      </c>
      <c r="P304" s="443" t="s">
        <v>1030</v>
      </c>
      <c r="Q304" s="203">
        <v>-233121.17422500002</v>
      </c>
      <c r="R304" s="457" t="s">
        <v>2509</v>
      </c>
      <c r="S304" s="253"/>
      <c r="T304" s="159">
        <v>296</v>
      </c>
      <c r="U304" t="s">
        <v>624</v>
      </c>
      <c r="V304" t="s">
        <v>1030</v>
      </c>
      <c r="W304" s="372">
        <v>-59766.33</v>
      </c>
      <c r="X304" s="372">
        <v>-102922.27848900002</v>
      </c>
      <c r="Y304" s="377">
        <v>-171535.82974999998</v>
      </c>
      <c r="Z304" s="378">
        <v>-187608.98489599995</v>
      </c>
      <c r="AA304" s="358">
        <f t="shared" si="48"/>
        <v>-521833.42313499993</v>
      </c>
      <c r="AE304" s="159">
        <f t="shared" si="49"/>
        <v>0</v>
      </c>
      <c r="AG304" s="471" t="s">
        <v>624</v>
      </c>
      <c r="AH304" s="467" t="s">
        <v>1030</v>
      </c>
      <c r="AI304" s="475">
        <v>-59766.33</v>
      </c>
      <c r="AJ304" s="475">
        <v>-102922.27848900002</v>
      </c>
      <c r="AK304" s="476">
        <v>-171535.82974999998</v>
      </c>
      <c r="AL304" s="477">
        <v>-187608.98489599995</v>
      </c>
      <c r="AM304" s="478">
        <v>-521833.42313499993</v>
      </c>
      <c r="AN304" s="478"/>
      <c r="AO304" s="467"/>
      <c r="AP304" s="479">
        <f t="shared" si="50"/>
        <v>-462067.09313499992</v>
      </c>
      <c r="AQ304" s="467"/>
      <c r="AR304" s="467"/>
      <c r="AS304" s="509">
        <f t="shared" si="54"/>
        <v>-102922.27848900002</v>
      </c>
      <c r="AT304" s="476">
        <v>-171535.82974999998</v>
      </c>
      <c r="AU304" s="477">
        <v>-187608.98489599995</v>
      </c>
      <c r="AV304" s="494">
        <f t="shared" si="51"/>
        <v>-462067.09313499992</v>
      </c>
      <c r="AW304" s="494">
        <f t="shared" si="55"/>
        <v>0</v>
      </c>
      <c r="AX304" s="468"/>
      <c r="AY304" s="589">
        <v>-233121.17422500002</v>
      </c>
      <c r="AZ304" s="510">
        <f t="shared" si="52"/>
        <v>-695188.26735999994</v>
      </c>
      <c r="BA304" s="511">
        <f t="shared" si="53"/>
        <v>0</v>
      </c>
      <c r="BB304" s="460"/>
      <c r="BC304" s="464">
        <f t="shared" si="46"/>
        <v>0</v>
      </c>
    </row>
    <row r="305" spans="1:55" ht="15">
      <c r="A305" s="431">
        <v>299</v>
      </c>
      <c r="B305" s="431">
        <v>29</v>
      </c>
      <c r="C305" t="s">
        <v>213</v>
      </c>
      <c r="D305" t="s">
        <v>849</v>
      </c>
      <c r="E305" s="372">
        <v>-1896018.002848</v>
      </c>
      <c r="F305" s="372">
        <v>0</v>
      </c>
      <c r="G305" s="377">
        <v>0</v>
      </c>
      <c r="H305" s="590">
        <v>593707.795948999</v>
      </c>
      <c r="I305" s="358">
        <f t="shared" si="47"/>
        <v>-1302310.206899001</v>
      </c>
      <c r="K305" s="66">
        <f t="shared" si="45"/>
        <v>0</v>
      </c>
      <c r="L305" s="66"/>
      <c r="M305" s="431">
        <v>299</v>
      </c>
      <c r="N305" s="431">
        <v>29</v>
      </c>
      <c r="O305" s="443" t="s">
        <v>213</v>
      </c>
      <c r="P305" s="449" t="s">
        <v>849</v>
      </c>
      <c r="Q305" s="203">
        <v>593707.795948999</v>
      </c>
      <c r="R305" s="457" t="s">
        <v>2509</v>
      </c>
      <c r="S305" s="253"/>
      <c r="T305" s="159">
        <v>297</v>
      </c>
      <c r="U305" t="s">
        <v>213</v>
      </c>
      <c r="V305" t="s">
        <v>849</v>
      </c>
      <c r="W305" s="372">
        <v>-2069682.58</v>
      </c>
      <c r="X305" s="372">
        <v>-1896018.002848</v>
      </c>
      <c r="Y305" s="377">
        <v>542740.46308800217</v>
      </c>
      <c r="Z305" s="378">
        <v>835099.11778700142</v>
      </c>
      <c r="AA305" s="358">
        <f t="shared" si="48"/>
        <v>-2587861.0019729966</v>
      </c>
      <c r="AE305" s="159">
        <f t="shared" si="49"/>
        <v>0</v>
      </c>
      <c r="AG305" s="471" t="s">
        <v>213</v>
      </c>
      <c r="AH305" s="467" t="s">
        <v>849</v>
      </c>
      <c r="AI305" s="480">
        <v>-2069682.58</v>
      </c>
      <c r="AJ305" s="475">
        <v>-1896018.002848</v>
      </c>
      <c r="AK305" s="481">
        <v>542740.46308800217</v>
      </c>
      <c r="AL305" s="482">
        <v>835099.11778700142</v>
      </c>
      <c r="AM305" s="478">
        <v>-2587861.0019729966</v>
      </c>
      <c r="AN305" s="478"/>
      <c r="AO305" s="467"/>
      <c r="AP305" s="479">
        <f t="shared" si="50"/>
        <v>-518178.42197299632</v>
      </c>
      <c r="AQ305" s="467"/>
      <c r="AR305" s="467"/>
      <c r="AS305" s="509">
        <f t="shared" si="54"/>
        <v>-1896018.002848</v>
      </c>
      <c r="AT305" s="481">
        <v>0</v>
      </c>
      <c r="AU305" s="482">
        <v>0</v>
      </c>
      <c r="AV305" s="494">
        <f t="shared" si="51"/>
        <v>-1896018.002848</v>
      </c>
      <c r="AW305" s="514">
        <f t="shared" si="55"/>
        <v>-1377839.5808750037</v>
      </c>
      <c r="AX305" s="468"/>
      <c r="AY305" s="589">
        <v>593707.795948999</v>
      </c>
      <c r="AZ305" s="510">
        <f t="shared" si="52"/>
        <v>-1302310.206899001</v>
      </c>
      <c r="BA305" s="511">
        <f t="shared" si="53"/>
        <v>0</v>
      </c>
      <c r="BB305" s="460"/>
      <c r="BC305" s="464">
        <f t="shared" si="46"/>
        <v>0</v>
      </c>
    </row>
    <row r="306" spans="1:55" ht="15">
      <c r="A306" s="431">
        <v>300</v>
      </c>
      <c r="B306" s="431">
        <v>102</v>
      </c>
      <c r="C306" t="s">
        <v>348</v>
      </c>
      <c r="D306" t="s">
        <v>911</v>
      </c>
      <c r="E306" s="372">
        <v>-351417.21320718038</v>
      </c>
      <c r="F306" s="372">
        <v>-231556.90609086351</v>
      </c>
      <c r="G306" s="377">
        <v>-268417.46527357411</v>
      </c>
      <c r="H306" s="590">
        <v>-226601.84051700018</v>
      </c>
      <c r="I306" s="358">
        <f t="shared" si="47"/>
        <v>-1077993.4250886182</v>
      </c>
      <c r="K306" s="66">
        <f t="shared" si="45"/>
        <v>0</v>
      </c>
      <c r="L306" s="66"/>
      <c r="M306" s="431">
        <v>300</v>
      </c>
      <c r="N306" s="431">
        <v>102</v>
      </c>
      <c r="O306" s="443" t="s">
        <v>348</v>
      </c>
      <c r="P306" s="443" t="s">
        <v>911</v>
      </c>
      <c r="Q306" s="203">
        <v>-226601.84051700018</v>
      </c>
      <c r="R306" s="457" t="s">
        <v>2509</v>
      </c>
      <c r="S306" s="253"/>
      <c r="T306" s="159">
        <v>298</v>
      </c>
      <c r="U306" t="s">
        <v>348</v>
      </c>
      <c r="V306" t="s">
        <v>911</v>
      </c>
      <c r="W306" s="372">
        <v>-281705.28999999998</v>
      </c>
      <c r="X306" s="372">
        <v>-351417.21320718038</v>
      </c>
      <c r="Y306" s="377">
        <v>-231556.90609086351</v>
      </c>
      <c r="Z306" s="378">
        <v>-268417.46527357411</v>
      </c>
      <c r="AA306" s="358">
        <f t="shared" si="48"/>
        <v>-1133096.8745716182</v>
      </c>
      <c r="AE306" s="159">
        <f t="shared" si="49"/>
        <v>0</v>
      </c>
      <c r="AG306" s="471" t="s">
        <v>348</v>
      </c>
      <c r="AH306" s="467" t="s">
        <v>911</v>
      </c>
      <c r="AI306" s="475">
        <v>-281705.28999999998</v>
      </c>
      <c r="AJ306" s="475">
        <v>-351417.21320718038</v>
      </c>
      <c r="AK306" s="476">
        <v>-231556.90609086351</v>
      </c>
      <c r="AL306" s="477">
        <v>-268417.46527357411</v>
      </c>
      <c r="AM306" s="478">
        <v>-1133096.8745716182</v>
      </c>
      <c r="AN306" s="478"/>
      <c r="AO306" s="467"/>
      <c r="AP306" s="479">
        <f t="shared" si="50"/>
        <v>-851391.584571618</v>
      </c>
      <c r="AQ306" s="467"/>
      <c r="AR306" s="467"/>
      <c r="AS306" s="509">
        <f t="shared" si="54"/>
        <v>-351417.21320718038</v>
      </c>
      <c r="AT306" s="476">
        <v>-231556.90609086351</v>
      </c>
      <c r="AU306" s="477">
        <v>-268417.46527357411</v>
      </c>
      <c r="AV306" s="494">
        <f t="shared" si="51"/>
        <v>-851391.584571618</v>
      </c>
      <c r="AW306" s="494">
        <f t="shared" si="55"/>
        <v>0</v>
      </c>
      <c r="AX306" s="468"/>
      <c r="AY306" s="589">
        <v>-226601.84051700018</v>
      </c>
      <c r="AZ306" s="510">
        <f t="shared" si="52"/>
        <v>-1077993.4250886182</v>
      </c>
      <c r="BA306" s="511">
        <f t="shared" si="53"/>
        <v>0</v>
      </c>
      <c r="BB306" s="460"/>
      <c r="BC306" s="464">
        <f t="shared" si="46"/>
        <v>0</v>
      </c>
    </row>
    <row r="307" spans="1:55" ht="15">
      <c r="A307" s="431">
        <v>301</v>
      </c>
      <c r="B307" s="431">
        <v>283</v>
      </c>
      <c r="C307" s="355" t="s">
        <v>1547</v>
      </c>
      <c r="D307" s="354" t="s">
        <v>1546</v>
      </c>
      <c r="E307" s="372">
        <v>0</v>
      </c>
      <c r="F307" s="372"/>
      <c r="G307" s="377"/>
      <c r="H307" s="590">
        <v>0</v>
      </c>
      <c r="I307" s="358">
        <f t="shared" si="47"/>
        <v>0</v>
      </c>
      <c r="K307" s="66">
        <f t="shared" si="45"/>
        <v>0</v>
      </c>
      <c r="L307" s="66"/>
      <c r="M307" s="431">
        <v>301</v>
      </c>
      <c r="N307" s="431">
        <v>283</v>
      </c>
      <c r="O307" s="443" t="s">
        <v>1547</v>
      </c>
      <c r="P307" s="443" t="s">
        <v>2506</v>
      </c>
      <c r="Q307" s="203">
        <v>0</v>
      </c>
      <c r="R307" s="457" t="s">
        <v>2509</v>
      </c>
      <c r="S307" s="253"/>
      <c r="T307" s="159">
        <v>299</v>
      </c>
      <c r="U307" s="355" t="s">
        <v>1547</v>
      </c>
      <c r="V307" s="354" t="s">
        <v>1546</v>
      </c>
      <c r="W307" s="372">
        <v>0</v>
      </c>
      <c r="X307" s="372">
        <v>0</v>
      </c>
      <c r="Y307" s="377"/>
      <c r="Z307" s="378"/>
      <c r="AA307" s="358">
        <f t="shared" si="48"/>
        <v>0</v>
      </c>
      <c r="AE307" s="159">
        <f t="shared" si="49"/>
        <v>0</v>
      </c>
      <c r="AG307" s="471" t="s">
        <v>1547</v>
      </c>
      <c r="AH307" s="467" t="s">
        <v>1546</v>
      </c>
      <c r="AI307" s="475">
        <v>0</v>
      </c>
      <c r="AJ307" s="475">
        <v>0</v>
      </c>
      <c r="AK307" s="476"/>
      <c r="AL307" s="477"/>
      <c r="AM307" s="478">
        <v>0</v>
      </c>
      <c r="AN307" s="478"/>
      <c r="AO307" s="467"/>
      <c r="AP307" s="479">
        <f t="shared" si="50"/>
        <v>0</v>
      </c>
      <c r="AQ307" s="467"/>
      <c r="AR307" s="467"/>
      <c r="AS307" s="509">
        <f t="shared" si="54"/>
        <v>0</v>
      </c>
      <c r="AT307" s="476"/>
      <c r="AU307" s="477"/>
      <c r="AV307" s="494">
        <f t="shared" si="51"/>
        <v>0</v>
      </c>
      <c r="AW307" s="494">
        <f t="shared" si="55"/>
        <v>0</v>
      </c>
      <c r="AX307" s="468"/>
      <c r="AY307" s="589">
        <v>0</v>
      </c>
      <c r="AZ307" s="510">
        <f t="shared" si="52"/>
        <v>0</v>
      </c>
      <c r="BA307" s="511">
        <f t="shared" si="53"/>
        <v>0</v>
      </c>
      <c r="BB307" s="460"/>
      <c r="BC307" s="464">
        <f t="shared" si="46"/>
        <v>0</v>
      </c>
    </row>
    <row r="308" spans="1:55" ht="15">
      <c r="A308" s="431">
        <v>302</v>
      </c>
      <c r="B308" s="431">
        <v>284</v>
      </c>
      <c r="C308" t="s">
        <v>656</v>
      </c>
      <c r="D308" t="s">
        <v>1045</v>
      </c>
      <c r="E308" s="372">
        <v>-73586.376629999984</v>
      </c>
      <c r="F308" s="372">
        <v>-47545.889877999958</v>
      </c>
      <c r="G308" s="377">
        <v>-100036.01831899994</v>
      </c>
      <c r="H308" s="590">
        <v>-107898.40119000006</v>
      </c>
      <c r="I308" s="358">
        <f t="shared" si="47"/>
        <v>-329066.68601699994</v>
      </c>
      <c r="K308" s="66">
        <f t="shared" si="45"/>
        <v>0</v>
      </c>
      <c r="L308" s="66"/>
      <c r="M308" s="431">
        <v>302</v>
      </c>
      <c r="N308" s="431">
        <v>284</v>
      </c>
      <c r="O308" s="443" t="s">
        <v>656</v>
      </c>
      <c r="P308" s="443" t="s">
        <v>1045</v>
      </c>
      <c r="Q308" s="203">
        <v>-107898.40119000006</v>
      </c>
      <c r="R308" s="457" t="s">
        <v>2509</v>
      </c>
      <c r="S308" s="253"/>
      <c r="T308" s="159">
        <v>300</v>
      </c>
      <c r="U308" t="s">
        <v>656</v>
      </c>
      <c r="V308" t="s">
        <v>1045</v>
      </c>
      <c r="W308" s="372">
        <v>-119412.62</v>
      </c>
      <c r="X308" s="372">
        <v>-73586.376629999984</v>
      </c>
      <c r="Y308" s="377">
        <v>-47545.889877999958</v>
      </c>
      <c r="Z308" s="378">
        <v>-100036.01831899994</v>
      </c>
      <c r="AA308" s="358">
        <f t="shared" si="48"/>
        <v>-340580.90482699987</v>
      </c>
      <c r="AE308" s="159">
        <f t="shared" si="49"/>
        <v>0</v>
      </c>
      <c r="AG308" s="471" t="s">
        <v>656</v>
      </c>
      <c r="AH308" s="467" t="s">
        <v>1045</v>
      </c>
      <c r="AI308" s="475">
        <v>-119412.62</v>
      </c>
      <c r="AJ308" s="475">
        <v>-73586.376629999984</v>
      </c>
      <c r="AK308" s="476">
        <v>-47545.889877999958</v>
      </c>
      <c r="AL308" s="477">
        <v>-100036.01831899994</v>
      </c>
      <c r="AM308" s="478">
        <v>-340580.90482699987</v>
      </c>
      <c r="AN308" s="478"/>
      <c r="AO308" s="467"/>
      <c r="AP308" s="479">
        <f t="shared" si="50"/>
        <v>-221168.28482699988</v>
      </c>
      <c r="AQ308" s="467"/>
      <c r="AR308" s="467"/>
      <c r="AS308" s="509">
        <f t="shared" si="54"/>
        <v>-73586.376629999984</v>
      </c>
      <c r="AT308" s="476">
        <v>-47545.889877999958</v>
      </c>
      <c r="AU308" s="477">
        <v>-100036.01831899994</v>
      </c>
      <c r="AV308" s="494">
        <f t="shared" si="51"/>
        <v>-221168.28482699988</v>
      </c>
      <c r="AW308" s="494">
        <f t="shared" si="55"/>
        <v>0</v>
      </c>
      <c r="AX308" s="468"/>
      <c r="AY308" s="589">
        <v>-107898.40119000006</v>
      </c>
      <c r="AZ308" s="510">
        <f t="shared" si="52"/>
        <v>-329066.68601699994</v>
      </c>
      <c r="BA308" s="511">
        <f t="shared" si="53"/>
        <v>0</v>
      </c>
      <c r="BB308" s="460"/>
      <c r="BC308" s="464">
        <f t="shared" si="46"/>
        <v>0</v>
      </c>
    </row>
    <row r="309" spans="1:55" ht="15">
      <c r="A309" s="431">
        <v>303</v>
      </c>
      <c r="B309" s="431">
        <v>66</v>
      </c>
      <c r="C309" t="s">
        <v>277</v>
      </c>
      <c r="D309" t="s">
        <v>878</v>
      </c>
      <c r="E309" s="372">
        <v>308462.59245999949</v>
      </c>
      <c r="F309" s="372">
        <v>-10235.763930000365</v>
      </c>
      <c r="G309" s="377">
        <v>164024.78134399958</v>
      </c>
      <c r="H309" s="590">
        <v>115968.70800600015</v>
      </c>
      <c r="I309" s="358">
        <f t="shared" si="47"/>
        <v>578220.31787999882</v>
      </c>
      <c r="K309" s="66">
        <f t="shared" si="45"/>
        <v>0</v>
      </c>
      <c r="L309" s="66"/>
      <c r="M309" s="431">
        <v>303</v>
      </c>
      <c r="N309" s="431">
        <v>66</v>
      </c>
      <c r="O309" s="443" t="s">
        <v>277</v>
      </c>
      <c r="P309" s="443" t="s">
        <v>878</v>
      </c>
      <c r="Q309" s="203">
        <v>115968.70800600015</v>
      </c>
      <c r="R309" s="457" t="s">
        <v>2509</v>
      </c>
      <c r="S309" s="253"/>
      <c r="T309" s="159">
        <v>301</v>
      </c>
      <c r="U309" t="s">
        <v>277</v>
      </c>
      <c r="V309" t="s">
        <v>878</v>
      </c>
      <c r="W309" s="372">
        <v>320861.99999999959</v>
      </c>
      <c r="X309" s="372">
        <v>-12399.407540000131</v>
      </c>
      <c r="Y309" s="377">
        <v>-10235.763930000365</v>
      </c>
      <c r="Z309" s="378">
        <v>164024.78134399958</v>
      </c>
      <c r="AA309" s="358">
        <f t="shared" si="48"/>
        <v>462251.60987399868</v>
      </c>
      <c r="AE309" s="159">
        <f t="shared" si="49"/>
        <v>0</v>
      </c>
      <c r="AG309" s="471" t="s">
        <v>277</v>
      </c>
      <c r="AH309" s="467" t="s">
        <v>878</v>
      </c>
      <c r="AI309" s="480">
        <v>320861.99999999959</v>
      </c>
      <c r="AJ309" s="480">
        <v>-12399.407540000131</v>
      </c>
      <c r="AK309" s="476">
        <v>-10235.763930000365</v>
      </c>
      <c r="AL309" s="477">
        <v>164024.78134399958</v>
      </c>
      <c r="AM309" s="478">
        <v>462251.60987399868</v>
      </c>
      <c r="AN309" s="478"/>
      <c r="AO309" s="467"/>
      <c r="AP309" s="479">
        <f t="shared" si="50"/>
        <v>141389.60987399908</v>
      </c>
      <c r="AQ309" s="467"/>
      <c r="AR309" s="467"/>
      <c r="AS309" s="512">
        <f>+AI309+AJ309</f>
        <v>308462.59245999949</v>
      </c>
      <c r="AT309" s="476">
        <v>-10235.763930000365</v>
      </c>
      <c r="AU309" s="477">
        <v>164024.78134399958</v>
      </c>
      <c r="AV309" s="494">
        <f t="shared" si="51"/>
        <v>462251.60987399868</v>
      </c>
      <c r="AW309" s="513">
        <f>+AV309-AM309</f>
        <v>0</v>
      </c>
      <c r="AX309" s="468"/>
      <c r="AY309" s="589">
        <v>115968.70800600015</v>
      </c>
      <c r="AZ309" s="510">
        <f t="shared" si="52"/>
        <v>578220.31787999882</v>
      </c>
      <c r="BA309" s="511">
        <f t="shared" si="53"/>
        <v>0</v>
      </c>
      <c r="BB309" s="460"/>
      <c r="BC309" s="464">
        <f t="shared" si="46"/>
        <v>0</v>
      </c>
    </row>
    <row r="310" spans="1:55" ht="15">
      <c r="A310" s="431">
        <v>304</v>
      </c>
      <c r="B310" s="431">
        <v>290</v>
      </c>
      <c r="C310" t="s">
        <v>667</v>
      </c>
      <c r="D310" t="s">
        <v>1050</v>
      </c>
      <c r="E310" s="372">
        <v>-67873.881135140022</v>
      </c>
      <c r="F310" s="372">
        <v>-84623.044819999952</v>
      </c>
      <c r="G310" s="377">
        <v>-92491.288030000025</v>
      </c>
      <c r="H310" s="590">
        <v>-70879.450551999966</v>
      </c>
      <c r="I310" s="358">
        <f t="shared" si="47"/>
        <v>-315867.66453713994</v>
      </c>
      <c r="K310" s="66">
        <f t="shared" si="45"/>
        <v>0</v>
      </c>
      <c r="L310" s="66"/>
      <c r="M310" s="431">
        <v>304</v>
      </c>
      <c r="N310" s="431">
        <v>290</v>
      </c>
      <c r="O310" s="443" t="s">
        <v>667</v>
      </c>
      <c r="P310" s="443" t="s">
        <v>1050</v>
      </c>
      <c r="Q310" s="203">
        <v>-70879.450551999966</v>
      </c>
      <c r="R310" s="457" t="s">
        <v>2509</v>
      </c>
      <c r="S310" s="253"/>
      <c r="T310" s="159">
        <v>302</v>
      </c>
      <c r="U310" t="s">
        <v>667</v>
      </c>
      <c r="V310" t="s">
        <v>1050</v>
      </c>
      <c r="W310" s="372">
        <v>-126391.74</v>
      </c>
      <c r="X310" s="372">
        <v>-67873.881135140022</v>
      </c>
      <c r="Y310" s="377">
        <v>-84623.044819999952</v>
      </c>
      <c r="Z310" s="378">
        <v>-92491.288030000025</v>
      </c>
      <c r="AA310" s="358">
        <f t="shared" si="48"/>
        <v>-371379.95398513996</v>
      </c>
      <c r="AE310" s="159">
        <f t="shared" si="49"/>
        <v>0</v>
      </c>
      <c r="AG310" s="471" t="s">
        <v>667</v>
      </c>
      <c r="AH310" s="467" t="s">
        <v>1050</v>
      </c>
      <c r="AI310" s="475">
        <v>-126391.74</v>
      </c>
      <c r="AJ310" s="475">
        <v>-67873.881135140022</v>
      </c>
      <c r="AK310" s="476">
        <v>-84623.044819999952</v>
      </c>
      <c r="AL310" s="477">
        <v>-92491.288030000025</v>
      </c>
      <c r="AM310" s="478">
        <v>-371379.95398513996</v>
      </c>
      <c r="AN310" s="478"/>
      <c r="AO310" s="467"/>
      <c r="AP310" s="479">
        <f t="shared" si="50"/>
        <v>-244988.21398514</v>
      </c>
      <c r="AQ310" s="467"/>
      <c r="AR310" s="467"/>
      <c r="AS310" s="509">
        <f t="shared" si="54"/>
        <v>-67873.881135140022</v>
      </c>
      <c r="AT310" s="476">
        <v>-84623.044819999952</v>
      </c>
      <c r="AU310" s="477">
        <v>-92491.288030000025</v>
      </c>
      <c r="AV310" s="494">
        <f t="shared" si="51"/>
        <v>-244988.21398514</v>
      </c>
      <c r="AW310" s="494">
        <f t="shared" si="55"/>
        <v>0</v>
      </c>
      <c r="AX310" s="468"/>
      <c r="AY310" s="589">
        <v>-70879.450551999966</v>
      </c>
      <c r="AZ310" s="510">
        <f t="shared" si="52"/>
        <v>-315867.66453713994</v>
      </c>
      <c r="BA310" s="511">
        <f t="shared" si="53"/>
        <v>0</v>
      </c>
      <c r="BB310" s="460"/>
      <c r="BC310" s="464">
        <f t="shared" si="46"/>
        <v>0</v>
      </c>
    </row>
    <row r="311" spans="1:55" ht="15">
      <c r="A311" s="431">
        <v>305</v>
      </c>
      <c r="B311" s="431">
        <v>286</v>
      </c>
      <c r="C311" t="s">
        <v>660</v>
      </c>
      <c r="D311" t="s">
        <v>1047</v>
      </c>
      <c r="E311" s="372">
        <v>0</v>
      </c>
      <c r="F311" s="372">
        <v>-45596.272679999471</v>
      </c>
      <c r="G311" s="377">
        <v>-56915.767549999699</v>
      </c>
      <c r="H311" s="590">
        <v>136238.32727000024</v>
      </c>
      <c r="I311" s="358">
        <f t="shared" si="47"/>
        <v>33726.287040001072</v>
      </c>
      <c r="K311" s="66">
        <f t="shared" si="45"/>
        <v>0</v>
      </c>
      <c r="L311" s="66"/>
      <c r="M311" s="431">
        <v>305</v>
      </c>
      <c r="N311" s="431">
        <v>286</v>
      </c>
      <c r="O311" s="443" t="s">
        <v>660</v>
      </c>
      <c r="P311" s="443" t="s">
        <v>1047</v>
      </c>
      <c r="Q311" s="203">
        <v>136238.32727000024</v>
      </c>
      <c r="R311" s="457" t="s">
        <v>2509</v>
      </c>
      <c r="S311" s="253"/>
      <c r="T311" s="159">
        <v>303</v>
      </c>
      <c r="U311" t="s">
        <v>660</v>
      </c>
      <c r="V311" t="s">
        <v>1047</v>
      </c>
      <c r="W311" s="372">
        <v>-772804.34</v>
      </c>
      <c r="X311" s="372">
        <v>0</v>
      </c>
      <c r="Y311" s="377">
        <v>-45596.272679999471</v>
      </c>
      <c r="Z311" s="378">
        <v>-56915.767549999699</v>
      </c>
      <c r="AA311" s="358">
        <f t="shared" si="48"/>
        <v>-875316.38022999908</v>
      </c>
      <c r="AE311" s="159">
        <f t="shared" si="49"/>
        <v>0</v>
      </c>
      <c r="AG311" s="471" t="s">
        <v>660</v>
      </c>
      <c r="AH311" s="467" t="s">
        <v>1047</v>
      </c>
      <c r="AI311" s="475">
        <v>-772804.34</v>
      </c>
      <c r="AJ311" s="475">
        <v>0</v>
      </c>
      <c r="AK311" s="476">
        <v>-45596.272679999471</v>
      </c>
      <c r="AL311" s="477">
        <v>-56915.767549999699</v>
      </c>
      <c r="AM311" s="478">
        <v>-875316.38022999908</v>
      </c>
      <c r="AN311" s="478"/>
      <c r="AO311" s="467"/>
      <c r="AP311" s="479">
        <f t="shared" si="50"/>
        <v>-102512.04022999917</v>
      </c>
      <c r="AQ311" s="467"/>
      <c r="AR311" s="467"/>
      <c r="AS311" s="509">
        <f t="shared" si="54"/>
        <v>0</v>
      </c>
      <c r="AT311" s="476">
        <v>-45596.272679999471</v>
      </c>
      <c r="AU311" s="477">
        <v>-56915.767549999699</v>
      </c>
      <c r="AV311" s="494">
        <f t="shared" si="51"/>
        <v>-102512.04022999917</v>
      </c>
      <c r="AW311" s="494">
        <f t="shared" si="55"/>
        <v>0</v>
      </c>
      <c r="AX311" s="468"/>
      <c r="AY311" s="589">
        <v>136238.32727000024</v>
      </c>
      <c r="AZ311" s="510">
        <f t="shared" si="52"/>
        <v>33726.287040001072</v>
      </c>
      <c r="BA311" s="511">
        <f t="shared" si="53"/>
        <v>0</v>
      </c>
      <c r="BB311" s="460"/>
      <c r="BC311" s="464">
        <f t="shared" si="46"/>
        <v>0</v>
      </c>
    </row>
    <row r="312" spans="1:55" ht="15">
      <c r="A312" s="431">
        <v>306</v>
      </c>
      <c r="B312" s="431">
        <v>326</v>
      </c>
      <c r="C312" t="s">
        <v>734</v>
      </c>
      <c r="D312" t="s">
        <v>1079</v>
      </c>
      <c r="E312" s="372">
        <v>-634202.14298000035</v>
      </c>
      <c r="F312" s="372">
        <v>-69384.487425999716</v>
      </c>
      <c r="G312" s="377">
        <v>-141996.29821999994</v>
      </c>
      <c r="H312" s="590">
        <v>-186956.38959199982</v>
      </c>
      <c r="I312" s="358">
        <f t="shared" si="47"/>
        <v>-1032539.3182179998</v>
      </c>
      <c r="K312" s="66">
        <f t="shared" si="45"/>
        <v>0</v>
      </c>
      <c r="L312" s="66"/>
      <c r="M312" s="431">
        <v>306</v>
      </c>
      <c r="N312" s="431">
        <v>326</v>
      </c>
      <c r="O312" s="443" t="s">
        <v>734</v>
      </c>
      <c r="P312" s="443" t="s">
        <v>1079</v>
      </c>
      <c r="Q312" s="203">
        <v>-186956.38959199982</v>
      </c>
      <c r="R312" s="457" t="s">
        <v>2509</v>
      </c>
      <c r="S312" s="253"/>
      <c r="T312" s="159">
        <v>304</v>
      </c>
      <c r="U312" t="s">
        <v>734</v>
      </c>
      <c r="V312" t="s">
        <v>1079</v>
      </c>
      <c r="W312" s="372">
        <v>-96732.9</v>
      </c>
      <c r="X312" s="372">
        <v>-634202.14298000035</v>
      </c>
      <c r="Y312" s="377">
        <v>-69384.487425999716</v>
      </c>
      <c r="Z312" s="378">
        <v>-141996.29821999994</v>
      </c>
      <c r="AA312" s="358">
        <f t="shared" si="48"/>
        <v>-942315.82862600009</v>
      </c>
      <c r="AE312" s="159">
        <f t="shared" si="49"/>
        <v>0</v>
      </c>
      <c r="AG312" s="471" t="s">
        <v>734</v>
      </c>
      <c r="AH312" s="467" t="s">
        <v>1079</v>
      </c>
      <c r="AI312" s="475">
        <v>-96732.9</v>
      </c>
      <c r="AJ312" s="475">
        <v>-634202.14298000035</v>
      </c>
      <c r="AK312" s="476">
        <v>-69384.487425999716</v>
      </c>
      <c r="AL312" s="477">
        <v>-141996.29821999994</v>
      </c>
      <c r="AM312" s="478">
        <v>-942315.82862600009</v>
      </c>
      <c r="AN312" s="478"/>
      <c r="AO312" s="467"/>
      <c r="AP312" s="479">
        <f t="shared" si="50"/>
        <v>-845582.92862599995</v>
      </c>
      <c r="AQ312" s="467"/>
      <c r="AR312" s="467"/>
      <c r="AS312" s="509">
        <f t="shared" si="54"/>
        <v>-634202.14298000035</v>
      </c>
      <c r="AT312" s="476">
        <v>-69384.487425999716</v>
      </c>
      <c r="AU312" s="477">
        <v>-141996.29821999994</v>
      </c>
      <c r="AV312" s="494">
        <f t="shared" si="51"/>
        <v>-845582.92862599995</v>
      </c>
      <c r="AW312" s="494">
        <f t="shared" si="55"/>
        <v>0</v>
      </c>
      <c r="AX312" s="468"/>
      <c r="AY312" s="589">
        <v>-186956.38959199982</v>
      </c>
      <c r="AZ312" s="510">
        <f t="shared" si="52"/>
        <v>-1032539.3182179998</v>
      </c>
      <c r="BA312" s="511">
        <f t="shared" si="53"/>
        <v>0</v>
      </c>
      <c r="BB312" s="460"/>
      <c r="BC312" s="464">
        <f t="shared" si="46"/>
        <v>0</v>
      </c>
    </row>
    <row r="313" spans="1:55" ht="15">
      <c r="A313" s="431">
        <v>307</v>
      </c>
      <c r="B313" s="431">
        <v>68</v>
      </c>
      <c r="C313" t="s">
        <v>281</v>
      </c>
      <c r="D313" t="s">
        <v>880</v>
      </c>
      <c r="E313" s="372">
        <v>-32840.553696000003</v>
      </c>
      <c r="F313" s="372">
        <v>-51596.209300000104</v>
      </c>
      <c r="G313" s="377">
        <v>-87255.155719999922</v>
      </c>
      <c r="H313" s="590">
        <v>-55324.907040000078</v>
      </c>
      <c r="I313" s="358">
        <f t="shared" si="47"/>
        <v>-227016.82575600012</v>
      </c>
      <c r="K313" s="66">
        <f t="shared" si="45"/>
        <v>0</v>
      </c>
      <c r="L313" s="66"/>
      <c r="M313" s="431">
        <v>307</v>
      </c>
      <c r="N313" s="431">
        <v>68</v>
      </c>
      <c r="O313" s="443" t="s">
        <v>281</v>
      </c>
      <c r="P313" s="443" t="s">
        <v>880</v>
      </c>
      <c r="Q313" s="203">
        <v>-55324.907040000078</v>
      </c>
      <c r="R313" s="457" t="s">
        <v>2509</v>
      </c>
      <c r="S313" s="253"/>
      <c r="T313" s="159">
        <v>305</v>
      </c>
      <c r="U313" t="s">
        <v>281</v>
      </c>
      <c r="V313" t="s">
        <v>880</v>
      </c>
      <c r="W313" s="372">
        <v>78125.690000000046</v>
      </c>
      <c r="X313" s="372">
        <v>-110966.24369600005</v>
      </c>
      <c r="Y313" s="377">
        <v>-51596.209300000104</v>
      </c>
      <c r="Z313" s="378">
        <v>-87255.155719999922</v>
      </c>
      <c r="AA313" s="358">
        <f t="shared" si="48"/>
        <v>-171691.91871600004</v>
      </c>
      <c r="AE313" s="159">
        <f t="shared" si="49"/>
        <v>0</v>
      </c>
      <c r="AG313" s="471" t="s">
        <v>281</v>
      </c>
      <c r="AH313" s="467" t="s">
        <v>880</v>
      </c>
      <c r="AI313" s="480">
        <v>78125.690000000046</v>
      </c>
      <c r="AJ313" s="480">
        <v>-110966.24369600005</v>
      </c>
      <c r="AK313" s="476">
        <v>-51596.209300000104</v>
      </c>
      <c r="AL313" s="477">
        <v>-87255.155719999922</v>
      </c>
      <c r="AM313" s="478">
        <v>-171691.91871600004</v>
      </c>
      <c r="AN313" s="478"/>
      <c r="AO313" s="467"/>
      <c r="AP313" s="479">
        <f t="shared" si="50"/>
        <v>-249817.60871600008</v>
      </c>
      <c r="AQ313" s="467"/>
      <c r="AR313" s="467"/>
      <c r="AS313" s="512">
        <f>+AI313+AJ313</f>
        <v>-32840.553696000003</v>
      </c>
      <c r="AT313" s="476">
        <v>-51596.209300000104</v>
      </c>
      <c r="AU313" s="477">
        <v>-87255.155719999922</v>
      </c>
      <c r="AV313" s="494">
        <f t="shared" si="51"/>
        <v>-171691.91871600004</v>
      </c>
      <c r="AW313" s="513">
        <f>+AV313-AM313</f>
        <v>0</v>
      </c>
      <c r="AX313" s="468"/>
      <c r="AY313" s="589">
        <v>-55324.907040000078</v>
      </c>
      <c r="AZ313" s="510">
        <f t="shared" si="52"/>
        <v>-227016.82575600012</v>
      </c>
      <c r="BA313" s="511">
        <f t="shared" si="53"/>
        <v>0</v>
      </c>
      <c r="BB313" s="460"/>
      <c r="BC313" s="464">
        <f t="shared" si="46"/>
        <v>0</v>
      </c>
    </row>
    <row r="314" spans="1:55" ht="15">
      <c r="A314" s="431">
        <v>308</v>
      </c>
      <c r="B314" s="431">
        <v>33</v>
      </c>
      <c r="C314" t="s">
        <v>220</v>
      </c>
      <c r="D314" t="s">
        <v>852</v>
      </c>
      <c r="E314" s="372">
        <v>-896814.27217200014</v>
      </c>
      <c r="F314" s="372">
        <v>-723494.86853799969</v>
      </c>
      <c r="G314" s="377">
        <v>-1110874.970645</v>
      </c>
      <c r="H314" s="590">
        <v>-874393.78468000004</v>
      </c>
      <c r="I314" s="358">
        <f t="shared" si="47"/>
        <v>-3605577.8960350002</v>
      </c>
      <c r="K314" s="66">
        <f t="shared" si="45"/>
        <v>0</v>
      </c>
      <c r="L314" s="66"/>
      <c r="M314" s="431">
        <v>308</v>
      </c>
      <c r="N314" s="431">
        <v>33</v>
      </c>
      <c r="O314" s="443" t="s">
        <v>220</v>
      </c>
      <c r="P314" s="443" t="s">
        <v>852</v>
      </c>
      <c r="Q314" s="203">
        <v>-874393.78468000004</v>
      </c>
      <c r="R314" s="457" t="s">
        <v>2509</v>
      </c>
      <c r="S314" s="253"/>
      <c r="T314" s="159">
        <v>306</v>
      </c>
      <c r="U314" t="s">
        <v>220</v>
      </c>
      <c r="V314" t="s">
        <v>852</v>
      </c>
      <c r="W314" s="372">
        <v>-299778.71000000002</v>
      </c>
      <c r="X314" s="372">
        <v>-896814.27217200014</v>
      </c>
      <c r="Y314" s="377">
        <v>-723494.86853799969</v>
      </c>
      <c r="Z314" s="378">
        <v>-1110874.970645</v>
      </c>
      <c r="AA314" s="358">
        <f t="shared" si="48"/>
        <v>-3030962.8213550001</v>
      </c>
      <c r="AE314" s="159">
        <f t="shared" si="49"/>
        <v>0</v>
      </c>
      <c r="AG314" s="471" t="s">
        <v>220</v>
      </c>
      <c r="AH314" s="467" t="s">
        <v>852</v>
      </c>
      <c r="AI314" s="475">
        <v>-299778.71000000002</v>
      </c>
      <c r="AJ314" s="475">
        <v>-896814.27217200014</v>
      </c>
      <c r="AK314" s="476">
        <v>-723494.86853799969</v>
      </c>
      <c r="AL314" s="477">
        <v>-1110874.970645</v>
      </c>
      <c r="AM314" s="478">
        <v>-3030962.8213550001</v>
      </c>
      <c r="AN314" s="478"/>
      <c r="AO314" s="467"/>
      <c r="AP314" s="479">
        <f t="shared" si="50"/>
        <v>-2731184.1113550002</v>
      </c>
      <c r="AQ314" s="467"/>
      <c r="AR314" s="467"/>
      <c r="AS314" s="509">
        <f t="shared" si="54"/>
        <v>-896814.27217200014</v>
      </c>
      <c r="AT314" s="476">
        <v>-723494.86853799969</v>
      </c>
      <c r="AU314" s="477">
        <v>-1110874.970645</v>
      </c>
      <c r="AV314" s="494">
        <f t="shared" si="51"/>
        <v>-2731184.1113550002</v>
      </c>
      <c r="AW314" s="494">
        <f t="shared" si="55"/>
        <v>0</v>
      </c>
      <c r="AX314" s="468"/>
      <c r="AY314" s="589">
        <v>-874393.78468000004</v>
      </c>
      <c r="AZ314" s="510">
        <f t="shared" si="52"/>
        <v>-3605577.8960350002</v>
      </c>
      <c r="BA314" s="511">
        <f t="shared" si="53"/>
        <v>0</v>
      </c>
      <c r="BB314" s="460"/>
      <c r="BC314" s="464">
        <f t="shared" si="46"/>
        <v>0</v>
      </c>
    </row>
    <row r="315" spans="1:55" ht="15">
      <c r="A315" s="431">
        <v>309</v>
      </c>
      <c r="B315" s="431">
        <v>1</v>
      </c>
      <c r="C315" t="s">
        <v>163</v>
      </c>
      <c r="D315" t="s">
        <v>828</v>
      </c>
      <c r="E315" s="372">
        <v>-60183.960500000001</v>
      </c>
      <c r="F315" s="372">
        <v>-50533.533744999964</v>
      </c>
      <c r="G315" s="377">
        <v>-44040.499989000004</v>
      </c>
      <c r="H315" s="590">
        <v>-43384.350275000004</v>
      </c>
      <c r="I315" s="358">
        <f t="shared" si="47"/>
        <v>-198142.34450899999</v>
      </c>
      <c r="K315" s="66">
        <f t="shared" si="45"/>
        <v>0</v>
      </c>
      <c r="L315" s="66"/>
      <c r="M315" s="431">
        <v>309</v>
      </c>
      <c r="N315" s="431">
        <v>1</v>
      </c>
      <c r="O315" s="443" t="s">
        <v>163</v>
      </c>
      <c r="P315" s="443" t="s">
        <v>828</v>
      </c>
      <c r="Q315" s="203">
        <v>-43384.350275000004</v>
      </c>
      <c r="R315" s="457" t="s">
        <v>2509</v>
      </c>
      <c r="S315" s="253"/>
      <c r="T315" s="159">
        <v>307</v>
      </c>
      <c r="U315" t="s">
        <v>163</v>
      </c>
      <c r="V315" t="s">
        <v>828</v>
      </c>
      <c r="W315" s="372">
        <v>-49487.59</v>
      </c>
      <c r="X315" s="372">
        <v>-60183.960500000001</v>
      </c>
      <c r="Y315" s="377">
        <v>-50533.533744999964</v>
      </c>
      <c r="Z315" s="378">
        <v>-44040.499989000004</v>
      </c>
      <c r="AA315" s="358">
        <f t="shared" si="48"/>
        <v>-204245.58423399998</v>
      </c>
      <c r="AE315" s="159">
        <f t="shared" si="49"/>
        <v>0</v>
      </c>
      <c r="AG315" s="471" t="s">
        <v>163</v>
      </c>
      <c r="AH315" s="467" t="s">
        <v>828</v>
      </c>
      <c r="AI315" s="475">
        <v>-49487.59</v>
      </c>
      <c r="AJ315" s="475">
        <v>-60183.960500000001</v>
      </c>
      <c r="AK315" s="476">
        <v>-50533.533744999964</v>
      </c>
      <c r="AL315" s="477">
        <v>-44040.499989000004</v>
      </c>
      <c r="AM315" s="478">
        <v>-204245.58423399998</v>
      </c>
      <c r="AN315" s="478"/>
      <c r="AO315" s="467"/>
      <c r="AP315" s="479">
        <f t="shared" si="50"/>
        <v>-154757.99423399998</v>
      </c>
      <c r="AQ315" s="467"/>
      <c r="AR315" s="467"/>
      <c r="AS315" s="509">
        <f t="shared" si="54"/>
        <v>-60183.960500000001</v>
      </c>
      <c r="AT315" s="476">
        <v>-50533.533744999964</v>
      </c>
      <c r="AU315" s="477">
        <v>-44040.499989000004</v>
      </c>
      <c r="AV315" s="494">
        <f t="shared" si="51"/>
        <v>-154757.99423399998</v>
      </c>
      <c r="AW315" s="494">
        <f t="shared" si="55"/>
        <v>0</v>
      </c>
      <c r="AX315" s="468"/>
      <c r="AY315" s="589">
        <v>-43384.350275000004</v>
      </c>
      <c r="AZ315" s="510">
        <f t="shared" si="52"/>
        <v>-198142.34450899999</v>
      </c>
      <c r="BA315" s="511">
        <f t="shared" si="53"/>
        <v>0</v>
      </c>
      <c r="BB315" s="460"/>
      <c r="BC315" s="464">
        <f t="shared" si="46"/>
        <v>0</v>
      </c>
    </row>
    <row r="316" spans="1:55" ht="15">
      <c r="A316" s="431">
        <v>310</v>
      </c>
      <c r="B316" s="431">
        <v>54</v>
      </c>
      <c r="C316" t="s">
        <v>255</v>
      </c>
      <c r="D316" t="s">
        <v>868</v>
      </c>
      <c r="E316" s="372">
        <v>-15092.509624000013</v>
      </c>
      <c r="F316" s="372">
        <v>21752.67</v>
      </c>
      <c r="G316" s="377">
        <v>-63038.106059999991</v>
      </c>
      <c r="H316" s="590">
        <v>-53790.713889999955</v>
      </c>
      <c r="I316" s="358">
        <f t="shared" si="47"/>
        <v>-110168.65957399996</v>
      </c>
      <c r="K316" s="66">
        <f t="shared" si="45"/>
        <v>0</v>
      </c>
      <c r="L316" s="66"/>
      <c r="M316" s="431">
        <v>310</v>
      </c>
      <c r="N316" s="431">
        <v>54</v>
      </c>
      <c r="O316" s="443" t="s">
        <v>255</v>
      </c>
      <c r="P316" s="443" t="s">
        <v>868</v>
      </c>
      <c r="Q316" s="203">
        <v>-53790.713889999955</v>
      </c>
      <c r="R316" s="457" t="s">
        <v>2509</v>
      </c>
      <c r="S316" s="253"/>
      <c r="T316" s="159">
        <v>308</v>
      </c>
      <c r="U316" t="s">
        <v>255</v>
      </c>
      <c r="V316" t="s">
        <v>868</v>
      </c>
      <c r="W316" s="372">
        <v>-78947.839999999997</v>
      </c>
      <c r="X316" s="372">
        <v>-15092.509624000013</v>
      </c>
      <c r="Y316" s="377">
        <v>100700.509131</v>
      </c>
      <c r="Z316" s="378">
        <v>-63038.106059999991</v>
      </c>
      <c r="AA316" s="358">
        <f t="shared" si="48"/>
        <v>-56377.946553000002</v>
      </c>
      <c r="AE316" s="159">
        <f t="shared" si="49"/>
        <v>0</v>
      </c>
      <c r="AG316" s="471" t="s">
        <v>255</v>
      </c>
      <c r="AH316" s="467" t="s">
        <v>868</v>
      </c>
      <c r="AI316" s="480">
        <v>-78947.839999999997</v>
      </c>
      <c r="AJ316" s="475">
        <v>-15092.509624000013</v>
      </c>
      <c r="AK316" s="481">
        <v>100700.509131</v>
      </c>
      <c r="AL316" s="477">
        <v>-63038.106059999991</v>
      </c>
      <c r="AM316" s="478">
        <v>-56377.946553000002</v>
      </c>
      <c r="AN316" s="478">
        <f>+AI316+AK316</f>
        <v>21752.669131000002</v>
      </c>
      <c r="AO316" s="467"/>
      <c r="AP316" s="479">
        <f t="shared" si="50"/>
        <v>22569.893446999995</v>
      </c>
      <c r="AQ316" s="467"/>
      <c r="AR316" s="467"/>
      <c r="AS316" s="509">
        <f t="shared" si="54"/>
        <v>-15092.509624000013</v>
      </c>
      <c r="AT316" s="481">
        <v>21752.67</v>
      </c>
      <c r="AU316" s="477">
        <v>-63038.106059999991</v>
      </c>
      <c r="AV316" s="494">
        <f t="shared" si="51"/>
        <v>-56377.945684000006</v>
      </c>
      <c r="AW316" s="513">
        <f>+AV316-AM316</f>
        <v>8.6899999587330967E-4</v>
      </c>
      <c r="AX316" s="468"/>
      <c r="AY316" s="589">
        <v>-53790.713889999955</v>
      </c>
      <c r="AZ316" s="510">
        <f t="shared" si="52"/>
        <v>-110168.65957399996</v>
      </c>
      <c r="BA316" s="511">
        <f t="shared" si="53"/>
        <v>0</v>
      </c>
      <c r="BB316" s="460"/>
      <c r="BC316" s="464">
        <f t="shared" si="46"/>
        <v>0</v>
      </c>
    </row>
    <row r="317" spans="1:55" ht="15">
      <c r="A317" s="431">
        <v>311</v>
      </c>
      <c r="B317" s="431">
        <v>264</v>
      </c>
      <c r="C317" t="s">
        <v>622</v>
      </c>
      <c r="D317" t="s">
        <v>1029</v>
      </c>
      <c r="E317" s="372">
        <v>-109092.65642199997</v>
      </c>
      <c r="F317" s="372">
        <v>-101983.24753600001</v>
      </c>
      <c r="G317" s="377">
        <v>-74110.856030000024</v>
      </c>
      <c r="H317" s="590">
        <v>-260576.56551999995</v>
      </c>
      <c r="I317" s="358">
        <f t="shared" si="47"/>
        <v>-545763.32550799998</v>
      </c>
      <c r="K317" s="66">
        <f t="shared" si="45"/>
        <v>0</v>
      </c>
      <c r="L317" s="66"/>
      <c r="M317" s="431">
        <v>311</v>
      </c>
      <c r="N317" s="431">
        <v>264</v>
      </c>
      <c r="O317" s="443" t="s">
        <v>622</v>
      </c>
      <c r="P317" s="443" t="s">
        <v>1029</v>
      </c>
      <c r="Q317" s="203">
        <v>-260576.56551999995</v>
      </c>
      <c r="R317" s="457" t="s">
        <v>2509</v>
      </c>
      <c r="S317" s="253"/>
      <c r="T317" s="159">
        <v>309</v>
      </c>
      <c r="U317" t="s">
        <v>622</v>
      </c>
      <c r="V317" t="s">
        <v>1029</v>
      </c>
      <c r="W317" s="372">
        <v>-162016.4</v>
      </c>
      <c r="X317" s="372">
        <v>-109092.65642199997</v>
      </c>
      <c r="Y317" s="377">
        <v>-101983.24753600001</v>
      </c>
      <c r="Z317" s="378">
        <v>-74110.856030000024</v>
      </c>
      <c r="AA317" s="358">
        <f t="shared" si="48"/>
        <v>-447203.15998799994</v>
      </c>
      <c r="AE317" s="159">
        <f t="shared" si="49"/>
        <v>0</v>
      </c>
      <c r="AG317" s="471" t="s">
        <v>622</v>
      </c>
      <c r="AH317" s="467" t="s">
        <v>1029</v>
      </c>
      <c r="AI317" s="475">
        <v>-162016.4</v>
      </c>
      <c r="AJ317" s="475">
        <v>-109092.65642199997</v>
      </c>
      <c r="AK317" s="476">
        <v>-101983.24753600001</v>
      </c>
      <c r="AL317" s="477">
        <v>-74110.856030000024</v>
      </c>
      <c r="AM317" s="478">
        <v>-447203.15998799994</v>
      </c>
      <c r="AN317" s="478"/>
      <c r="AO317" s="467"/>
      <c r="AP317" s="479">
        <f t="shared" si="50"/>
        <v>-285186.75998800003</v>
      </c>
      <c r="AQ317" s="467"/>
      <c r="AR317" s="467"/>
      <c r="AS317" s="509">
        <f t="shared" si="54"/>
        <v>-109092.65642199997</v>
      </c>
      <c r="AT317" s="476">
        <v>-101983.24753600001</v>
      </c>
      <c r="AU317" s="477">
        <v>-74110.856030000024</v>
      </c>
      <c r="AV317" s="494">
        <f t="shared" si="51"/>
        <v>-285186.75998800003</v>
      </c>
      <c r="AW317" s="494">
        <f t="shared" si="55"/>
        <v>0</v>
      </c>
      <c r="AX317" s="468"/>
      <c r="AY317" s="589">
        <v>-260576.56551999995</v>
      </c>
      <c r="AZ317" s="510">
        <f t="shared" si="52"/>
        <v>-545763.32550799998</v>
      </c>
      <c r="BA317" s="511">
        <f t="shared" si="53"/>
        <v>0</v>
      </c>
      <c r="BB317" s="460"/>
      <c r="BC317" s="464">
        <f t="shared" si="46"/>
        <v>0</v>
      </c>
    </row>
    <row r="318" spans="1:55" ht="15">
      <c r="A318" s="431">
        <v>312</v>
      </c>
      <c r="B318" s="431">
        <v>20</v>
      </c>
      <c r="C318" t="s">
        <v>201</v>
      </c>
      <c r="D318" t="s">
        <v>843</v>
      </c>
      <c r="E318" s="372">
        <v>0</v>
      </c>
      <c r="F318" s="372">
        <v>0</v>
      </c>
      <c r="G318" s="377">
        <v>104791.86</v>
      </c>
      <c r="H318" s="590">
        <v>16901.067986000329</v>
      </c>
      <c r="I318" s="358">
        <f t="shared" si="47"/>
        <v>121692.92798600033</v>
      </c>
      <c r="K318" s="66">
        <f t="shared" si="45"/>
        <v>0</v>
      </c>
      <c r="L318" s="66"/>
      <c r="M318" s="431">
        <v>312</v>
      </c>
      <c r="N318" s="431">
        <v>20</v>
      </c>
      <c r="O318" s="443" t="s">
        <v>201</v>
      </c>
      <c r="P318" s="443" t="s">
        <v>843</v>
      </c>
      <c r="Q318" s="203">
        <v>16901.067986000329</v>
      </c>
      <c r="R318" s="457" t="s">
        <v>2509</v>
      </c>
      <c r="S318" s="253"/>
      <c r="T318" s="159">
        <v>310</v>
      </c>
      <c r="U318" t="s">
        <v>201</v>
      </c>
      <c r="V318" t="s">
        <v>843</v>
      </c>
      <c r="W318" s="372">
        <v>-412089.25</v>
      </c>
      <c r="X318" s="372">
        <v>0</v>
      </c>
      <c r="Y318" s="377">
        <v>152655.97493892285</v>
      </c>
      <c r="Z318" s="378">
        <v>364225.13366169063</v>
      </c>
      <c r="AA318" s="358">
        <f t="shared" si="48"/>
        <v>104791.85860061349</v>
      </c>
      <c r="AE318" s="159">
        <f t="shared" si="49"/>
        <v>0</v>
      </c>
      <c r="AG318" s="471" t="s">
        <v>201</v>
      </c>
      <c r="AH318" s="467" t="s">
        <v>843</v>
      </c>
      <c r="AI318" s="480">
        <v>-412089.25</v>
      </c>
      <c r="AJ318" s="475">
        <v>0</v>
      </c>
      <c r="AK318" s="481">
        <v>152655.97493892285</v>
      </c>
      <c r="AL318" s="482">
        <v>364225.13366169063</v>
      </c>
      <c r="AM318" s="478">
        <v>104791.85860061349</v>
      </c>
      <c r="AN318" s="478"/>
      <c r="AO318" s="467"/>
      <c r="AP318" s="479">
        <f t="shared" si="50"/>
        <v>516881.10860061349</v>
      </c>
      <c r="AQ318" s="467"/>
      <c r="AR318" s="467"/>
      <c r="AS318" s="509">
        <f t="shared" si="54"/>
        <v>0</v>
      </c>
      <c r="AT318" s="481">
        <v>0</v>
      </c>
      <c r="AU318" s="482">
        <v>104791.86</v>
      </c>
      <c r="AV318" s="494">
        <f t="shared" si="51"/>
        <v>104791.86</v>
      </c>
      <c r="AW318" s="513">
        <f>+AV318-AM318</f>
        <v>1.3993865140946582E-3</v>
      </c>
      <c r="AX318" s="468"/>
      <c r="AY318" s="589">
        <v>16901.067986000329</v>
      </c>
      <c r="AZ318" s="510">
        <f t="shared" si="52"/>
        <v>121692.92798600033</v>
      </c>
      <c r="BA318" s="511">
        <f t="shared" si="53"/>
        <v>0</v>
      </c>
      <c r="BB318" s="460"/>
      <c r="BC318" s="464">
        <f t="shared" si="46"/>
        <v>0</v>
      </c>
    </row>
    <row r="319" spans="1:55" ht="15">
      <c r="A319" s="431">
        <v>313</v>
      </c>
      <c r="B319" s="431">
        <v>255</v>
      </c>
      <c r="C319" t="s">
        <v>613</v>
      </c>
      <c r="D319" t="s">
        <v>1677</v>
      </c>
      <c r="E319" s="372">
        <v>-293712.58326100017</v>
      </c>
      <c r="F319" s="372">
        <v>-172702.87323200004</v>
      </c>
      <c r="G319" s="377">
        <v>-246759.90121300024</v>
      </c>
      <c r="H319" s="590">
        <v>-317089.35920599988</v>
      </c>
      <c r="I319" s="358">
        <f t="shared" si="47"/>
        <v>-1030264.7169120003</v>
      </c>
      <c r="K319" s="66">
        <f t="shared" si="45"/>
        <v>0</v>
      </c>
      <c r="L319" s="66"/>
      <c r="M319" s="431">
        <v>313</v>
      </c>
      <c r="N319" s="431">
        <v>255</v>
      </c>
      <c r="O319" s="443" t="s">
        <v>613</v>
      </c>
      <c r="P319" s="443" t="s">
        <v>1677</v>
      </c>
      <c r="Q319" s="203">
        <v>-317089.35920599988</v>
      </c>
      <c r="R319" s="457" t="s">
        <v>2509</v>
      </c>
      <c r="S319" s="253"/>
      <c r="T319" s="159">
        <v>311</v>
      </c>
      <c r="U319" t="s">
        <v>613</v>
      </c>
      <c r="V319" t="s">
        <v>1677</v>
      </c>
      <c r="W319" s="372">
        <v>-375453.15</v>
      </c>
      <c r="X319" s="372">
        <v>-293712.58326100017</v>
      </c>
      <c r="Y319" s="377">
        <v>-172702.87323200004</v>
      </c>
      <c r="Z319" s="378">
        <v>-246759.90121300024</v>
      </c>
      <c r="AA319" s="358">
        <f t="shared" si="48"/>
        <v>-1088628.5077060005</v>
      </c>
      <c r="AE319" s="159">
        <f t="shared" si="49"/>
        <v>0</v>
      </c>
      <c r="AG319" s="471" t="s">
        <v>613</v>
      </c>
      <c r="AH319" s="467" t="s">
        <v>1677</v>
      </c>
      <c r="AI319" s="475">
        <v>-375453.15</v>
      </c>
      <c r="AJ319" s="475">
        <v>-293712.58326100017</v>
      </c>
      <c r="AK319" s="476">
        <v>-172702.87323200004</v>
      </c>
      <c r="AL319" s="477">
        <v>-246759.90121300024</v>
      </c>
      <c r="AM319" s="478">
        <v>-1088628.5077060005</v>
      </c>
      <c r="AN319" s="478"/>
      <c r="AO319" s="467"/>
      <c r="AP319" s="479">
        <f t="shared" si="50"/>
        <v>-713175.35770600045</v>
      </c>
      <c r="AQ319" s="467"/>
      <c r="AR319" s="467"/>
      <c r="AS319" s="509">
        <f t="shared" si="54"/>
        <v>-293712.58326100017</v>
      </c>
      <c r="AT319" s="476">
        <v>-172702.87323200004</v>
      </c>
      <c r="AU319" s="477">
        <v>-246759.90121300024</v>
      </c>
      <c r="AV319" s="494">
        <f t="shared" si="51"/>
        <v>-713175.35770600045</v>
      </c>
      <c r="AW319" s="494">
        <f t="shared" si="55"/>
        <v>0</v>
      </c>
      <c r="AX319" s="468"/>
      <c r="AY319" s="589">
        <v>-317089.35920599988</v>
      </c>
      <c r="AZ319" s="510">
        <f t="shared" si="52"/>
        <v>-1030264.7169120003</v>
      </c>
      <c r="BA319" s="511">
        <f t="shared" si="53"/>
        <v>0</v>
      </c>
      <c r="BB319" s="460"/>
      <c r="BC319" s="464">
        <f t="shared" si="46"/>
        <v>0</v>
      </c>
    </row>
    <row r="320" spans="1:55" ht="15">
      <c r="A320" s="431">
        <v>314</v>
      </c>
      <c r="B320" s="431">
        <v>327</v>
      </c>
      <c r="C320" t="s">
        <v>736</v>
      </c>
      <c r="D320" t="s">
        <v>1684</v>
      </c>
      <c r="E320" s="372">
        <v>457966.33272664761</v>
      </c>
      <c r="F320" s="372">
        <v>332429.59180651046</v>
      </c>
      <c r="G320" s="377">
        <v>-170559.03092952311</v>
      </c>
      <c r="H320" s="590">
        <v>85173.437147000339</v>
      </c>
      <c r="I320" s="358">
        <f t="shared" si="47"/>
        <v>705010.33075063536</v>
      </c>
      <c r="K320" s="66">
        <f t="shared" si="45"/>
        <v>0</v>
      </c>
      <c r="L320" s="66"/>
      <c r="M320" s="431">
        <v>314</v>
      </c>
      <c r="N320" s="431">
        <v>327</v>
      </c>
      <c r="O320" s="443" t="s">
        <v>736</v>
      </c>
      <c r="P320" s="443" t="s">
        <v>1684</v>
      </c>
      <c r="Q320" s="203">
        <v>85173.437147000339</v>
      </c>
      <c r="R320" s="457" t="s">
        <v>2509</v>
      </c>
      <c r="S320" s="253"/>
      <c r="T320" s="159">
        <v>312</v>
      </c>
      <c r="U320" t="s">
        <v>736</v>
      </c>
      <c r="V320" t="s">
        <v>1684</v>
      </c>
      <c r="W320" s="372">
        <v>665406.49999999849</v>
      </c>
      <c r="X320" s="372">
        <v>-207440.16727335087</v>
      </c>
      <c r="Y320" s="377">
        <v>332429.59180651046</v>
      </c>
      <c r="Z320" s="378">
        <v>-170559.03092952311</v>
      </c>
      <c r="AA320" s="358">
        <f t="shared" si="48"/>
        <v>619836.89360363502</v>
      </c>
      <c r="AE320" s="159">
        <f t="shared" si="49"/>
        <v>0</v>
      </c>
      <c r="AG320" s="471" t="s">
        <v>736</v>
      </c>
      <c r="AH320" s="467" t="s">
        <v>1684</v>
      </c>
      <c r="AI320" s="480">
        <v>665406.49999999849</v>
      </c>
      <c r="AJ320" s="480">
        <v>-207440.16727335087</v>
      </c>
      <c r="AK320" s="476">
        <v>332429.59180651046</v>
      </c>
      <c r="AL320" s="477">
        <v>-170559.03092952311</v>
      </c>
      <c r="AM320" s="478">
        <v>619836.89360363502</v>
      </c>
      <c r="AN320" s="478"/>
      <c r="AO320" s="467"/>
      <c r="AP320" s="479">
        <f t="shared" si="50"/>
        <v>-45569.606396363524</v>
      </c>
      <c r="AQ320" s="467"/>
      <c r="AR320" s="467"/>
      <c r="AS320" s="512">
        <f>+AI320+AJ320</f>
        <v>457966.33272664761</v>
      </c>
      <c r="AT320" s="476">
        <v>332429.59180651046</v>
      </c>
      <c r="AU320" s="477">
        <v>-170559.03092952311</v>
      </c>
      <c r="AV320" s="494">
        <f t="shared" si="51"/>
        <v>619836.89360363502</v>
      </c>
      <c r="AW320" s="513">
        <f>+AV320-AM320</f>
        <v>0</v>
      </c>
      <c r="AX320" s="468"/>
      <c r="AY320" s="589">
        <v>85173.437147000339</v>
      </c>
      <c r="AZ320" s="510">
        <f t="shared" si="52"/>
        <v>705010.33075063536</v>
      </c>
      <c r="BA320" s="511">
        <f t="shared" si="53"/>
        <v>0</v>
      </c>
      <c r="BB320" s="460"/>
      <c r="BC320" s="464">
        <f t="shared" si="46"/>
        <v>0</v>
      </c>
    </row>
    <row r="321" spans="1:55" ht="15">
      <c r="A321" s="431">
        <v>315</v>
      </c>
      <c r="B321" s="431">
        <v>299</v>
      </c>
      <c r="C321" s="356" t="s">
        <v>1692</v>
      </c>
      <c r="D321" s="352" t="s">
        <v>1695</v>
      </c>
      <c r="E321" s="374">
        <v>0</v>
      </c>
      <c r="F321" s="374"/>
      <c r="G321" s="377"/>
      <c r="H321" s="590">
        <v>-84770.4</v>
      </c>
      <c r="I321" s="358">
        <f t="shared" si="47"/>
        <v>-84770.4</v>
      </c>
      <c r="K321" s="66">
        <f t="shared" si="45"/>
        <v>0</v>
      </c>
      <c r="L321" s="66"/>
      <c r="M321" s="431">
        <v>315</v>
      </c>
      <c r="N321" s="431">
        <v>299</v>
      </c>
      <c r="O321" s="445" t="s">
        <v>1692</v>
      </c>
      <c r="P321" s="446" t="s">
        <v>2507</v>
      </c>
      <c r="Q321" s="203">
        <v>-84770.4</v>
      </c>
      <c r="R321" s="457" t="s">
        <v>2509</v>
      </c>
      <c r="S321" s="253"/>
      <c r="T321" s="159">
        <v>313</v>
      </c>
      <c r="U321" s="356" t="s">
        <v>1692</v>
      </c>
      <c r="V321" s="352" t="s">
        <v>1695</v>
      </c>
      <c r="W321" s="374">
        <v>0</v>
      </c>
      <c r="X321" s="374"/>
      <c r="Y321" s="377"/>
      <c r="Z321" s="378"/>
      <c r="AA321" s="358">
        <f t="shared" si="48"/>
        <v>0</v>
      </c>
      <c r="AE321" s="159">
        <f t="shared" si="49"/>
        <v>0</v>
      </c>
      <c r="AG321" s="471" t="s">
        <v>1692</v>
      </c>
      <c r="AH321" s="467" t="s">
        <v>1695</v>
      </c>
      <c r="AI321" s="490">
        <v>0</v>
      </c>
      <c r="AJ321" s="490"/>
      <c r="AK321" s="476"/>
      <c r="AL321" s="477"/>
      <c r="AM321" s="478">
        <v>0</v>
      </c>
      <c r="AN321" s="478"/>
      <c r="AO321" s="467"/>
      <c r="AP321" s="479">
        <f t="shared" si="50"/>
        <v>0</v>
      </c>
      <c r="AQ321" s="467"/>
      <c r="AR321" s="467"/>
      <c r="AS321" s="509">
        <f t="shared" si="54"/>
        <v>0</v>
      </c>
      <c r="AT321" s="476"/>
      <c r="AU321" s="477"/>
      <c r="AV321" s="494">
        <f t="shared" si="51"/>
        <v>0</v>
      </c>
      <c r="AW321" s="494">
        <f t="shared" si="55"/>
        <v>0</v>
      </c>
      <c r="AX321" s="468"/>
      <c r="AY321" s="589">
        <v>-84770.4</v>
      </c>
      <c r="AZ321" s="510">
        <f t="shared" si="52"/>
        <v>-84770.4</v>
      </c>
      <c r="BA321" s="511">
        <f t="shared" si="53"/>
        <v>0</v>
      </c>
      <c r="BB321" s="460"/>
      <c r="BC321" s="464">
        <f t="shared" si="46"/>
        <v>0</v>
      </c>
    </row>
    <row r="322" spans="1:55" ht="15">
      <c r="A322" s="431">
        <v>316</v>
      </c>
      <c r="B322" s="431">
        <v>161</v>
      </c>
      <c r="C322" t="s">
        <v>438</v>
      </c>
      <c r="D322" t="s">
        <v>949</v>
      </c>
      <c r="E322" s="372">
        <v>-74967.085432000007</v>
      </c>
      <c r="F322" s="372">
        <v>-52356.277533999993</v>
      </c>
      <c r="G322" s="377">
        <v>37177.985963999934</v>
      </c>
      <c r="H322" s="590">
        <v>-77694.188728000037</v>
      </c>
      <c r="I322" s="358">
        <f t="shared" si="47"/>
        <v>-167839.56573000009</v>
      </c>
      <c r="K322" s="66">
        <f t="shared" si="45"/>
        <v>0</v>
      </c>
      <c r="L322" s="66"/>
      <c r="M322" s="431">
        <v>316</v>
      </c>
      <c r="N322" s="431">
        <v>161</v>
      </c>
      <c r="O322" s="443" t="s">
        <v>438</v>
      </c>
      <c r="P322" s="443" t="s">
        <v>949</v>
      </c>
      <c r="Q322" s="203">
        <v>-77694.188728000037</v>
      </c>
      <c r="R322" s="457" t="s">
        <v>2509</v>
      </c>
      <c r="S322" s="253"/>
      <c r="T322" s="159">
        <v>314</v>
      </c>
      <c r="U322" t="s">
        <v>438</v>
      </c>
      <c r="V322" t="s">
        <v>949</v>
      </c>
      <c r="W322" s="372">
        <v>0</v>
      </c>
      <c r="X322" s="372">
        <v>-74967.085432000007</v>
      </c>
      <c r="Y322" s="377">
        <v>-52356.277533999993</v>
      </c>
      <c r="Z322" s="378">
        <v>37177.985963999934</v>
      </c>
      <c r="AA322" s="358">
        <f t="shared" si="48"/>
        <v>-90145.377002000067</v>
      </c>
      <c r="AE322" s="159">
        <f t="shared" si="49"/>
        <v>0</v>
      </c>
      <c r="AG322" s="471" t="s">
        <v>438</v>
      </c>
      <c r="AH322" s="467" t="s">
        <v>949</v>
      </c>
      <c r="AI322" s="475">
        <v>0</v>
      </c>
      <c r="AJ322" s="475">
        <v>-74967.085432000007</v>
      </c>
      <c r="AK322" s="476">
        <v>-52356.277533999993</v>
      </c>
      <c r="AL322" s="477">
        <v>37177.985963999934</v>
      </c>
      <c r="AM322" s="478">
        <v>-90145.377002000067</v>
      </c>
      <c r="AN322" s="478"/>
      <c r="AO322" s="467"/>
      <c r="AP322" s="479">
        <f t="shared" si="50"/>
        <v>-90145.377002000067</v>
      </c>
      <c r="AQ322" s="467"/>
      <c r="AR322" s="467"/>
      <c r="AS322" s="509">
        <f t="shared" si="54"/>
        <v>-74967.085432000007</v>
      </c>
      <c r="AT322" s="476">
        <v>-52356.277533999993</v>
      </c>
      <c r="AU322" s="477">
        <v>37177.985963999934</v>
      </c>
      <c r="AV322" s="494">
        <f t="shared" si="51"/>
        <v>-90145.377002000067</v>
      </c>
      <c r="AW322" s="494">
        <f t="shared" si="55"/>
        <v>0</v>
      </c>
      <c r="AX322" s="468"/>
      <c r="AY322" s="589">
        <v>-77694.188728000037</v>
      </c>
      <c r="AZ322" s="510">
        <f t="shared" si="52"/>
        <v>-167839.56573000009</v>
      </c>
      <c r="BA322" s="511">
        <f t="shared" si="53"/>
        <v>0</v>
      </c>
      <c r="BB322" s="460"/>
      <c r="BC322" s="464">
        <f t="shared" si="46"/>
        <v>0</v>
      </c>
    </row>
    <row r="323" spans="1:55" ht="15">
      <c r="A323" s="431">
        <v>317</v>
      </c>
      <c r="B323" s="431">
        <v>209</v>
      </c>
      <c r="C323" t="s">
        <v>531</v>
      </c>
      <c r="D323" t="s">
        <v>995</v>
      </c>
      <c r="E323" s="372">
        <v>-163400.14934709825</v>
      </c>
      <c r="F323" s="372">
        <v>0</v>
      </c>
      <c r="G323" s="377">
        <v>-252682.41508434521</v>
      </c>
      <c r="H323" s="590">
        <v>-227227.47886200016</v>
      </c>
      <c r="I323" s="358">
        <f t="shared" si="47"/>
        <v>-643310.04329344362</v>
      </c>
      <c r="K323" s="66">
        <f t="shared" si="45"/>
        <v>0</v>
      </c>
      <c r="L323" s="66"/>
      <c r="M323" s="431">
        <v>317</v>
      </c>
      <c r="N323" s="431">
        <v>209</v>
      </c>
      <c r="O323" s="443" t="s">
        <v>531</v>
      </c>
      <c r="P323" s="443" t="s">
        <v>995</v>
      </c>
      <c r="Q323" s="203">
        <v>-227227.47886200016</v>
      </c>
      <c r="R323" s="457" t="s">
        <v>2509</v>
      </c>
      <c r="S323" s="253"/>
      <c r="T323" s="159">
        <v>315</v>
      </c>
      <c r="U323" t="s">
        <v>531</v>
      </c>
      <c r="V323" t="s">
        <v>995</v>
      </c>
      <c r="W323" s="372">
        <v>-306850.28999999998</v>
      </c>
      <c r="X323" s="372">
        <v>-163400.14934709825</v>
      </c>
      <c r="Y323" s="377">
        <v>0</v>
      </c>
      <c r="Z323" s="378">
        <v>-252682.41508434521</v>
      </c>
      <c r="AA323" s="358">
        <f t="shared" si="48"/>
        <v>-722932.85443144338</v>
      </c>
      <c r="AE323" s="159">
        <f t="shared" si="49"/>
        <v>0</v>
      </c>
      <c r="AG323" s="471" t="s">
        <v>531</v>
      </c>
      <c r="AH323" s="467" t="s">
        <v>995</v>
      </c>
      <c r="AI323" s="475">
        <v>-306850.28999999998</v>
      </c>
      <c r="AJ323" s="475">
        <v>-163400.14934709825</v>
      </c>
      <c r="AK323" s="476">
        <v>0</v>
      </c>
      <c r="AL323" s="477">
        <v>-252682.41508434521</v>
      </c>
      <c r="AM323" s="478">
        <v>-722932.85443144338</v>
      </c>
      <c r="AN323" s="478"/>
      <c r="AO323" s="467"/>
      <c r="AP323" s="479">
        <f t="shared" si="50"/>
        <v>-416082.56443144346</v>
      </c>
      <c r="AQ323" s="467"/>
      <c r="AR323" s="467"/>
      <c r="AS323" s="509">
        <f t="shared" si="54"/>
        <v>-163400.14934709825</v>
      </c>
      <c r="AT323" s="476">
        <v>0</v>
      </c>
      <c r="AU323" s="477">
        <v>-252682.41508434521</v>
      </c>
      <c r="AV323" s="494">
        <f t="shared" si="51"/>
        <v>-416082.56443144346</v>
      </c>
      <c r="AW323" s="494">
        <f t="shared" si="55"/>
        <v>0</v>
      </c>
      <c r="AX323" s="468"/>
      <c r="AY323" s="589">
        <v>-227227.47886200016</v>
      </c>
      <c r="AZ323" s="510">
        <f t="shared" si="52"/>
        <v>-643310.04329344362</v>
      </c>
      <c r="BA323" s="511">
        <f t="shared" si="53"/>
        <v>0</v>
      </c>
      <c r="BB323" s="460"/>
      <c r="BC323" s="464">
        <f t="shared" si="46"/>
        <v>0</v>
      </c>
    </row>
    <row r="324" spans="1:55" ht="15">
      <c r="A324" s="431">
        <v>318</v>
      </c>
      <c r="B324" s="431">
        <v>148</v>
      </c>
      <c r="C324" t="s">
        <v>412</v>
      </c>
      <c r="D324" t="s">
        <v>937</v>
      </c>
      <c r="E324" s="372">
        <v>-115197.94454099993</v>
      </c>
      <c r="F324" s="372">
        <v>-164487.44099800009</v>
      </c>
      <c r="G324" s="377">
        <v>-243466.42912499994</v>
      </c>
      <c r="H324" s="590">
        <v>-184124.48132999998</v>
      </c>
      <c r="I324" s="358">
        <f t="shared" si="47"/>
        <v>-707276.29599399993</v>
      </c>
      <c r="K324" s="66">
        <f t="shared" si="45"/>
        <v>0</v>
      </c>
      <c r="L324" s="66"/>
      <c r="M324" s="431">
        <v>318</v>
      </c>
      <c r="N324" s="431">
        <v>148</v>
      </c>
      <c r="O324" s="443" t="s">
        <v>412</v>
      </c>
      <c r="P324" s="443" t="s">
        <v>937</v>
      </c>
      <c r="Q324" s="203">
        <v>-184124.48132999998</v>
      </c>
      <c r="R324" s="457" t="s">
        <v>2509</v>
      </c>
      <c r="S324" s="253"/>
      <c r="T324" s="159">
        <v>316</v>
      </c>
      <c r="U324" t="s">
        <v>412</v>
      </c>
      <c r="V324" t="s">
        <v>937</v>
      </c>
      <c r="W324" s="372">
        <v>-66289.67</v>
      </c>
      <c r="X324" s="372">
        <v>-115197.94454099993</v>
      </c>
      <c r="Y324" s="377">
        <v>-164487.44099800009</v>
      </c>
      <c r="Z324" s="378">
        <v>-243466.42912499994</v>
      </c>
      <c r="AA324" s="358">
        <f t="shared" si="48"/>
        <v>-589441.48466399999</v>
      </c>
      <c r="AE324" s="159">
        <f t="shared" si="49"/>
        <v>0</v>
      </c>
      <c r="AG324" s="471" t="s">
        <v>412</v>
      </c>
      <c r="AH324" s="467" t="s">
        <v>937</v>
      </c>
      <c r="AI324" s="475">
        <v>-66289.67</v>
      </c>
      <c r="AJ324" s="475">
        <v>-115197.94454099993</v>
      </c>
      <c r="AK324" s="476">
        <v>-164487.44099800009</v>
      </c>
      <c r="AL324" s="477">
        <v>-243466.42912499994</v>
      </c>
      <c r="AM324" s="478">
        <v>-589441.48466399999</v>
      </c>
      <c r="AN324" s="478"/>
      <c r="AO324" s="467"/>
      <c r="AP324" s="479">
        <f t="shared" si="50"/>
        <v>-523151.81466399995</v>
      </c>
      <c r="AQ324" s="467"/>
      <c r="AR324" s="467"/>
      <c r="AS324" s="509">
        <f t="shared" si="54"/>
        <v>-115197.94454099993</v>
      </c>
      <c r="AT324" s="476">
        <v>-164487.44099800009</v>
      </c>
      <c r="AU324" s="477">
        <v>-243466.42912499994</v>
      </c>
      <c r="AV324" s="494">
        <f t="shared" si="51"/>
        <v>-523151.81466399995</v>
      </c>
      <c r="AW324" s="494">
        <f t="shared" si="55"/>
        <v>0</v>
      </c>
      <c r="AX324" s="468"/>
      <c r="AY324" s="589">
        <v>-184124.48132999998</v>
      </c>
      <c r="AZ324" s="510">
        <f t="shared" si="52"/>
        <v>-707276.29599399993</v>
      </c>
      <c r="BA324" s="511">
        <f t="shared" si="53"/>
        <v>0</v>
      </c>
      <c r="BB324" s="460"/>
      <c r="BC324" s="464">
        <f t="shared" si="46"/>
        <v>0</v>
      </c>
    </row>
    <row r="325" spans="1:55" ht="15">
      <c r="A325" s="431">
        <v>319</v>
      </c>
      <c r="B325" s="431">
        <v>124</v>
      </c>
      <c r="C325" s="352" t="s">
        <v>1696</v>
      </c>
      <c r="D325" s="352" t="s">
        <v>1697</v>
      </c>
      <c r="E325" s="374">
        <v>0</v>
      </c>
      <c r="F325" s="374"/>
      <c r="G325" s="377">
        <v>-29160.249999999993</v>
      </c>
      <c r="H325" s="590">
        <v>-52696.451803999982</v>
      </c>
      <c r="I325" s="358">
        <f t="shared" si="47"/>
        <v>-81856.701803999982</v>
      </c>
      <c r="K325" s="66">
        <f t="shared" ref="K325:K336" si="56">+O325-C325</f>
        <v>0</v>
      </c>
      <c r="L325" s="66"/>
      <c r="M325" s="431">
        <v>319</v>
      </c>
      <c r="N325" s="431">
        <v>124</v>
      </c>
      <c r="O325" s="443" t="s">
        <v>1696</v>
      </c>
      <c r="P325" s="443" t="s">
        <v>2508</v>
      </c>
      <c r="Q325" s="203">
        <v>-52696.451803999982</v>
      </c>
      <c r="R325" s="457" t="s">
        <v>2509</v>
      </c>
      <c r="S325" s="253"/>
      <c r="T325" s="159">
        <v>317</v>
      </c>
      <c r="U325" s="352" t="s">
        <v>1696</v>
      </c>
      <c r="V325" s="352" t="s">
        <v>1697</v>
      </c>
      <c r="W325" s="374">
        <v>0</v>
      </c>
      <c r="X325" s="374"/>
      <c r="Y325" s="377"/>
      <c r="Z325" s="378">
        <v>-29160.249999999993</v>
      </c>
      <c r="AA325" s="358">
        <f t="shared" si="48"/>
        <v>-29160.249999999993</v>
      </c>
      <c r="AE325" s="159">
        <f t="shared" si="49"/>
        <v>0</v>
      </c>
      <c r="AG325" s="471" t="s">
        <v>1696</v>
      </c>
      <c r="AH325" s="467" t="s">
        <v>1697</v>
      </c>
      <c r="AI325" s="490">
        <v>0</v>
      </c>
      <c r="AJ325" s="490"/>
      <c r="AK325" s="476"/>
      <c r="AL325" s="477">
        <v>-29160.249999999993</v>
      </c>
      <c r="AM325" s="478">
        <v>-29160.249999999993</v>
      </c>
      <c r="AN325" s="478"/>
      <c r="AO325" s="467"/>
      <c r="AP325" s="479">
        <f t="shared" si="50"/>
        <v>-29160.249999999993</v>
      </c>
      <c r="AQ325" s="467"/>
      <c r="AR325" s="467"/>
      <c r="AS325" s="509">
        <f t="shared" si="54"/>
        <v>0</v>
      </c>
      <c r="AT325" s="476"/>
      <c r="AU325" s="477">
        <v>-29160.249999999993</v>
      </c>
      <c r="AV325" s="494">
        <f t="shared" si="51"/>
        <v>-29160.249999999993</v>
      </c>
      <c r="AW325" s="494">
        <f t="shared" si="55"/>
        <v>0</v>
      </c>
      <c r="AX325" s="468"/>
      <c r="AY325" s="589">
        <v>-52696.451803999982</v>
      </c>
      <c r="AZ325" s="510">
        <f t="shared" si="52"/>
        <v>-81856.701803999982</v>
      </c>
      <c r="BA325" s="511">
        <f t="shared" si="53"/>
        <v>0</v>
      </c>
      <c r="BB325" s="460"/>
      <c r="BC325" s="464">
        <f t="shared" si="46"/>
        <v>0</v>
      </c>
    </row>
    <row r="326" spans="1:55" ht="15">
      <c r="A326" s="431">
        <v>320</v>
      </c>
      <c r="B326" s="431">
        <v>168</v>
      </c>
      <c r="C326" t="s">
        <v>452</v>
      </c>
      <c r="D326" t="s">
        <v>955</v>
      </c>
      <c r="E326" s="372">
        <v>-43541.05119999998</v>
      </c>
      <c r="F326" s="372">
        <v>-53494.41510800003</v>
      </c>
      <c r="G326" s="377">
        <v>-48226.072175000001</v>
      </c>
      <c r="H326" s="590">
        <v>-23144.727584000007</v>
      </c>
      <c r="I326" s="358">
        <f t="shared" si="47"/>
        <v>-168406.26606700002</v>
      </c>
      <c r="K326" s="66">
        <f t="shared" si="56"/>
        <v>0</v>
      </c>
      <c r="L326" s="66"/>
      <c r="M326" s="431">
        <v>320</v>
      </c>
      <c r="N326" s="431">
        <v>168</v>
      </c>
      <c r="O326" s="443" t="s">
        <v>452</v>
      </c>
      <c r="P326" s="443" t="s">
        <v>955</v>
      </c>
      <c r="Q326" s="203">
        <v>-23144.727584000007</v>
      </c>
      <c r="R326" s="457" t="s">
        <v>2509</v>
      </c>
      <c r="S326" s="253"/>
      <c r="T326" s="159">
        <v>318</v>
      </c>
      <c r="U326" t="s">
        <v>452</v>
      </c>
      <c r="V326" t="s">
        <v>955</v>
      </c>
      <c r="W326" s="372">
        <v>-38670.03</v>
      </c>
      <c r="X326" s="372">
        <v>-43541.05119999998</v>
      </c>
      <c r="Y326" s="377">
        <v>-53494.41510800003</v>
      </c>
      <c r="Z326" s="378">
        <v>-48226.072175000001</v>
      </c>
      <c r="AA326" s="358">
        <f t="shared" si="48"/>
        <v>-183931.56848300001</v>
      </c>
      <c r="AE326" s="159">
        <f t="shared" si="49"/>
        <v>0</v>
      </c>
      <c r="AG326" s="471" t="s">
        <v>452</v>
      </c>
      <c r="AH326" s="467" t="s">
        <v>955</v>
      </c>
      <c r="AI326" s="475">
        <v>-38670.03</v>
      </c>
      <c r="AJ326" s="475">
        <v>-43541.05119999998</v>
      </c>
      <c r="AK326" s="476">
        <v>-53494.41510800003</v>
      </c>
      <c r="AL326" s="477">
        <v>-48226.072175000001</v>
      </c>
      <c r="AM326" s="478">
        <v>-183931.56848300001</v>
      </c>
      <c r="AN326" s="478"/>
      <c r="AO326" s="467"/>
      <c r="AP326" s="479">
        <f t="shared" si="50"/>
        <v>-145261.53848300001</v>
      </c>
      <c r="AQ326" s="467"/>
      <c r="AR326" s="467"/>
      <c r="AS326" s="509">
        <f t="shared" si="54"/>
        <v>-43541.05119999998</v>
      </c>
      <c r="AT326" s="476">
        <v>-53494.41510800003</v>
      </c>
      <c r="AU326" s="477">
        <v>-48226.072175000001</v>
      </c>
      <c r="AV326" s="494">
        <f t="shared" si="51"/>
        <v>-145261.53848300001</v>
      </c>
      <c r="AW326" s="494">
        <f t="shared" si="55"/>
        <v>0</v>
      </c>
      <c r="AX326" s="468"/>
      <c r="AY326" s="589">
        <v>-23144.727584000007</v>
      </c>
      <c r="AZ326" s="510">
        <f t="shared" si="52"/>
        <v>-168406.26606700002</v>
      </c>
      <c r="BA326" s="511">
        <f t="shared" si="53"/>
        <v>0</v>
      </c>
      <c r="BB326" s="460"/>
      <c r="BC326" s="464">
        <f t="shared" si="46"/>
        <v>0</v>
      </c>
    </row>
    <row r="327" spans="1:55" ht="15">
      <c r="A327" s="431">
        <v>321</v>
      </c>
      <c r="B327" s="431">
        <v>191</v>
      </c>
      <c r="C327" t="s">
        <v>495</v>
      </c>
      <c r="D327" t="s">
        <v>977</v>
      </c>
      <c r="E327" s="372">
        <v>-288005.93802199996</v>
      </c>
      <c r="F327" s="372">
        <v>0</v>
      </c>
      <c r="G327" s="377">
        <v>-69005.558855999974</v>
      </c>
      <c r="H327" s="590">
        <v>-115107.94071</v>
      </c>
      <c r="I327" s="358">
        <f t="shared" si="47"/>
        <v>-472119.43758799991</v>
      </c>
      <c r="K327" s="66">
        <f t="shared" si="56"/>
        <v>0</v>
      </c>
      <c r="L327" s="66"/>
      <c r="M327" s="431">
        <v>321</v>
      </c>
      <c r="N327" s="431">
        <v>191</v>
      </c>
      <c r="O327" s="443" t="s">
        <v>495</v>
      </c>
      <c r="P327" s="443" t="s">
        <v>977</v>
      </c>
      <c r="Q327" s="203">
        <v>-115107.94071</v>
      </c>
      <c r="R327" s="457" t="s">
        <v>2509</v>
      </c>
      <c r="S327" s="253"/>
      <c r="T327" s="159">
        <v>319</v>
      </c>
      <c r="U327" t="s">
        <v>495</v>
      </c>
      <c r="V327" t="s">
        <v>977</v>
      </c>
      <c r="W327" s="372">
        <v>-170972.2</v>
      </c>
      <c r="X327" s="372">
        <v>-288005.93802199996</v>
      </c>
      <c r="Y327" s="377">
        <v>0</v>
      </c>
      <c r="Z327" s="378">
        <v>-69005.558855999974</v>
      </c>
      <c r="AA327" s="358">
        <f t="shared" si="48"/>
        <v>-527983.69687799993</v>
      </c>
      <c r="AE327" s="159">
        <f t="shared" si="49"/>
        <v>0</v>
      </c>
      <c r="AG327" s="471" t="s">
        <v>495</v>
      </c>
      <c r="AH327" s="467" t="s">
        <v>977</v>
      </c>
      <c r="AI327" s="475">
        <v>-170972.2</v>
      </c>
      <c r="AJ327" s="475">
        <v>-288005.93802199996</v>
      </c>
      <c r="AK327" s="476">
        <v>0</v>
      </c>
      <c r="AL327" s="477">
        <v>-69005.558855999974</v>
      </c>
      <c r="AM327" s="478">
        <v>-527983.69687799993</v>
      </c>
      <c r="AN327" s="478"/>
      <c r="AO327" s="467"/>
      <c r="AP327" s="479">
        <f t="shared" si="50"/>
        <v>-357011.49687799992</v>
      </c>
      <c r="AQ327" s="467"/>
      <c r="AR327" s="467"/>
      <c r="AS327" s="509">
        <f t="shared" si="54"/>
        <v>-288005.93802199996</v>
      </c>
      <c r="AT327" s="476">
        <v>0</v>
      </c>
      <c r="AU327" s="477">
        <v>-69005.558855999974</v>
      </c>
      <c r="AV327" s="494">
        <f t="shared" si="51"/>
        <v>-357011.49687799992</v>
      </c>
      <c r="AW327" s="494">
        <f t="shared" si="55"/>
        <v>0</v>
      </c>
      <c r="AX327" s="468"/>
      <c r="AY327" s="589">
        <v>-115107.94071</v>
      </c>
      <c r="AZ327" s="510">
        <f t="shared" si="52"/>
        <v>-472119.43758799991</v>
      </c>
      <c r="BA327" s="511">
        <f t="shared" si="53"/>
        <v>0</v>
      </c>
      <c r="BB327" s="460"/>
      <c r="BC327" s="464">
        <f t="shared" ref="BC327:BC336" si="57">+O327-C327</f>
        <v>0</v>
      </c>
    </row>
    <row r="328" spans="1:55" ht="15">
      <c r="A328" s="431">
        <v>322</v>
      </c>
      <c r="B328" s="431">
        <v>74</v>
      </c>
      <c r="C328" t="s">
        <v>293</v>
      </c>
      <c r="D328" t="s">
        <v>885</v>
      </c>
      <c r="E328" s="372">
        <v>-72475.34554900002</v>
      </c>
      <c r="F328" s="372">
        <v>-79016.058656000037</v>
      </c>
      <c r="G328" s="377">
        <v>-89177.649665999983</v>
      </c>
      <c r="H328" s="590">
        <v>-91850.734540000019</v>
      </c>
      <c r="I328" s="358">
        <f t="shared" si="47"/>
        <v>-332519.78841100005</v>
      </c>
      <c r="K328" s="66">
        <f t="shared" si="56"/>
        <v>0</v>
      </c>
      <c r="L328" s="66"/>
      <c r="M328" s="431">
        <v>322</v>
      </c>
      <c r="N328" s="431">
        <v>74</v>
      </c>
      <c r="O328" s="443" t="s">
        <v>293</v>
      </c>
      <c r="P328" s="443" t="s">
        <v>885</v>
      </c>
      <c r="Q328" s="203">
        <v>-91850.734540000019</v>
      </c>
      <c r="R328" s="457" t="s">
        <v>2509</v>
      </c>
      <c r="S328" s="253"/>
      <c r="T328" s="159">
        <v>320</v>
      </c>
      <c r="U328" t="s">
        <v>293</v>
      </c>
      <c r="V328" t="s">
        <v>885</v>
      </c>
      <c r="W328" s="372">
        <v>-83908.84</v>
      </c>
      <c r="X328" s="372">
        <v>-72475.34554900002</v>
      </c>
      <c r="Y328" s="377">
        <v>-79016.058656000037</v>
      </c>
      <c r="Z328" s="378">
        <v>-89177.649665999983</v>
      </c>
      <c r="AA328" s="358">
        <f t="shared" si="48"/>
        <v>-324577.89387100004</v>
      </c>
      <c r="AE328" s="159">
        <f t="shared" si="49"/>
        <v>0</v>
      </c>
      <c r="AG328" s="471" t="s">
        <v>293</v>
      </c>
      <c r="AH328" s="467" t="s">
        <v>885</v>
      </c>
      <c r="AI328" s="475">
        <v>-83908.84</v>
      </c>
      <c r="AJ328" s="475">
        <v>-72475.34554900002</v>
      </c>
      <c r="AK328" s="476">
        <v>-79016.058656000037</v>
      </c>
      <c r="AL328" s="477">
        <v>-89177.649665999983</v>
      </c>
      <c r="AM328" s="478">
        <v>-324577.89387100004</v>
      </c>
      <c r="AN328" s="478"/>
      <c r="AO328" s="467"/>
      <c r="AP328" s="479">
        <f t="shared" si="50"/>
        <v>-240669.05387100004</v>
      </c>
      <c r="AQ328" s="467"/>
      <c r="AR328" s="467"/>
      <c r="AS328" s="509">
        <f t="shared" si="54"/>
        <v>-72475.34554900002</v>
      </c>
      <c r="AT328" s="476">
        <v>-79016.058656000037</v>
      </c>
      <c r="AU328" s="477">
        <v>-89177.649665999983</v>
      </c>
      <c r="AV328" s="494">
        <f t="shared" si="51"/>
        <v>-240669.05387100004</v>
      </c>
      <c r="AW328" s="494">
        <f t="shared" si="55"/>
        <v>0</v>
      </c>
      <c r="AX328" s="468"/>
      <c r="AY328" s="589">
        <v>-91850.734540000019</v>
      </c>
      <c r="AZ328" s="510">
        <f t="shared" si="52"/>
        <v>-332519.78841100005</v>
      </c>
      <c r="BA328" s="511">
        <f t="shared" si="53"/>
        <v>0</v>
      </c>
      <c r="BB328" s="460"/>
      <c r="BC328" s="464">
        <f t="shared" si="57"/>
        <v>0</v>
      </c>
    </row>
    <row r="329" spans="1:55" ht="15">
      <c r="A329" s="431">
        <v>323</v>
      </c>
      <c r="B329" s="431">
        <v>155</v>
      </c>
      <c r="C329" t="s">
        <v>426</v>
      </c>
      <c r="D329" t="s">
        <v>943</v>
      </c>
      <c r="E329" s="372">
        <v>28133.866553999982</v>
      </c>
      <c r="F329" s="372">
        <v>35302.621449000086</v>
      </c>
      <c r="G329" s="377">
        <v>25637.465439999971</v>
      </c>
      <c r="H329" s="590">
        <v>-108190.23421999998</v>
      </c>
      <c r="I329" s="358">
        <f t="shared" si="47"/>
        <v>-19116.280776999949</v>
      </c>
      <c r="K329" s="66">
        <f t="shared" si="56"/>
        <v>0</v>
      </c>
      <c r="L329" s="66"/>
      <c r="M329" s="431">
        <v>323</v>
      </c>
      <c r="N329" s="431">
        <v>155</v>
      </c>
      <c r="O329" s="443" t="s">
        <v>426</v>
      </c>
      <c r="P329" s="443" t="s">
        <v>943</v>
      </c>
      <c r="Q329" s="203">
        <v>-108190.23421999998</v>
      </c>
      <c r="R329" s="457" t="s">
        <v>2509</v>
      </c>
      <c r="S329" s="253"/>
      <c r="T329" s="159">
        <v>321</v>
      </c>
      <c r="U329" t="s">
        <v>426</v>
      </c>
      <c r="V329" t="s">
        <v>943</v>
      </c>
      <c r="W329" s="372">
        <v>-14349.66</v>
      </c>
      <c r="X329" s="372">
        <v>42483.526553999982</v>
      </c>
      <c r="Y329" s="377">
        <v>35302.621449000086</v>
      </c>
      <c r="Z329" s="378">
        <v>25637.465439999971</v>
      </c>
      <c r="AA329" s="358">
        <f t="shared" si="48"/>
        <v>89073.953443000035</v>
      </c>
      <c r="AE329" s="159">
        <f t="shared" si="49"/>
        <v>0</v>
      </c>
      <c r="AG329" s="471" t="s">
        <v>426</v>
      </c>
      <c r="AH329" s="467" t="s">
        <v>943</v>
      </c>
      <c r="AI329" s="480">
        <v>-14349.66</v>
      </c>
      <c r="AJ329" s="480">
        <v>42483.526553999982</v>
      </c>
      <c r="AK329" s="476">
        <v>35302.621449000086</v>
      </c>
      <c r="AL329" s="477">
        <v>25637.465439999971</v>
      </c>
      <c r="AM329" s="478">
        <v>89073.953443000035</v>
      </c>
      <c r="AN329" s="478"/>
      <c r="AO329" s="467"/>
      <c r="AP329" s="479">
        <f t="shared" si="50"/>
        <v>103423.61344300004</v>
      </c>
      <c r="AQ329" s="467"/>
      <c r="AR329" s="467"/>
      <c r="AS329" s="512">
        <f>+AI329+AJ329</f>
        <v>28133.866553999982</v>
      </c>
      <c r="AT329" s="476">
        <v>35302.621449000086</v>
      </c>
      <c r="AU329" s="477">
        <v>25637.465439999971</v>
      </c>
      <c r="AV329" s="494">
        <f t="shared" si="51"/>
        <v>89073.953443000035</v>
      </c>
      <c r="AW329" s="513">
        <f>+AV329-AM329</f>
        <v>0</v>
      </c>
      <c r="AX329" s="468"/>
      <c r="AY329" s="589">
        <v>-108190.23421999998</v>
      </c>
      <c r="AZ329" s="510">
        <f t="shared" si="52"/>
        <v>-19116.280776999949</v>
      </c>
      <c r="BA329" s="511">
        <f t="shared" si="53"/>
        <v>0</v>
      </c>
      <c r="BB329" s="460"/>
      <c r="BC329" s="464">
        <f t="shared" si="57"/>
        <v>0</v>
      </c>
    </row>
    <row r="330" spans="1:55" ht="15">
      <c r="A330" s="431">
        <v>324</v>
      </c>
      <c r="B330" s="431">
        <v>86</v>
      </c>
      <c r="C330" t="s">
        <v>316</v>
      </c>
      <c r="D330" t="s">
        <v>896</v>
      </c>
      <c r="E330" s="372">
        <v>-103574.16147499997</v>
      </c>
      <c r="F330" s="372">
        <v>-37661.878171999997</v>
      </c>
      <c r="G330" s="377">
        <v>-40573.463999999964</v>
      </c>
      <c r="H330" s="590">
        <v>-37898.843960000027</v>
      </c>
      <c r="I330" s="358">
        <f t="shared" ref="I330:I336" si="58">SUM(E330:H330)</f>
        <v>-219708.34760699997</v>
      </c>
      <c r="K330" s="66">
        <f t="shared" si="56"/>
        <v>0</v>
      </c>
      <c r="L330" s="66"/>
      <c r="M330" s="431">
        <v>324</v>
      </c>
      <c r="N330" s="431">
        <v>86</v>
      </c>
      <c r="O330" s="443" t="s">
        <v>316</v>
      </c>
      <c r="P330" s="443" t="s">
        <v>896</v>
      </c>
      <c r="Q330" s="203">
        <v>-37898.843960000027</v>
      </c>
      <c r="R330" s="457" t="s">
        <v>2509</v>
      </c>
      <c r="S330" s="253"/>
      <c r="T330" s="159">
        <v>322</v>
      </c>
      <c r="U330" t="s">
        <v>316</v>
      </c>
      <c r="V330" t="s">
        <v>896</v>
      </c>
      <c r="W330" s="372">
        <v>-110383.79</v>
      </c>
      <c r="X330" s="372">
        <v>-103574.16147499997</v>
      </c>
      <c r="Y330" s="377">
        <v>-37661.878171999997</v>
      </c>
      <c r="Z330" s="378">
        <v>-40573.463999999964</v>
      </c>
      <c r="AA330" s="358">
        <f t="shared" ref="AA330:AA336" si="59">SUM(W330:Z330)</f>
        <v>-292193.29364699993</v>
      </c>
      <c r="AE330" s="159">
        <f t="shared" ref="AE330:AE336" si="60">+AG330-U330</f>
        <v>0</v>
      </c>
      <c r="AG330" s="471" t="s">
        <v>316</v>
      </c>
      <c r="AH330" s="467" t="s">
        <v>896</v>
      </c>
      <c r="AI330" s="475">
        <v>-110383.79</v>
      </c>
      <c r="AJ330" s="475">
        <v>-103574.16147499997</v>
      </c>
      <c r="AK330" s="476">
        <v>-37661.878171999997</v>
      </c>
      <c r="AL330" s="477">
        <v>-40573.463999999964</v>
      </c>
      <c r="AM330" s="478">
        <v>-292193.29364699993</v>
      </c>
      <c r="AN330" s="478"/>
      <c r="AO330" s="467"/>
      <c r="AP330" s="479">
        <f t="shared" ref="AP330:AP336" si="61">SUM(AJ330:AL330)</f>
        <v>-181809.50364699995</v>
      </c>
      <c r="AQ330" s="467"/>
      <c r="AR330" s="467"/>
      <c r="AS330" s="509">
        <f t="shared" ref="AS330:AS336" si="62">+AJ330</f>
        <v>-103574.16147499997</v>
      </c>
      <c r="AT330" s="476">
        <v>-37661.878171999997</v>
      </c>
      <c r="AU330" s="477">
        <v>-40573.463999999964</v>
      </c>
      <c r="AV330" s="494">
        <f t="shared" ref="AV330:AV336" si="63">SUM(AS330:AU330)</f>
        <v>-181809.50364699995</v>
      </c>
      <c r="AW330" s="494">
        <f t="shared" ref="AW330:AW336" si="64">+AV330-AP330</f>
        <v>0</v>
      </c>
      <c r="AX330" s="468"/>
      <c r="AY330" s="589">
        <v>-37898.843960000027</v>
      </c>
      <c r="AZ330" s="510">
        <f t="shared" ref="AZ330:AZ336" si="65">+AY330+AV330</f>
        <v>-219708.34760699997</v>
      </c>
      <c r="BA330" s="511">
        <f t="shared" ref="BA330:BA336" si="66">+AZ330-I330</f>
        <v>0</v>
      </c>
      <c r="BB330" s="460"/>
      <c r="BC330" s="464">
        <f t="shared" si="57"/>
        <v>0</v>
      </c>
    </row>
    <row r="331" spans="1:55" ht="15">
      <c r="A331" s="431">
        <v>325</v>
      </c>
      <c r="B331" s="431">
        <v>140</v>
      </c>
      <c r="C331" t="s">
        <v>396</v>
      </c>
      <c r="D331" t="s">
        <v>933</v>
      </c>
      <c r="E331" s="372">
        <v>-57296.189064999984</v>
      </c>
      <c r="F331" s="372">
        <v>-78427.886859000006</v>
      </c>
      <c r="G331" s="377">
        <v>-29115.303358000001</v>
      </c>
      <c r="H331" s="590">
        <v>-36127.970199999996</v>
      </c>
      <c r="I331" s="358">
        <f t="shared" si="58"/>
        <v>-200967.34948199999</v>
      </c>
      <c r="K331" s="66">
        <f t="shared" si="56"/>
        <v>0</v>
      </c>
      <c r="L331" s="66"/>
      <c r="M331" s="431">
        <v>325</v>
      </c>
      <c r="N331" s="431">
        <v>140</v>
      </c>
      <c r="O331" s="443" t="s">
        <v>396</v>
      </c>
      <c r="P331" s="443" t="s">
        <v>933</v>
      </c>
      <c r="Q331" s="203">
        <v>-36127.970199999996</v>
      </c>
      <c r="R331" s="457" t="s">
        <v>2509</v>
      </c>
      <c r="S331" s="253"/>
      <c r="T331" s="159">
        <v>323</v>
      </c>
      <c r="U331" t="s">
        <v>396</v>
      </c>
      <c r="V331" t="s">
        <v>933</v>
      </c>
      <c r="W331" s="372">
        <v>-44761.71</v>
      </c>
      <c r="X331" s="372">
        <v>-57296.189064999984</v>
      </c>
      <c r="Y331" s="377">
        <v>-78427.886859000006</v>
      </c>
      <c r="Z331" s="378">
        <v>-29115.303358000001</v>
      </c>
      <c r="AA331" s="358">
        <f t="shared" si="59"/>
        <v>-209601.08928199997</v>
      </c>
      <c r="AE331" s="159">
        <f t="shared" si="60"/>
        <v>0</v>
      </c>
      <c r="AG331" s="471" t="s">
        <v>396</v>
      </c>
      <c r="AH331" s="467" t="s">
        <v>933</v>
      </c>
      <c r="AI331" s="475">
        <v>-44761.71</v>
      </c>
      <c r="AJ331" s="475">
        <v>-57296.189064999984</v>
      </c>
      <c r="AK331" s="476">
        <v>-78427.886859000006</v>
      </c>
      <c r="AL331" s="477">
        <v>-29115.303358000001</v>
      </c>
      <c r="AM331" s="478">
        <v>-209601.08928199997</v>
      </c>
      <c r="AN331" s="478"/>
      <c r="AO331" s="467"/>
      <c r="AP331" s="479">
        <f t="shared" si="61"/>
        <v>-164839.37928200001</v>
      </c>
      <c r="AQ331" s="467"/>
      <c r="AR331" s="467"/>
      <c r="AS331" s="509">
        <f t="shared" si="62"/>
        <v>-57296.189064999984</v>
      </c>
      <c r="AT331" s="476">
        <v>-78427.886859000006</v>
      </c>
      <c r="AU331" s="477">
        <v>-29115.303358000001</v>
      </c>
      <c r="AV331" s="494">
        <f t="shared" si="63"/>
        <v>-164839.37928200001</v>
      </c>
      <c r="AW331" s="494">
        <f t="shared" si="64"/>
        <v>0</v>
      </c>
      <c r="AX331" s="468"/>
      <c r="AY331" s="589">
        <v>-36127.970199999996</v>
      </c>
      <c r="AZ331" s="510">
        <f t="shared" si="65"/>
        <v>-200967.34948199999</v>
      </c>
      <c r="BA331" s="511">
        <f t="shared" si="66"/>
        <v>0</v>
      </c>
      <c r="BB331" s="460"/>
      <c r="BC331" s="464">
        <f t="shared" si="57"/>
        <v>0</v>
      </c>
    </row>
    <row r="332" spans="1:55" ht="15">
      <c r="A332" s="431">
        <v>326</v>
      </c>
      <c r="B332" s="431">
        <v>47</v>
      </c>
      <c r="C332" t="s">
        <v>241</v>
      </c>
      <c r="D332" t="s">
        <v>861</v>
      </c>
      <c r="E332" s="372">
        <v>-229255.84471503797</v>
      </c>
      <c r="F332" s="372">
        <v>1415.1297085063998</v>
      </c>
      <c r="G332" s="377">
        <v>-297037.78600243182</v>
      </c>
      <c r="H332" s="590">
        <v>-135973.9888960002</v>
      </c>
      <c r="I332" s="358">
        <f t="shared" si="58"/>
        <v>-660852.48990496364</v>
      </c>
      <c r="K332" s="66">
        <f t="shared" si="56"/>
        <v>0</v>
      </c>
      <c r="L332" s="66"/>
      <c r="M332" s="431">
        <v>326</v>
      </c>
      <c r="N332" s="431">
        <v>47</v>
      </c>
      <c r="O332" s="443" t="s">
        <v>241</v>
      </c>
      <c r="P332" s="443" t="s">
        <v>861</v>
      </c>
      <c r="Q332" s="203">
        <v>-135973.9888960002</v>
      </c>
      <c r="R332" s="457" t="s">
        <v>2509</v>
      </c>
      <c r="S332" s="253"/>
      <c r="T332" s="159">
        <v>324</v>
      </c>
      <c r="U332" t="s">
        <v>241</v>
      </c>
      <c r="V332" t="s">
        <v>861</v>
      </c>
      <c r="W332" s="372">
        <v>-377773.06</v>
      </c>
      <c r="X332" s="372">
        <v>-229255.84471503797</v>
      </c>
      <c r="Y332" s="377">
        <v>1415.1297085063998</v>
      </c>
      <c r="Z332" s="378">
        <v>-297037.78600243182</v>
      </c>
      <c r="AA332" s="358">
        <f t="shared" si="59"/>
        <v>-902651.56100896327</v>
      </c>
      <c r="AE332" s="159">
        <f t="shared" si="60"/>
        <v>0</v>
      </c>
      <c r="AG332" s="471" t="s">
        <v>241</v>
      </c>
      <c r="AH332" s="467" t="s">
        <v>861</v>
      </c>
      <c r="AI332" s="475">
        <v>-377773.06</v>
      </c>
      <c r="AJ332" s="475">
        <v>-229255.84471503797</v>
      </c>
      <c r="AK332" s="476">
        <v>1415.1297085063998</v>
      </c>
      <c r="AL332" s="477">
        <v>-297037.78600243182</v>
      </c>
      <c r="AM332" s="478">
        <v>-902651.56100896327</v>
      </c>
      <c r="AN332" s="478"/>
      <c r="AO332" s="467"/>
      <c r="AP332" s="479">
        <f t="shared" si="61"/>
        <v>-524878.50100896345</v>
      </c>
      <c r="AQ332" s="467"/>
      <c r="AR332" s="467"/>
      <c r="AS332" s="509">
        <f t="shared" si="62"/>
        <v>-229255.84471503797</v>
      </c>
      <c r="AT332" s="476">
        <v>1415.1297085063998</v>
      </c>
      <c r="AU332" s="477">
        <v>-297037.78600243182</v>
      </c>
      <c r="AV332" s="494">
        <f t="shared" si="63"/>
        <v>-524878.50100896345</v>
      </c>
      <c r="AW332" s="494">
        <f t="shared" si="64"/>
        <v>0</v>
      </c>
      <c r="AX332" s="468"/>
      <c r="AY332" s="589">
        <v>-135973.9888960002</v>
      </c>
      <c r="AZ332" s="510">
        <f t="shared" si="65"/>
        <v>-660852.48990496364</v>
      </c>
      <c r="BA332" s="511">
        <f t="shared" si="66"/>
        <v>0</v>
      </c>
      <c r="BB332" s="460"/>
      <c r="BC332" s="464">
        <f t="shared" si="57"/>
        <v>0</v>
      </c>
    </row>
    <row r="333" spans="1:55" ht="15">
      <c r="A333" s="431">
        <v>327</v>
      </c>
      <c r="B333" s="431">
        <v>330</v>
      </c>
      <c r="C333" s="349" t="s">
        <v>1555</v>
      </c>
      <c r="D333" s="350" t="s">
        <v>1593</v>
      </c>
      <c r="E333" s="379">
        <v>0</v>
      </c>
      <c r="F333" s="373"/>
      <c r="G333" s="377"/>
      <c r="H333" s="590">
        <v>0</v>
      </c>
      <c r="I333" s="358">
        <f t="shared" si="58"/>
        <v>0</v>
      </c>
      <c r="K333" s="66">
        <f t="shared" si="56"/>
        <v>0</v>
      </c>
      <c r="L333" s="66"/>
      <c r="M333" s="431">
        <v>327</v>
      </c>
      <c r="N333" s="431">
        <v>330</v>
      </c>
      <c r="O333" s="455" t="s">
        <v>1555</v>
      </c>
      <c r="P333" s="456" t="s">
        <v>2389</v>
      </c>
      <c r="Q333" s="203">
        <v>0</v>
      </c>
      <c r="R333" s="457" t="s">
        <v>2509</v>
      </c>
      <c r="S333" s="253"/>
      <c r="T333" s="159">
        <v>325</v>
      </c>
      <c r="U333" s="349" t="s">
        <v>1555</v>
      </c>
      <c r="V333" s="350" t="s">
        <v>1593</v>
      </c>
      <c r="W333" s="379">
        <v>0</v>
      </c>
      <c r="X333" s="373"/>
      <c r="Y333" s="377"/>
      <c r="Z333" s="378"/>
      <c r="AA333" s="358">
        <f t="shared" si="59"/>
        <v>0</v>
      </c>
      <c r="AE333" s="159">
        <f t="shared" si="60"/>
        <v>0</v>
      </c>
      <c r="AG333" s="471" t="s">
        <v>1555</v>
      </c>
      <c r="AH333" s="467" t="s">
        <v>1593</v>
      </c>
      <c r="AI333" s="487">
        <v>0</v>
      </c>
      <c r="AJ333" s="488"/>
      <c r="AK333" s="476"/>
      <c r="AL333" s="477"/>
      <c r="AM333" s="478">
        <v>0</v>
      </c>
      <c r="AN333" s="478"/>
      <c r="AO333" s="467"/>
      <c r="AP333" s="479">
        <f t="shared" si="61"/>
        <v>0</v>
      </c>
      <c r="AQ333" s="467"/>
      <c r="AR333" s="467"/>
      <c r="AS333" s="509">
        <f t="shared" si="62"/>
        <v>0</v>
      </c>
      <c r="AT333" s="476"/>
      <c r="AU333" s="477"/>
      <c r="AV333" s="494">
        <f t="shared" si="63"/>
        <v>0</v>
      </c>
      <c r="AW333" s="494">
        <f t="shared" si="64"/>
        <v>0</v>
      </c>
      <c r="AX333" s="468"/>
      <c r="AY333" s="589">
        <v>0</v>
      </c>
      <c r="AZ333" s="510">
        <f t="shared" si="65"/>
        <v>0</v>
      </c>
      <c r="BA333" s="511">
        <f t="shared" si="66"/>
        <v>0</v>
      </c>
      <c r="BB333" s="460"/>
      <c r="BC333" s="464">
        <f t="shared" si="57"/>
        <v>0</v>
      </c>
    </row>
    <row r="334" spans="1:55" ht="15">
      <c r="A334" s="431">
        <v>328</v>
      </c>
      <c r="B334" s="431">
        <v>316</v>
      </c>
      <c r="C334" t="s">
        <v>715</v>
      </c>
      <c r="D334" t="s">
        <v>1070</v>
      </c>
      <c r="E334" s="372">
        <v>-1514614.0038770013</v>
      </c>
      <c r="F334" s="372">
        <v>0</v>
      </c>
      <c r="G334" s="377">
        <v>-777485.93653000228</v>
      </c>
      <c r="H334" s="590">
        <v>1091505.6013939995</v>
      </c>
      <c r="I334" s="358">
        <f t="shared" si="58"/>
        <v>-1200594.3390130042</v>
      </c>
      <c r="K334" s="66">
        <f t="shared" si="56"/>
        <v>0</v>
      </c>
      <c r="L334" s="66"/>
      <c r="M334" s="431">
        <v>328</v>
      </c>
      <c r="N334" s="431">
        <v>316</v>
      </c>
      <c r="O334" s="443" t="s">
        <v>715</v>
      </c>
      <c r="P334" s="443" t="s">
        <v>1070</v>
      </c>
      <c r="Q334" s="203">
        <v>1091505.6013939995</v>
      </c>
      <c r="R334" s="457" t="s">
        <v>2509</v>
      </c>
      <c r="S334" s="253"/>
      <c r="T334" s="159">
        <v>326</v>
      </c>
      <c r="U334" t="s">
        <v>715</v>
      </c>
      <c r="V334" t="s">
        <v>1070</v>
      </c>
      <c r="W334" s="372">
        <v>0</v>
      </c>
      <c r="X334" s="372">
        <v>-1514614.0038770013</v>
      </c>
      <c r="Y334" s="377">
        <v>0</v>
      </c>
      <c r="Z334" s="378">
        <v>-777485.93653000228</v>
      </c>
      <c r="AA334" s="358">
        <f t="shared" si="59"/>
        <v>-2292099.9404070037</v>
      </c>
      <c r="AE334" s="159">
        <f t="shared" si="60"/>
        <v>0</v>
      </c>
      <c r="AG334" s="471" t="s">
        <v>715</v>
      </c>
      <c r="AH334" s="467" t="s">
        <v>1070</v>
      </c>
      <c r="AI334" s="475">
        <v>0</v>
      </c>
      <c r="AJ334" s="475">
        <v>-1514614.0038770013</v>
      </c>
      <c r="AK334" s="476">
        <v>0</v>
      </c>
      <c r="AL334" s="477">
        <v>-777485.93653000228</v>
      </c>
      <c r="AM334" s="478">
        <v>-2292099.9404070037</v>
      </c>
      <c r="AN334" s="478"/>
      <c r="AO334" s="467"/>
      <c r="AP334" s="479">
        <f t="shared" si="61"/>
        <v>-2292099.9404070037</v>
      </c>
      <c r="AQ334" s="467"/>
      <c r="AR334" s="467"/>
      <c r="AS334" s="509">
        <f t="shared" si="62"/>
        <v>-1514614.0038770013</v>
      </c>
      <c r="AT334" s="476">
        <v>0</v>
      </c>
      <c r="AU334" s="477">
        <v>-777485.93653000228</v>
      </c>
      <c r="AV334" s="494">
        <f t="shared" si="63"/>
        <v>-2292099.9404070037</v>
      </c>
      <c r="AW334" s="494">
        <f t="shared" si="64"/>
        <v>0</v>
      </c>
      <c r="AX334" s="468"/>
      <c r="AY334" s="589">
        <v>1091505.6013939995</v>
      </c>
      <c r="AZ334" s="510">
        <f t="shared" si="65"/>
        <v>-1200594.3390130042</v>
      </c>
      <c r="BA334" s="511">
        <f t="shared" si="66"/>
        <v>0</v>
      </c>
      <c r="BB334" s="460"/>
      <c r="BC334" s="464">
        <f t="shared" si="57"/>
        <v>0</v>
      </c>
    </row>
    <row r="335" spans="1:55" ht="15">
      <c r="A335" s="431">
        <v>329</v>
      </c>
      <c r="B335" s="431">
        <v>274</v>
      </c>
      <c r="C335" t="s">
        <v>640</v>
      </c>
      <c r="D335" t="s">
        <v>1037</v>
      </c>
      <c r="E335" s="372">
        <v>-238986.80312251349</v>
      </c>
      <c r="F335" s="372">
        <v>0</v>
      </c>
      <c r="G335" s="377">
        <v>-321792.00661310088</v>
      </c>
      <c r="H335" s="590">
        <v>-573713.72177000018</v>
      </c>
      <c r="I335" s="358">
        <f t="shared" si="58"/>
        <v>-1134492.5315056145</v>
      </c>
      <c r="K335" s="66">
        <f t="shared" si="56"/>
        <v>0</v>
      </c>
      <c r="L335" s="66"/>
      <c r="M335" s="431">
        <v>329</v>
      </c>
      <c r="N335" s="431">
        <v>274</v>
      </c>
      <c r="O335" s="443" t="s">
        <v>640</v>
      </c>
      <c r="P335" s="443" t="s">
        <v>1037</v>
      </c>
      <c r="Q335" s="203">
        <v>-573713.72177000018</v>
      </c>
      <c r="R335" s="457" t="s">
        <v>2509</v>
      </c>
      <c r="S335" s="253"/>
      <c r="T335" s="159">
        <v>327</v>
      </c>
      <c r="U335" t="s">
        <v>640</v>
      </c>
      <c r="V335" t="s">
        <v>1037</v>
      </c>
      <c r="W335" s="372">
        <v>-247312.31</v>
      </c>
      <c r="X335" s="372">
        <v>-238986.80312251349</v>
      </c>
      <c r="Y335" s="377">
        <v>0</v>
      </c>
      <c r="Z335" s="378">
        <v>-321792.00661310088</v>
      </c>
      <c r="AA335" s="358">
        <f t="shared" si="59"/>
        <v>-808091.1197356144</v>
      </c>
      <c r="AE335" s="159">
        <f t="shared" si="60"/>
        <v>0</v>
      </c>
      <c r="AG335" s="471" t="s">
        <v>640</v>
      </c>
      <c r="AH335" s="467" t="s">
        <v>1037</v>
      </c>
      <c r="AI335" s="475">
        <v>-247312.31</v>
      </c>
      <c r="AJ335" s="475">
        <v>-238986.80312251349</v>
      </c>
      <c r="AK335" s="476">
        <v>0</v>
      </c>
      <c r="AL335" s="477">
        <v>-321792.00661310088</v>
      </c>
      <c r="AM335" s="478">
        <v>-808091.1197356144</v>
      </c>
      <c r="AN335" s="478"/>
      <c r="AO335" s="467"/>
      <c r="AP335" s="479">
        <f t="shared" si="61"/>
        <v>-560778.80973561434</v>
      </c>
      <c r="AQ335" s="467"/>
      <c r="AR335" s="467"/>
      <c r="AS335" s="509">
        <f t="shared" si="62"/>
        <v>-238986.80312251349</v>
      </c>
      <c r="AT335" s="476">
        <v>0</v>
      </c>
      <c r="AU335" s="477">
        <v>-321792.00661310088</v>
      </c>
      <c r="AV335" s="494">
        <f t="shared" si="63"/>
        <v>-560778.80973561434</v>
      </c>
      <c r="AW335" s="494">
        <f t="shared" si="64"/>
        <v>0</v>
      </c>
      <c r="AX335" s="468"/>
      <c r="AY335" s="589">
        <v>-573713.72177000018</v>
      </c>
      <c r="AZ335" s="510">
        <f t="shared" si="65"/>
        <v>-1134492.5315056145</v>
      </c>
      <c r="BA335" s="511">
        <f t="shared" si="66"/>
        <v>0</v>
      </c>
      <c r="BB335" s="460"/>
      <c r="BC335" s="464">
        <f t="shared" si="57"/>
        <v>0</v>
      </c>
    </row>
    <row r="336" spans="1:55" ht="15">
      <c r="A336" s="431">
        <v>330</v>
      </c>
      <c r="B336" s="431">
        <v>325</v>
      </c>
      <c r="C336" t="s">
        <v>732</v>
      </c>
      <c r="D336" t="s">
        <v>1078</v>
      </c>
      <c r="E336" s="372">
        <v>-124435.76404500002</v>
      </c>
      <c r="F336" s="372">
        <v>-125383.23474099988</v>
      </c>
      <c r="G336" s="377">
        <v>-137807.97430900007</v>
      </c>
      <c r="H336" s="590">
        <v>-89082.706864000065</v>
      </c>
      <c r="I336" s="358">
        <f t="shared" si="58"/>
        <v>-476709.67995900003</v>
      </c>
      <c r="K336" s="66">
        <f t="shared" si="56"/>
        <v>0</v>
      </c>
      <c r="L336" s="66"/>
      <c r="M336" s="431">
        <v>330</v>
      </c>
      <c r="N336" s="431">
        <v>325</v>
      </c>
      <c r="O336" s="443" t="s">
        <v>732</v>
      </c>
      <c r="P336" s="443" t="s">
        <v>1078</v>
      </c>
      <c r="Q336" s="203">
        <v>-89082.706864000065</v>
      </c>
      <c r="R336" s="457" t="s">
        <v>2509</v>
      </c>
      <c r="S336" s="253"/>
      <c r="T336" s="159">
        <v>328</v>
      </c>
      <c r="U336" t="s">
        <v>732</v>
      </c>
      <c r="V336" t="s">
        <v>1078</v>
      </c>
      <c r="W336" s="372">
        <v>-137407.32</v>
      </c>
      <c r="X336" s="372">
        <v>-124435.76404500002</v>
      </c>
      <c r="Y336" s="377">
        <v>-125383.23474099988</v>
      </c>
      <c r="Z336" s="378">
        <v>-137807.97430900007</v>
      </c>
      <c r="AA336" s="358">
        <f t="shared" si="59"/>
        <v>-525034.29309499997</v>
      </c>
      <c r="AE336" s="159">
        <f t="shared" si="60"/>
        <v>0</v>
      </c>
      <c r="AG336" s="471" t="s">
        <v>732</v>
      </c>
      <c r="AH336" s="467" t="s">
        <v>1078</v>
      </c>
      <c r="AI336" s="475">
        <v>-137407.32</v>
      </c>
      <c r="AJ336" s="475">
        <v>-124435.76404500002</v>
      </c>
      <c r="AK336" s="476">
        <v>-125383.23474099988</v>
      </c>
      <c r="AL336" s="477">
        <v>-137807.97430900007</v>
      </c>
      <c r="AM336" s="478">
        <v>-525034.29309499997</v>
      </c>
      <c r="AN336" s="478"/>
      <c r="AO336" s="467"/>
      <c r="AP336" s="479">
        <f t="shared" si="61"/>
        <v>-387626.97309499996</v>
      </c>
      <c r="AQ336" s="467"/>
      <c r="AR336" s="467"/>
      <c r="AS336" s="509">
        <f t="shared" si="62"/>
        <v>-124435.76404500002</v>
      </c>
      <c r="AT336" s="476">
        <v>-125383.23474099988</v>
      </c>
      <c r="AU336" s="477">
        <v>-137807.97430900007</v>
      </c>
      <c r="AV336" s="494">
        <f t="shared" si="63"/>
        <v>-387626.97309499996</v>
      </c>
      <c r="AW336" s="494">
        <f t="shared" si="64"/>
        <v>0</v>
      </c>
      <c r="AX336" s="468"/>
      <c r="AY336" s="589">
        <v>-89082.706864000065</v>
      </c>
      <c r="AZ336" s="510">
        <f t="shared" si="65"/>
        <v>-476709.67995900003</v>
      </c>
      <c r="BA336" s="511">
        <f t="shared" si="66"/>
        <v>0</v>
      </c>
      <c r="BB336" s="460"/>
      <c r="BC336" s="464">
        <f t="shared" si="57"/>
        <v>0</v>
      </c>
    </row>
    <row r="337" spans="3:61" ht="15" thickBot="1">
      <c r="C337"/>
      <c r="D337"/>
      <c r="E337"/>
      <c r="F337"/>
      <c r="O337" s="253"/>
      <c r="P337" s="253"/>
      <c r="Q337" s="443"/>
      <c r="R337" s="253"/>
      <c r="S337" s="253"/>
      <c r="U337"/>
      <c r="V337"/>
      <c r="W337"/>
      <c r="X337"/>
      <c r="AG337" s="499"/>
      <c r="AH337" s="500"/>
      <c r="AI337" s="500"/>
      <c r="AJ337" s="500"/>
      <c r="AK337" s="500"/>
      <c r="AL337" s="500"/>
      <c r="AM337" s="500"/>
      <c r="AN337" s="500"/>
      <c r="AO337" s="500"/>
      <c r="AP337" s="501"/>
      <c r="AQ337" s="467"/>
      <c r="AR337" s="467"/>
      <c r="AS337" s="499"/>
      <c r="AT337" s="500"/>
      <c r="AU337" s="518"/>
      <c r="AV337" s="518"/>
      <c r="AW337" s="518"/>
      <c r="AX337" s="518"/>
      <c r="AY337" s="518"/>
      <c r="AZ337" s="518"/>
      <c r="BA337" s="519"/>
      <c r="BB337" s="460"/>
      <c r="BC337" s="462"/>
    </row>
    <row r="338" spans="3:61">
      <c r="C338"/>
      <c r="D338"/>
      <c r="E338"/>
      <c r="F338"/>
      <c r="G338" s="231"/>
      <c r="H338" s="231"/>
      <c r="I338" s="78"/>
      <c r="BC338" s="462"/>
      <c r="BD338"/>
      <c r="BE338"/>
      <c r="BF338" s="253"/>
      <c r="BG338" s="253"/>
      <c r="BH338" s="253"/>
      <c r="BI338" s="253"/>
    </row>
    <row r="339" spans="3:61">
      <c r="C339"/>
      <c r="D339"/>
      <c r="E339"/>
      <c r="F339"/>
      <c r="G339" s="231"/>
      <c r="H339" s="231"/>
      <c r="I339" s="78"/>
      <c r="BC339" s="462"/>
      <c r="BD339"/>
      <c r="BE339"/>
      <c r="BF339" s="253"/>
      <c r="BG339" s="253"/>
      <c r="BH339" s="253"/>
      <c r="BI339" s="253"/>
    </row>
    <row r="340" spans="3:61">
      <c r="C340"/>
      <c r="D340"/>
      <c r="E340"/>
      <c r="F340"/>
      <c r="BC340" s="462"/>
      <c r="BD340"/>
      <c r="BE340"/>
      <c r="BF340" s="253"/>
      <c r="BG340" s="253"/>
      <c r="BH340" s="253"/>
      <c r="BI340" s="253"/>
    </row>
    <row r="341" spans="3:61">
      <c r="C341"/>
      <c r="D341"/>
      <c r="E341"/>
      <c r="F341"/>
      <c r="BC341" s="462"/>
      <c r="BD341"/>
      <c r="BE341"/>
      <c r="BF341" s="253"/>
      <c r="BG341" s="253"/>
      <c r="BH341" s="253"/>
      <c r="BI341" s="253"/>
    </row>
    <row r="342" spans="3:61">
      <c r="C342"/>
      <c r="D342"/>
      <c r="E342"/>
      <c r="F342"/>
      <c r="BC342" s="462"/>
    </row>
    <row r="343" spans="3:61">
      <c r="C343"/>
      <c r="D343"/>
      <c r="E343"/>
      <c r="F343"/>
      <c r="BC343" s="462"/>
    </row>
    <row r="344" spans="3:61">
      <c r="C344"/>
      <c r="D344"/>
      <c r="E344"/>
      <c r="F344"/>
      <c r="O344" s="253"/>
      <c r="P344" s="253"/>
      <c r="Q344" s="253"/>
      <c r="R344" s="253"/>
      <c r="BC344" s="462"/>
    </row>
    <row r="345" spans="3:61">
      <c r="C345"/>
      <c r="D345"/>
      <c r="E345"/>
      <c r="F345"/>
      <c r="O345" s="253"/>
      <c r="P345" s="253"/>
      <c r="Q345" s="253"/>
      <c r="R345" s="253"/>
      <c r="BC345" s="462"/>
    </row>
    <row r="346" spans="3:61">
      <c r="C346"/>
      <c r="D346"/>
      <c r="E346"/>
      <c r="F346"/>
      <c r="O346" s="253"/>
      <c r="P346" s="253"/>
      <c r="Q346" s="253"/>
      <c r="R346" s="253"/>
      <c r="BC346" s="462"/>
    </row>
    <row r="347" spans="3:61">
      <c r="C347"/>
      <c r="D347"/>
      <c r="E347"/>
      <c r="F347"/>
      <c r="O347" s="253"/>
      <c r="P347" s="253"/>
      <c r="Q347" s="253"/>
      <c r="R347" s="253"/>
      <c r="BC347" s="462"/>
    </row>
    <row r="348" spans="3:61">
      <c r="C348"/>
      <c r="D348"/>
      <c r="E348"/>
      <c r="F348"/>
      <c r="O348" s="253"/>
      <c r="P348" s="253"/>
      <c r="Q348" s="253"/>
      <c r="R348" s="253"/>
      <c r="BC348" s="462"/>
    </row>
    <row r="349" spans="3:61">
      <c r="C349"/>
      <c r="D349"/>
      <c r="E349"/>
      <c r="F349"/>
      <c r="O349" s="253"/>
      <c r="P349" s="253"/>
      <c r="Q349" s="253"/>
      <c r="R349" s="253"/>
      <c r="BC349" s="462"/>
    </row>
    <row r="350" spans="3:61">
      <c r="C350"/>
      <c r="D350"/>
      <c r="E350"/>
      <c r="F350"/>
      <c r="O350" s="253"/>
      <c r="P350" s="253"/>
      <c r="Q350" s="253"/>
      <c r="R350" s="253"/>
      <c r="BC350" s="462"/>
    </row>
    <row r="351" spans="3:61">
      <c r="O351" s="253"/>
      <c r="P351" s="253"/>
      <c r="Q351" s="253"/>
      <c r="R351" s="253"/>
      <c r="BC351" s="462"/>
    </row>
    <row r="352" spans="3:61">
      <c r="O352" s="253"/>
      <c r="P352" s="253"/>
      <c r="Q352" s="253"/>
      <c r="R352" s="253"/>
      <c r="BC352" s="462"/>
    </row>
    <row r="353" spans="15:55">
      <c r="O353" s="253"/>
      <c r="P353" s="253"/>
      <c r="Q353" s="253"/>
      <c r="R353" s="253"/>
      <c r="BC353" s="462"/>
    </row>
    <row r="354" spans="15:55">
      <c r="O354" s="253"/>
      <c r="P354" s="253"/>
      <c r="Q354" s="253"/>
      <c r="R354" s="253"/>
      <c r="BC354" s="462"/>
    </row>
    <row r="355" spans="15:55">
      <c r="O355" s="253"/>
      <c r="P355" s="253"/>
      <c r="Q355" s="253"/>
      <c r="R355" s="253"/>
      <c r="BC355" s="462"/>
    </row>
    <row r="356" spans="15:55">
      <c r="O356" s="253"/>
      <c r="P356" s="253"/>
      <c r="Q356" s="253"/>
      <c r="R356" s="253"/>
      <c r="BC356" s="462"/>
    </row>
    <row r="357" spans="15:55">
      <c r="O357" s="253"/>
      <c r="P357" s="253"/>
      <c r="Q357" s="253"/>
      <c r="R357" s="253"/>
      <c r="BC357" s="462"/>
    </row>
    <row r="358" spans="15:55">
      <c r="O358" s="253"/>
      <c r="P358" s="253"/>
      <c r="Q358" s="253"/>
      <c r="R358" s="253"/>
    </row>
    <row r="359" spans="15:55">
      <c r="O359" s="253"/>
      <c r="P359" s="253"/>
      <c r="Q359" s="253"/>
      <c r="R359" s="253"/>
    </row>
    <row r="360" spans="15:55">
      <c r="O360" s="253"/>
      <c r="P360" s="253"/>
      <c r="Q360" s="253"/>
      <c r="R360" s="253"/>
    </row>
    <row r="361" spans="15:55">
      <c r="O361" s="253"/>
      <c r="P361" s="253"/>
      <c r="Q361" s="253"/>
      <c r="R361" s="253"/>
    </row>
    <row r="362" spans="15:55">
      <c r="O362" s="253"/>
      <c r="P362" s="253"/>
      <c r="Q362" s="253"/>
      <c r="R362" s="253"/>
    </row>
    <row r="363" spans="15:55">
      <c r="O363" s="253"/>
      <c r="P363" s="253"/>
      <c r="Q363" s="253"/>
      <c r="R363" s="253"/>
    </row>
    <row r="364" spans="15:55">
      <c r="O364" s="253"/>
      <c r="P364" s="253"/>
      <c r="Q364" s="253"/>
      <c r="R364" s="253"/>
    </row>
    <row r="365" spans="15:55">
      <c r="O365" s="253"/>
      <c r="P365" s="253"/>
      <c r="Q365" s="253"/>
      <c r="R365" s="253"/>
    </row>
    <row r="366" spans="15:55">
      <c r="O366" s="253"/>
      <c r="P366" s="253"/>
      <c r="Q366" s="253"/>
      <c r="R366" s="253"/>
    </row>
  </sheetData>
  <mergeCells count="1">
    <mergeCell ref="AS4:AV4"/>
  </mergeCells>
  <conditionalFormatting sqref="D318 F318">
    <cfRule type="duplicateValues" dxfId="54" priority="48"/>
  </conditionalFormatting>
  <conditionalFormatting sqref="D27:F27">
    <cfRule type="duplicateValues" dxfId="53" priority="47"/>
  </conditionalFormatting>
  <conditionalFormatting sqref="D218:F218">
    <cfRule type="duplicateValues" dxfId="52" priority="49"/>
  </conditionalFormatting>
  <conditionalFormatting sqref="I7:I336 AA7:AA336 I338:I339">
    <cfRule type="cellIs" dxfId="51" priority="63" operator="greaterThan">
      <formula>0</formula>
    </cfRule>
  </conditionalFormatting>
  <conditionalFormatting sqref="P8">
    <cfRule type="duplicateValues" dxfId="50" priority="13"/>
  </conditionalFormatting>
  <conditionalFormatting sqref="P21">
    <cfRule type="duplicateValues" dxfId="49" priority="12"/>
  </conditionalFormatting>
  <conditionalFormatting sqref="P27">
    <cfRule type="duplicateValues" dxfId="48" priority="11"/>
  </conditionalFormatting>
  <conditionalFormatting sqref="P131">
    <cfRule type="duplicateValues" dxfId="47" priority="10"/>
  </conditionalFormatting>
  <conditionalFormatting sqref="P139">
    <cfRule type="duplicateValues" dxfId="46" priority="9"/>
  </conditionalFormatting>
  <conditionalFormatting sqref="P140">
    <cfRule type="duplicateValues" dxfId="45" priority="8"/>
  </conditionalFormatting>
  <conditionalFormatting sqref="P149">
    <cfRule type="duplicateValues" dxfId="44" priority="7"/>
  </conditionalFormatting>
  <conditionalFormatting sqref="P152">
    <cfRule type="duplicateValues" dxfId="43" priority="6"/>
  </conditionalFormatting>
  <conditionalFormatting sqref="P157">
    <cfRule type="duplicateValues" dxfId="42" priority="5"/>
  </conditionalFormatting>
  <conditionalFormatting sqref="P192">
    <cfRule type="duplicateValues" dxfId="41" priority="4"/>
  </conditionalFormatting>
  <conditionalFormatting sqref="P233">
    <cfRule type="duplicateValues" dxfId="40" priority="3"/>
  </conditionalFormatting>
  <conditionalFormatting sqref="P251">
    <cfRule type="duplicateValues" dxfId="39" priority="2"/>
  </conditionalFormatting>
  <conditionalFormatting sqref="P305">
    <cfRule type="duplicateValues" dxfId="38" priority="1"/>
  </conditionalFormatting>
  <conditionalFormatting sqref="V27:X27">
    <cfRule type="duplicateValues" dxfId="37" priority="33"/>
  </conditionalFormatting>
  <conditionalFormatting sqref="V218:X218">
    <cfRule type="duplicateValues" dxfId="36" priority="35"/>
  </conditionalFormatting>
  <conditionalFormatting sqref="V318:X318">
    <cfRule type="duplicateValues" dxfId="35" priority="34"/>
  </conditionalFormatting>
  <conditionalFormatting sqref="AI27">
    <cfRule type="duplicateValues" dxfId="34" priority="17"/>
  </conditionalFormatting>
  <conditionalFormatting sqref="AI218">
    <cfRule type="duplicateValues" dxfId="33" priority="19"/>
  </conditionalFormatting>
  <conditionalFormatting sqref="AI318">
    <cfRule type="duplicateValues" dxfId="32" priority="18"/>
  </conditionalFormatting>
  <conditionalFormatting sqref="AJ27">
    <cfRule type="duplicateValues" dxfId="31" priority="14"/>
  </conditionalFormatting>
  <conditionalFormatting sqref="AJ218">
    <cfRule type="duplicateValues" dxfId="30" priority="16"/>
  </conditionalFormatting>
  <conditionalFormatting sqref="AJ318">
    <cfRule type="duplicateValues" dxfId="29" priority="15"/>
  </conditionalFormatting>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02F7-9388-4FA2-90FB-F11530A8F0AB}">
  <dimension ref="C1:AA336"/>
  <sheetViews>
    <sheetView topLeftCell="A57" workbookViewId="0">
      <selection activeCell="AC65" sqref="AC65"/>
    </sheetView>
  </sheetViews>
  <sheetFormatPr defaultRowHeight="14.4"/>
  <cols>
    <col min="6" max="6" width="27.88671875" bestFit="1" customWidth="1"/>
    <col min="7" max="7" width="14.109375" bestFit="1" customWidth="1"/>
    <col min="16" max="16" width="13.5546875" hidden="1" customWidth="1"/>
    <col min="17" max="17" width="12.88671875" hidden="1" customWidth="1"/>
    <col min="18" max="18" width="13.88671875" hidden="1" customWidth="1"/>
    <col min="19" max="20" width="12.88671875" hidden="1" customWidth="1"/>
    <col min="21" max="21" width="11.21875" hidden="1" customWidth="1"/>
    <col min="22" max="22" width="11.88671875" hidden="1" customWidth="1"/>
    <col min="23" max="23" width="12.88671875" hidden="1" customWidth="1"/>
    <col min="24" max="25" width="13.88671875" hidden="1" customWidth="1"/>
    <col min="26" max="27" width="13.5546875" bestFit="1" customWidth="1"/>
  </cols>
  <sheetData>
    <row r="1" spans="3:27" ht="15.6">
      <c r="C1" s="458"/>
      <c r="D1" s="458"/>
      <c r="E1" s="459"/>
      <c r="F1" s="459"/>
      <c r="G1" s="459"/>
      <c r="H1" s="459"/>
      <c r="K1" s="548"/>
      <c r="L1" s="548"/>
      <c r="M1" s="548"/>
      <c r="N1" s="549" t="s">
        <v>2583</v>
      </c>
      <c r="O1" s="549"/>
      <c r="P1" s="549"/>
      <c r="Q1" s="549"/>
      <c r="R1" s="549"/>
      <c r="S1" s="549"/>
      <c r="T1" s="549"/>
      <c r="U1" s="549"/>
      <c r="V1" s="549"/>
      <c r="W1" s="549"/>
      <c r="X1" s="549"/>
      <c r="Y1" s="550"/>
    </row>
    <row r="2" spans="3:27" ht="15.6">
      <c r="E2" s="45"/>
      <c r="F2" s="45"/>
      <c r="G2" s="45"/>
      <c r="H2" s="45"/>
      <c r="K2" s="548"/>
      <c r="L2" s="548"/>
      <c r="M2" s="548"/>
      <c r="N2" s="549" t="s">
        <v>2584</v>
      </c>
      <c r="O2" s="549"/>
      <c r="P2" s="549"/>
      <c r="Q2" s="549"/>
      <c r="R2" s="549"/>
      <c r="S2" s="549"/>
      <c r="T2" s="549"/>
      <c r="U2" s="549"/>
      <c r="V2" s="549"/>
      <c r="W2" s="549"/>
      <c r="X2" s="549"/>
      <c r="Y2" s="550"/>
      <c r="Z2" s="383"/>
    </row>
    <row r="3" spans="3:27" ht="15.6">
      <c r="E3" s="45"/>
      <c r="F3" s="45" t="s">
        <v>2498</v>
      </c>
      <c r="G3" s="45"/>
      <c r="H3" s="45"/>
      <c r="K3" s="548"/>
      <c r="L3" s="548"/>
      <c r="M3" s="548"/>
      <c r="N3" s="549" t="s">
        <v>2585</v>
      </c>
      <c r="O3" s="549"/>
      <c r="P3" s="549"/>
      <c r="Q3" s="549"/>
      <c r="R3" s="549"/>
      <c r="S3" s="549"/>
      <c r="T3" s="549"/>
      <c r="U3" s="549"/>
      <c r="V3" s="549"/>
      <c r="W3" s="549"/>
      <c r="X3" s="549"/>
      <c r="Y3" s="550"/>
    </row>
    <row r="4" spans="3:27" ht="15.6">
      <c r="E4" s="45"/>
      <c r="F4" s="45"/>
      <c r="G4" s="614">
        <f>SUM(G7:G336)</f>
        <v>-53876490.414043702</v>
      </c>
      <c r="H4" s="45"/>
      <c r="K4" s="431" t="s">
        <v>2483</v>
      </c>
      <c r="L4" s="431" t="s">
        <v>758</v>
      </c>
      <c r="M4" s="548"/>
      <c r="N4" s="549" t="s">
        <v>2586</v>
      </c>
      <c r="O4" s="549"/>
      <c r="P4" s="549"/>
      <c r="Q4" s="549"/>
      <c r="R4" s="549"/>
      <c r="S4" s="549"/>
      <c r="T4" s="549"/>
      <c r="U4" s="549"/>
      <c r="V4" s="549"/>
      <c r="W4" s="549"/>
      <c r="X4" s="549"/>
      <c r="Y4" s="550"/>
    </row>
    <row r="5" spans="3:27" ht="15.6">
      <c r="C5" s="159" t="s">
        <v>79</v>
      </c>
      <c r="D5" s="159" t="s">
        <v>2483</v>
      </c>
      <c r="E5" s="45"/>
      <c r="F5" s="45"/>
      <c r="G5" s="45"/>
      <c r="H5" s="45"/>
      <c r="K5" s="431" t="s">
        <v>2483</v>
      </c>
      <c r="L5" s="431" t="s">
        <v>758</v>
      </c>
      <c r="M5" s="548"/>
      <c r="N5" s="549"/>
      <c r="O5" s="549"/>
      <c r="P5" s="549"/>
      <c r="Q5" s="551"/>
      <c r="R5" s="552"/>
      <c r="S5" s="553"/>
      <c r="T5" s="554"/>
      <c r="U5" s="555"/>
      <c r="V5" s="556"/>
      <c r="W5" s="549"/>
      <c r="X5" s="549"/>
      <c r="Y5" s="550"/>
    </row>
    <row r="6" spans="3:27" ht="43.2">
      <c r="C6" s="465" t="s">
        <v>2484</v>
      </c>
      <c r="D6" s="465" t="s">
        <v>2484</v>
      </c>
      <c r="E6" s="71"/>
      <c r="F6" s="71"/>
      <c r="G6" s="457" t="s">
        <v>2509</v>
      </c>
      <c r="H6" s="71"/>
      <c r="K6" s="431" t="s">
        <v>2484</v>
      </c>
      <c r="L6" s="431" t="s">
        <v>2484</v>
      </c>
      <c r="N6" s="557" t="s">
        <v>79</v>
      </c>
      <c r="O6" s="557" t="s">
        <v>2587</v>
      </c>
      <c r="P6" s="558" t="s">
        <v>1104</v>
      </c>
      <c r="Q6" s="558" t="s">
        <v>2588</v>
      </c>
      <c r="R6" s="558" t="s">
        <v>2589</v>
      </c>
      <c r="S6" s="558" t="s">
        <v>2590</v>
      </c>
      <c r="T6" s="558" t="s">
        <v>2591</v>
      </c>
      <c r="U6" s="558" t="s">
        <v>1087</v>
      </c>
      <c r="V6" s="558" t="s">
        <v>2592</v>
      </c>
      <c r="W6" s="559" t="s">
        <v>2593</v>
      </c>
      <c r="X6" s="560" t="s">
        <v>2594</v>
      </c>
      <c r="Y6" s="558" t="s">
        <v>1122</v>
      </c>
      <c r="Z6" s="558" t="s">
        <v>2595</v>
      </c>
    </row>
    <row r="7" spans="3:27" ht="15">
      <c r="C7" s="431">
        <v>1</v>
      </c>
      <c r="D7" s="431">
        <v>76</v>
      </c>
      <c r="E7" s="443" t="s">
        <v>297</v>
      </c>
      <c r="F7" s="443" t="s">
        <v>887</v>
      </c>
      <c r="G7" s="203">
        <v>-572454.67753600003</v>
      </c>
      <c r="H7" s="457" t="s">
        <v>2509</v>
      </c>
      <c r="K7" s="431">
        <v>1</v>
      </c>
      <c r="L7" s="431">
        <v>76</v>
      </c>
      <c r="M7" s="431"/>
      <c r="N7" s="561" t="s">
        <v>297</v>
      </c>
      <c r="O7" s="562" t="s">
        <v>2133</v>
      </c>
      <c r="P7" s="563">
        <v>2747463.7499999995</v>
      </c>
      <c r="Q7" s="203">
        <v>1173347.7</v>
      </c>
      <c r="R7" s="203">
        <v>1648343.5100000002</v>
      </c>
      <c r="S7" s="203">
        <v>129983.23000000001</v>
      </c>
      <c r="T7" s="203">
        <v>6768.46</v>
      </c>
      <c r="U7" s="203">
        <v>0</v>
      </c>
      <c r="V7" s="203">
        <v>-9896.1200000000008</v>
      </c>
      <c r="W7" s="529">
        <v>371371.647536</v>
      </c>
      <c r="X7" s="564">
        <v>2948546.78</v>
      </c>
      <c r="Y7" s="203">
        <v>3319918.4275359996</v>
      </c>
      <c r="Z7" s="203">
        <v>-572454.67753600003</v>
      </c>
      <c r="AA7" s="383">
        <f>+G7-Z7</f>
        <v>0</v>
      </c>
    </row>
    <row r="8" spans="3:27" ht="15">
      <c r="C8" s="431">
        <v>2</v>
      </c>
      <c r="D8" s="431">
        <v>154</v>
      </c>
      <c r="E8" s="443" t="s">
        <v>424</v>
      </c>
      <c r="F8" s="444" t="s">
        <v>942</v>
      </c>
      <c r="G8" s="203">
        <v>-121283.03467800008</v>
      </c>
      <c r="H8" s="457" t="s">
        <v>2509</v>
      </c>
      <c r="K8" s="431">
        <v>2</v>
      </c>
      <c r="L8" s="431">
        <v>154</v>
      </c>
      <c r="M8" s="431"/>
      <c r="N8" s="561" t="s">
        <v>424</v>
      </c>
      <c r="O8" s="562" t="s">
        <v>2196</v>
      </c>
      <c r="P8" s="563">
        <v>365897.55999999994</v>
      </c>
      <c r="Q8" s="203">
        <v>174188.2</v>
      </c>
      <c r="R8" s="203">
        <v>249964.15</v>
      </c>
      <c r="S8" s="203">
        <v>1175.95</v>
      </c>
      <c r="T8" s="203">
        <v>5137.96</v>
      </c>
      <c r="U8" s="203">
        <v>0</v>
      </c>
      <c r="V8" s="203">
        <v>0</v>
      </c>
      <c r="W8" s="529">
        <v>56714.334677999999</v>
      </c>
      <c r="X8" s="564">
        <v>430466.26</v>
      </c>
      <c r="Y8" s="203">
        <v>487180.59467800002</v>
      </c>
      <c r="Z8" s="203">
        <v>-121283.03467800008</v>
      </c>
      <c r="AA8" s="383">
        <f t="shared" ref="AA8:AA71" si="0">+G8-Z8</f>
        <v>0</v>
      </c>
    </row>
    <row r="9" spans="3:27" ht="15">
      <c r="C9" s="431">
        <v>3</v>
      </c>
      <c r="D9" s="431">
        <v>165</v>
      </c>
      <c r="E9" s="443" t="s">
        <v>446</v>
      </c>
      <c r="F9" s="443" t="s">
        <v>952</v>
      </c>
      <c r="G9" s="203">
        <v>-63052.644329000002</v>
      </c>
      <c r="H9" s="457" t="s">
        <v>2509</v>
      </c>
      <c r="K9" s="431">
        <v>3</v>
      </c>
      <c r="L9" s="431">
        <v>165</v>
      </c>
      <c r="M9" s="431"/>
      <c r="N9" s="561" t="s">
        <v>446</v>
      </c>
      <c r="O9" s="562" t="s">
        <v>2207</v>
      </c>
      <c r="P9" s="563">
        <v>122325.59</v>
      </c>
      <c r="Q9" s="203">
        <v>60635.53</v>
      </c>
      <c r="R9" s="203">
        <v>80755.19</v>
      </c>
      <c r="S9" s="203">
        <v>4532</v>
      </c>
      <c r="T9" s="203">
        <v>6971.3</v>
      </c>
      <c r="U9" s="203">
        <v>0</v>
      </c>
      <c r="V9" s="203">
        <v>0</v>
      </c>
      <c r="W9" s="529">
        <v>32484.214329000006</v>
      </c>
      <c r="X9" s="564">
        <v>152894.01999999999</v>
      </c>
      <c r="Y9" s="203">
        <v>185378.234329</v>
      </c>
      <c r="Z9" s="203">
        <v>-63052.644329000002</v>
      </c>
      <c r="AA9" s="383">
        <f t="shared" si="0"/>
        <v>0</v>
      </c>
    </row>
    <row r="10" spans="3:27" ht="15">
      <c r="C10" s="431">
        <v>4</v>
      </c>
      <c r="D10" s="431">
        <v>221</v>
      </c>
      <c r="E10" s="443" t="s">
        <v>548</v>
      </c>
      <c r="F10" s="443" t="s">
        <v>999</v>
      </c>
      <c r="G10" s="203">
        <v>-472178.81575299986</v>
      </c>
      <c r="H10" s="457" t="s">
        <v>2509</v>
      </c>
      <c r="K10" s="431">
        <v>4</v>
      </c>
      <c r="L10" s="431">
        <v>221</v>
      </c>
      <c r="M10" s="431"/>
      <c r="N10" s="561" t="s">
        <v>548</v>
      </c>
      <c r="O10" s="565" t="s">
        <v>2259</v>
      </c>
      <c r="P10" s="563">
        <v>1142151.8700000001</v>
      </c>
      <c r="Q10" s="203">
        <v>403655.84</v>
      </c>
      <c r="R10" s="203">
        <v>944363.69</v>
      </c>
      <c r="S10" s="203">
        <v>42943.97</v>
      </c>
      <c r="T10" s="203">
        <v>8324.35</v>
      </c>
      <c r="U10" s="203">
        <v>13346.69</v>
      </c>
      <c r="V10" s="203">
        <v>-10420</v>
      </c>
      <c r="W10" s="529">
        <v>212116.14575299996</v>
      </c>
      <c r="X10" s="564">
        <v>1402214.54</v>
      </c>
      <c r="Y10" s="203">
        <v>1614330.685753</v>
      </c>
      <c r="Z10" s="203">
        <v>-472178.81575299986</v>
      </c>
      <c r="AA10" s="383">
        <f t="shared" si="0"/>
        <v>0</v>
      </c>
    </row>
    <row r="11" spans="3:27" ht="15">
      <c r="C11" s="431">
        <v>5</v>
      </c>
      <c r="D11" s="431">
        <v>234</v>
      </c>
      <c r="E11" s="443" t="s">
        <v>572</v>
      </c>
      <c r="F11" s="443" t="s">
        <v>1008</v>
      </c>
      <c r="G11" s="203">
        <v>-471812.5723199998</v>
      </c>
      <c r="H11" s="457" t="s">
        <v>2509</v>
      </c>
      <c r="K11" s="431">
        <v>5</v>
      </c>
      <c r="L11" s="431">
        <v>234</v>
      </c>
      <c r="M11" s="431"/>
      <c r="N11" s="561" t="s">
        <v>572</v>
      </c>
      <c r="O11" s="565" t="s">
        <v>2270</v>
      </c>
      <c r="P11" s="563">
        <v>2467860.9700000002</v>
      </c>
      <c r="Q11" s="203">
        <v>1049618.8899999999</v>
      </c>
      <c r="R11" s="203">
        <v>1589452.42</v>
      </c>
      <c r="S11" s="203">
        <v>90936.95</v>
      </c>
      <c r="T11" s="203">
        <v>44903.68</v>
      </c>
      <c r="U11" s="203">
        <v>0</v>
      </c>
      <c r="V11" s="203">
        <v>-790.63</v>
      </c>
      <c r="W11" s="529">
        <v>165552.23232000001</v>
      </c>
      <c r="X11" s="564">
        <v>2774121.31</v>
      </c>
      <c r="Y11" s="203">
        <v>2939673.54232</v>
      </c>
      <c r="Z11" s="203">
        <v>-471812.5723199998</v>
      </c>
      <c r="AA11" s="383">
        <f t="shared" si="0"/>
        <v>0</v>
      </c>
    </row>
    <row r="12" spans="3:27" ht="15">
      <c r="C12" s="431">
        <v>6</v>
      </c>
      <c r="D12" s="431">
        <v>7</v>
      </c>
      <c r="E12" s="443" t="s">
        <v>175</v>
      </c>
      <c r="F12" s="443" t="s">
        <v>1629</v>
      </c>
      <c r="G12" s="203">
        <v>-85337.754240000038</v>
      </c>
      <c r="H12" s="457" t="s">
        <v>2509</v>
      </c>
      <c r="K12" s="431">
        <v>6</v>
      </c>
      <c r="L12" s="431">
        <v>7</v>
      </c>
      <c r="M12" s="431"/>
      <c r="N12" s="561" t="s">
        <v>175</v>
      </c>
      <c r="O12" s="565" t="s">
        <v>2073</v>
      </c>
      <c r="P12" s="563">
        <v>239409.84999999998</v>
      </c>
      <c r="Q12" s="203">
        <v>93214.94</v>
      </c>
      <c r="R12" s="203">
        <v>182806.96000000002</v>
      </c>
      <c r="S12" s="203">
        <v>7629.74</v>
      </c>
      <c r="T12" s="203">
        <v>1208.5</v>
      </c>
      <c r="U12" s="203">
        <v>10910.71</v>
      </c>
      <c r="V12" s="203">
        <v>0</v>
      </c>
      <c r="W12" s="529">
        <v>28976.754240000002</v>
      </c>
      <c r="X12" s="564">
        <v>295770.85000000003</v>
      </c>
      <c r="Y12" s="203">
        <v>324747.60424000002</v>
      </c>
      <c r="Z12" s="203">
        <v>-85337.754240000038</v>
      </c>
      <c r="AA12" s="383">
        <f t="shared" si="0"/>
        <v>0</v>
      </c>
    </row>
    <row r="13" spans="3:27" ht="15">
      <c r="C13" s="431">
        <v>7</v>
      </c>
      <c r="D13" s="431">
        <v>108</v>
      </c>
      <c r="E13" s="443" t="s">
        <v>97</v>
      </c>
      <c r="F13" s="443" t="s">
        <v>917</v>
      </c>
      <c r="G13" s="203">
        <v>-471869.88555499911</v>
      </c>
      <c r="H13" s="457" t="s">
        <v>2509</v>
      </c>
      <c r="K13" s="431">
        <v>7</v>
      </c>
      <c r="L13" s="431">
        <v>108</v>
      </c>
      <c r="M13" s="431"/>
      <c r="N13" s="561" t="s">
        <v>97</v>
      </c>
      <c r="O13" s="565" t="s">
        <v>2165</v>
      </c>
      <c r="P13" s="563">
        <v>13721329.09</v>
      </c>
      <c r="Q13" s="203">
        <v>6095491.2699999996</v>
      </c>
      <c r="R13" s="203">
        <v>6537211.5899999999</v>
      </c>
      <c r="S13" s="203">
        <v>571337.31000000006</v>
      </c>
      <c r="T13" s="203">
        <v>204044.16999999998</v>
      </c>
      <c r="U13" s="203">
        <v>53964.35</v>
      </c>
      <c r="V13" s="203">
        <v>-23292.34</v>
      </c>
      <c r="W13" s="529">
        <v>754442.62555500004</v>
      </c>
      <c r="X13" s="564">
        <v>13438756.35</v>
      </c>
      <c r="Y13" s="203">
        <v>14193198.975554999</v>
      </c>
      <c r="Z13" s="203">
        <v>-471869.88555499911</v>
      </c>
      <c r="AA13" s="383">
        <f t="shared" si="0"/>
        <v>0</v>
      </c>
    </row>
    <row r="14" spans="3:27" ht="15">
      <c r="C14" s="431">
        <v>8</v>
      </c>
      <c r="D14" s="431">
        <v>127</v>
      </c>
      <c r="E14" s="443" t="s">
        <v>376</v>
      </c>
      <c r="F14" s="443" t="s">
        <v>1667</v>
      </c>
      <c r="G14" s="203">
        <v>-768905.28153600032</v>
      </c>
      <c r="H14" s="457" t="s">
        <v>2509</v>
      </c>
      <c r="K14" s="431">
        <v>8</v>
      </c>
      <c r="L14" s="431">
        <v>127</v>
      </c>
      <c r="M14" s="431"/>
      <c r="N14" s="561" t="s">
        <v>376</v>
      </c>
      <c r="O14" s="565" t="s">
        <v>2177</v>
      </c>
      <c r="P14" s="563">
        <v>1522081.27</v>
      </c>
      <c r="Q14" s="203">
        <v>654408.66</v>
      </c>
      <c r="R14" s="203">
        <v>1292631.0900000001</v>
      </c>
      <c r="S14" s="203">
        <v>57848.959999999999</v>
      </c>
      <c r="T14" s="203">
        <v>25872.97</v>
      </c>
      <c r="U14" s="203">
        <v>24148.1</v>
      </c>
      <c r="V14" s="203">
        <v>-1498.15</v>
      </c>
      <c r="W14" s="529">
        <v>237574.92153600004</v>
      </c>
      <c r="X14" s="564">
        <v>2053411.6300000001</v>
      </c>
      <c r="Y14" s="203">
        <v>2290986.5515360003</v>
      </c>
      <c r="Z14" s="203">
        <v>-768905.28153600032</v>
      </c>
      <c r="AA14" s="383">
        <f t="shared" si="0"/>
        <v>0</v>
      </c>
    </row>
    <row r="15" spans="3:27" ht="15">
      <c r="C15" s="431">
        <v>9</v>
      </c>
      <c r="D15" s="431">
        <v>36</v>
      </c>
      <c r="E15" s="443" t="s">
        <v>225</v>
      </c>
      <c r="F15" s="443" t="s">
        <v>854</v>
      </c>
      <c r="G15" s="203">
        <v>-523978.49955200031</v>
      </c>
      <c r="H15" s="457" t="s">
        <v>2509</v>
      </c>
      <c r="K15" s="431">
        <v>9</v>
      </c>
      <c r="L15" s="431">
        <v>36</v>
      </c>
      <c r="M15" s="431" t="s">
        <v>2596</v>
      </c>
      <c r="N15" s="561" t="s">
        <v>225</v>
      </c>
      <c r="O15" s="565" t="s">
        <v>2099</v>
      </c>
      <c r="P15" s="571">
        <v>4403754.17</v>
      </c>
      <c r="Q15" s="570">
        <v>694638.43</v>
      </c>
      <c r="R15" s="570">
        <v>2131977.25</v>
      </c>
      <c r="S15" s="570">
        <v>1518505.5</v>
      </c>
      <c r="T15" s="566">
        <v>3776.7799999999997</v>
      </c>
      <c r="U15" s="566">
        <v>0</v>
      </c>
      <c r="V15" s="566"/>
      <c r="W15" s="568">
        <v>578834.70955200004</v>
      </c>
      <c r="X15" s="564">
        <v>4348897.96</v>
      </c>
      <c r="Y15" s="203">
        <v>4927732.6695520002</v>
      </c>
      <c r="Z15" s="203">
        <v>-523978.49955200031</v>
      </c>
      <c r="AA15" s="383">
        <f t="shared" si="0"/>
        <v>0</v>
      </c>
    </row>
    <row r="16" spans="3:27" ht="15">
      <c r="C16" s="431">
        <v>10</v>
      </c>
      <c r="D16" s="431">
        <v>105</v>
      </c>
      <c r="E16" s="443" t="s">
        <v>354</v>
      </c>
      <c r="F16" s="443" t="s">
        <v>914</v>
      </c>
      <c r="G16" s="203">
        <v>128067.82044799812</v>
      </c>
      <c r="H16" s="457" t="s">
        <v>2509</v>
      </c>
      <c r="K16" s="431">
        <v>10</v>
      </c>
      <c r="L16" s="431">
        <v>105</v>
      </c>
      <c r="M16" s="431"/>
      <c r="N16" s="561" t="s">
        <v>354</v>
      </c>
      <c r="O16" s="565" t="s">
        <v>2162</v>
      </c>
      <c r="P16" s="563">
        <v>8025607.5</v>
      </c>
      <c r="Q16" s="203">
        <v>3137139.9200000004</v>
      </c>
      <c r="R16" s="203">
        <v>3941717.7</v>
      </c>
      <c r="S16" s="203">
        <v>142181.57999999999</v>
      </c>
      <c r="T16" s="203">
        <v>86037.440000000002</v>
      </c>
      <c r="U16" s="203">
        <v>0</v>
      </c>
      <c r="V16" s="203">
        <v>0</v>
      </c>
      <c r="W16" s="529">
        <v>590463.039552</v>
      </c>
      <c r="X16" s="564">
        <v>7307076.6400000015</v>
      </c>
      <c r="Y16" s="203">
        <v>7897539.6795520019</v>
      </c>
      <c r="Z16" s="203">
        <v>128067.82044799812</v>
      </c>
      <c r="AA16" s="383">
        <f t="shared" si="0"/>
        <v>0</v>
      </c>
    </row>
    <row r="17" spans="3:27" ht="15">
      <c r="C17" s="431">
        <v>11</v>
      </c>
      <c r="D17" s="431">
        <v>292</v>
      </c>
      <c r="E17" s="443" t="s">
        <v>671</v>
      </c>
      <c r="F17" s="443" t="s">
        <v>1052</v>
      </c>
      <c r="G17" s="203">
        <v>-1484303.7053500013</v>
      </c>
      <c r="H17" s="457" t="s">
        <v>2509</v>
      </c>
      <c r="K17" s="431">
        <v>11</v>
      </c>
      <c r="L17" s="431">
        <v>292</v>
      </c>
      <c r="M17" s="431"/>
      <c r="N17" s="561" t="s">
        <v>671</v>
      </c>
      <c r="O17" s="565" t="s">
        <v>2324</v>
      </c>
      <c r="P17" s="563">
        <v>5101664.6199999992</v>
      </c>
      <c r="Q17" s="203">
        <v>2012517</v>
      </c>
      <c r="R17" s="203">
        <v>3824593.4800000004</v>
      </c>
      <c r="S17" s="203">
        <v>173208.35</v>
      </c>
      <c r="T17" s="203">
        <v>57283.03</v>
      </c>
      <c r="U17" s="203">
        <v>23762.5</v>
      </c>
      <c r="V17" s="203">
        <v>-46548.45</v>
      </c>
      <c r="W17" s="529">
        <v>541152.41535000002</v>
      </c>
      <c r="X17" s="564">
        <v>6044815.9100000001</v>
      </c>
      <c r="Y17" s="203">
        <v>6585968.3253500005</v>
      </c>
      <c r="Z17" s="203">
        <v>-1484303.7053500013</v>
      </c>
      <c r="AA17" s="383">
        <f t="shared" si="0"/>
        <v>0</v>
      </c>
    </row>
    <row r="18" spans="3:27" ht="15">
      <c r="C18" s="431">
        <v>12</v>
      </c>
      <c r="D18" s="431">
        <v>2</v>
      </c>
      <c r="E18" s="445" t="s">
        <v>165</v>
      </c>
      <c r="F18" s="446" t="s">
        <v>2370</v>
      </c>
      <c r="G18" s="203">
        <v>-21281.661936</v>
      </c>
      <c r="H18" s="457" t="s">
        <v>2509</v>
      </c>
      <c r="K18" s="431">
        <v>12</v>
      </c>
      <c r="L18" s="431">
        <v>2</v>
      </c>
      <c r="M18" s="431"/>
      <c r="N18" s="561" t="s">
        <v>165</v>
      </c>
      <c r="O18" s="565" t="s">
        <v>2370</v>
      </c>
      <c r="P18" s="563">
        <v>1705</v>
      </c>
      <c r="Q18" s="203">
        <v>6540.32</v>
      </c>
      <c r="R18" s="203">
        <v>14163.509999999998</v>
      </c>
      <c r="S18" s="203">
        <v>145.06</v>
      </c>
      <c r="T18" s="203">
        <v>313</v>
      </c>
      <c r="U18" s="203">
        <v>0</v>
      </c>
      <c r="V18" s="203">
        <v>0</v>
      </c>
      <c r="W18" s="529">
        <v>1824.7719359999996</v>
      </c>
      <c r="X18" s="564">
        <v>21161.89</v>
      </c>
      <c r="Y18" s="203">
        <v>22986.661936</v>
      </c>
      <c r="Z18" s="203">
        <v>-21281.661936</v>
      </c>
      <c r="AA18" s="383">
        <f t="shared" si="0"/>
        <v>0</v>
      </c>
    </row>
    <row r="19" spans="3:27" ht="15">
      <c r="C19" s="431">
        <v>13</v>
      </c>
      <c r="D19" s="431">
        <v>207</v>
      </c>
      <c r="E19" s="443" t="s">
        <v>527</v>
      </c>
      <c r="F19" s="443" t="s">
        <v>993</v>
      </c>
      <c r="G19" s="203">
        <v>588912.66550900228</v>
      </c>
      <c r="H19" s="457" t="s">
        <v>2509</v>
      </c>
      <c r="K19" s="431">
        <v>13</v>
      </c>
      <c r="L19" s="431">
        <v>207</v>
      </c>
      <c r="M19" s="431"/>
      <c r="N19" s="561" t="s">
        <v>527</v>
      </c>
      <c r="O19" s="565" t="s">
        <v>2248</v>
      </c>
      <c r="P19" s="563">
        <v>12684747.060000001</v>
      </c>
      <c r="Q19" s="203">
        <v>4893534.01</v>
      </c>
      <c r="R19" s="203">
        <v>5902771.5599999996</v>
      </c>
      <c r="S19" s="203">
        <v>314375.60000000003</v>
      </c>
      <c r="T19" s="203">
        <v>222698.19</v>
      </c>
      <c r="U19" s="203">
        <v>0</v>
      </c>
      <c r="V19" s="203">
        <v>-31534.66</v>
      </c>
      <c r="W19" s="529">
        <v>793989.69449099991</v>
      </c>
      <c r="X19" s="564">
        <v>11301844.699999999</v>
      </c>
      <c r="Y19" s="203">
        <v>12095834.394490998</v>
      </c>
      <c r="Z19" s="203">
        <v>588912.66550900228</v>
      </c>
      <c r="AA19" s="383">
        <f t="shared" si="0"/>
        <v>0</v>
      </c>
    </row>
    <row r="20" spans="3:27" ht="15">
      <c r="C20" s="431">
        <v>14</v>
      </c>
      <c r="D20" s="431">
        <v>141</v>
      </c>
      <c r="E20" s="447" t="s">
        <v>398</v>
      </c>
      <c r="F20" s="448" t="s">
        <v>2376</v>
      </c>
      <c r="G20" s="203">
        <v>0</v>
      </c>
      <c r="H20" s="457" t="s">
        <v>2509</v>
      </c>
      <c r="K20" s="431">
        <v>14</v>
      </c>
      <c r="L20" s="431">
        <v>141</v>
      </c>
      <c r="M20" s="431"/>
      <c r="N20" s="569" t="s">
        <v>398</v>
      </c>
      <c r="O20" s="586" t="s">
        <v>2376</v>
      </c>
      <c r="P20" s="563"/>
      <c r="Q20" s="203">
        <v>0</v>
      </c>
      <c r="R20" s="203">
        <v>0</v>
      </c>
      <c r="S20" s="203">
        <v>0</v>
      </c>
      <c r="T20" s="203">
        <v>0</v>
      </c>
      <c r="U20" s="203">
        <v>0</v>
      </c>
      <c r="V20" s="203">
        <v>0</v>
      </c>
      <c r="W20" s="529">
        <v>0</v>
      </c>
      <c r="X20" s="564">
        <v>0</v>
      </c>
      <c r="Y20" s="203">
        <v>0</v>
      </c>
      <c r="Z20" s="203">
        <v>0</v>
      </c>
      <c r="AA20" s="383">
        <f t="shared" si="0"/>
        <v>0</v>
      </c>
    </row>
    <row r="21" spans="3:27" ht="15">
      <c r="C21" s="431">
        <v>15</v>
      </c>
      <c r="D21" s="431">
        <v>294</v>
      </c>
      <c r="E21" s="443" t="s">
        <v>675</v>
      </c>
      <c r="F21" s="449" t="s">
        <v>1054</v>
      </c>
      <c r="G21" s="203">
        <v>-374690.67360399978</v>
      </c>
      <c r="H21" s="457" t="s">
        <v>2509</v>
      </c>
      <c r="K21" s="431">
        <v>15</v>
      </c>
      <c r="L21" s="431">
        <v>294</v>
      </c>
      <c r="M21" s="431"/>
      <c r="N21" s="561" t="s">
        <v>675</v>
      </c>
      <c r="O21" s="565" t="s">
        <v>2326</v>
      </c>
      <c r="P21" s="563">
        <v>960041.47000000009</v>
      </c>
      <c r="Q21" s="203">
        <v>360862.48</v>
      </c>
      <c r="R21" s="203">
        <v>825629.49</v>
      </c>
      <c r="S21" s="203">
        <v>12150.16</v>
      </c>
      <c r="T21" s="203">
        <v>6925.6399999999994</v>
      </c>
      <c r="U21" s="203">
        <v>25848.37</v>
      </c>
      <c r="V21" s="203">
        <v>-1194.93</v>
      </c>
      <c r="W21" s="529">
        <v>104510.93360399999</v>
      </c>
      <c r="X21" s="564">
        <v>1230221.21</v>
      </c>
      <c r="Y21" s="203">
        <v>1334732.1436039999</v>
      </c>
      <c r="Z21" s="203">
        <v>-374690.67360399978</v>
      </c>
      <c r="AA21" s="383">
        <f t="shared" si="0"/>
        <v>0</v>
      </c>
    </row>
    <row r="22" spans="3:27" ht="15">
      <c r="C22" s="431">
        <v>16</v>
      </c>
      <c r="D22" s="431">
        <v>156</v>
      </c>
      <c r="E22" s="443" t="s">
        <v>428</v>
      </c>
      <c r="F22" s="443" t="s">
        <v>944</v>
      </c>
      <c r="G22" s="203">
        <v>-32579.945999999967</v>
      </c>
      <c r="H22" s="457" t="s">
        <v>2509</v>
      </c>
      <c r="K22" s="431">
        <v>16</v>
      </c>
      <c r="L22" s="431">
        <v>156</v>
      </c>
      <c r="M22" s="431"/>
      <c r="N22" s="561" t="s">
        <v>428</v>
      </c>
      <c r="O22" s="565" t="s">
        <v>2198</v>
      </c>
      <c r="P22" s="563">
        <v>99546.91</v>
      </c>
      <c r="Q22" s="203">
        <v>48501.7</v>
      </c>
      <c r="R22" s="203">
        <v>60860.54</v>
      </c>
      <c r="S22" s="203">
        <v>2289.06</v>
      </c>
      <c r="T22" s="203">
        <v>3135.4</v>
      </c>
      <c r="U22" s="203">
        <v>0</v>
      </c>
      <c r="V22" s="203">
        <v>0</v>
      </c>
      <c r="W22" s="529">
        <v>17340.155999999999</v>
      </c>
      <c r="X22" s="564">
        <v>114786.69999999998</v>
      </c>
      <c r="Y22" s="203">
        <v>132126.85599999997</v>
      </c>
      <c r="Z22" s="203">
        <v>-32579.945999999967</v>
      </c>
      <c r="AA22" s="383">
        <f t="shared" si="0"/>
        <v>0</v>
      </c>
    </row>
    <row r="23" spans="3:27" ht="15">
      <c r="C23" s="431">
        <v>17</v>
      </c>
      <c r="D23" s="431">
        <v>126</v>
      </c>
      <c r="E23" s="443" t="s">
        <v>374</v>
      </c>
      <c r="F23" s="443" t="s">
        <v>925</v>
      </c>
      <c r="G23" s="203">
        <v>212970.84738200018</v>
      </c>
      <c r="H23" s="457" t="s">
        <v>2509</v>
      </c>
      <c r="K23" s="431">
        <v>17</v>
      </c>
      <c r="L23" s="431">
        <v>126</v>
      </c>
      <c r="M23" s="431"/>
      <c r="N23" s="561" t="s">
        <v>374</v>
      </c>
      <c r="O23" s="565" t="s">
        <v>2176</v>
      </c>
      <c r="P23" s="563">
        <v>3690951.42</v>
      </c>
      <c r="Q23" s="203">
        <v>1516437.82</v>
      </c>
      <c r="R23" s="203">
        <v>1641667.47</v>
      </c>
      <c r="S23" s="203">
        <v>50137.38</v>
      </c>
      <c r="T23" s="203">
        <v>6713.0100000000011</v>
      </c>
      <c r="U23" s="203">
        <v>9609.6</v>
      </c>
      <c r="V23" s="203">
        <v>-3248.49</v>
      </c>
      <c r="W23" s="529">
        <v>256663.782618</v>
      </c>
      <c r="X23" s="564">
        <v>3221316.7899999996</v>
      </c>
      <c r="Y23" s="203">
        <v>3477980.5726179997</v>
      </c>
      <c r="Z23" s="203">
        <v>212970.84738200018</v>
      </c>
      <c r="AA23" s="383">
        <f t="shared" si="0"/>
        <v>0</v>
      </c>
    </row>
    <row r="24" spans="3:27" ht="15">
      <c r="C24" s="431">
        <v>18</v>
      </c>
      <c r="D24" s="431">
        <v>181</v>
      </c>
      <c r="E24" s="443" t="s">
        <v>478</v>
      </c>
      <c r="F24" s="443" t="s">
        <v>968</v>
      </c>
      <c r="G24" s="203">
        <v>-16222.336863999953</v>
      </c>
      <c r="H24" s="457" t="s">
        <v>2509</v>
      </c>
      <c r="K24" s="577">
        <v>18</v>
      </c>
      <c r="L24" s="577">
        <v>181</v>
      </c>
      <c r="M24" s="577" t="s">
        <v>2596</v>
      </c>
      <c r="N24" s="573" t="s">
        <v>478</v>
      </c>
      <c r="O24" s="574" t="s">
        <v>2223</v>
      </c>
      <c r="P24" s="563">
        <v>765330.32000000007</v>
      </c>
      <c r="Q24" s="576">
        <v>297986</v>
      </c>
      <c r="R24" s="576">
        <v>336956.51</v>
      </c>
      <c r="S24" s="576">
        <v>14258</v>
      </c>
      <c r="T24" s="576">
        <v>64078.05</v>
      </c>
      <c r="U24" s="576">
        <v>0</v>
      </c>
      <c r="V24" s="576"/>
      <c r="W24" s="568">
        <v>68274.096863999992</v>
      </c>
      <c r="X24" s="564">
        <v>713278.56</v>
      </c>
      <c r="Y24" s="203">
        <v>781552.65686400002</v>
      </c>
      <c r="Z24" s="203">
        <v>-16222.336863999953</v>
      </c>
      <c r="AA24" s="383">
        <f t="shared" si="0"/>
        <v>0</v>
      </c>
    </row>
    <row r="25" spans="3:27" ht="15">
      <c r="C25" s="431">
        <v>19</v>
      </c>
      <c r="D25" s="431">
        <v>50</v>
      </c>
      <c r="E25" s="443" t="s">
        <v>247</v>
      </c>
      <c r="F25" s="443" t="s">
        <v>864</v>
      </c>
      <c r="G25" s="203">
        <v>-89898.463503999985</v>
      </c>
      <c r="H25" s="457" t="s">
        <v>2509</v>
      </c>
      <c r="K25" s="431">
        <v>19</v>
      </c>
      <c r="L25" s="431">
        <v>50</v>
      </c>
      <c r="M25" s="431" t="s">
        <v>2596</v>
      </c>
      <c r="N25" s="561" t="s">
        <v>247</v>
      </c>
      <c r="O25" s="565" t="s">
        <v>2599</v>
      </c>
      <c r="P25" s="563">
        <v>704293.28</v>
      </c>
      <c r="Q25" s="566">
        <v>312452.86</v>
      </c>
      <c r="R25" s="566">
        <v>369316.12</v>
      </c>
      <c r="S25" s="566">
        <v>23016.84</v>
      </c>
      <c r="T25" s="566">
        <v>29948.669999999984</v>
      </c>
      <c r="U25" s="566">
        <v>0</v>
      </c>
      <c r="V25" s="566"/>
      <c r="W25" s="568">
        <v>59457.253504000008</v>
      </c>
      <c r="X25" s="564">
        <v>734734.49</v>
      </c>
      <c r="Y25" s="203">
        <v>794191.74350400001</v>
      </c>
      <c r="Z25" s="203">
        <v>-89898.463503999985</v>
      </c>
      <c r="AA25" s="383">
        <f t="shared" si="0"/>
        <v>0</v>
      </c>
    </row>
    <row r="26" spans="3:27" ht="15">
      <c r="C26" s="431">
        <v>20</v>
      </c>
      <c r="D26" s="431">
        <v>93</v>
      </c>
      <c r="E26" s="443" t="s">
        <v>330</v>
      </c>
      <c r="F26" s="443" t="s">
        <v>902</v>
      </c>
      <c r="G26" s="203">
        <v>-49721.849549999999</v>
      </c>
      <c r="H26" s="457" t="s">
        <v>2509</v>
      </c>
      <c r="K26" s="431">
        <v>20</v>
      </c>
      <c r="L26" s="431">
        <v>93</v>
      </c>
      <c r="M26" s="431"/>
      <c r="N26" s="561" t="s">
        <v>330</v>
      </c>
      <c r="O26" s="565" t="s">
        <v>2150</v>
      </c>
      <c r="P26" s="563">
        <v>87763.840000000011</v>
      </c>
      <c r="Q26" s="203">
        <v>52733.29</v>
      </c>
      <c r="R26" s="203">
        <v>57384.69</v>
      </c>
      <c r="S26" s="203">
        <v>2242.5499999999997</v>
      </c>
      <c r="T26" s="203">
        <v>2462.4299999999998</v>
      </c>
      <c r="U26" s="203">
        <v>0</v>
      </c>
      <c r="V26" s="203">
        <v>0</v>
      </c>
      <c r="W26" s="529">
        <v>22662.72955</v>
      </c>
      <c r="X26" s="564">
        <v>114822.96</v>
      </c>
      <c r="Y26" s="203">
        <v>137485.68955000001</v>
      </c>
      <c r="Z26" s="203">
        <v>-49721.849549999999</v>
      </c>
      <c r="AA26" s="383">
        <f t="shared" si="0"/>
        <v>0</v>
      </c>
    </row>
    <row r="27" spans="3:27" ht="15">
      <c r="C27" s="431">
        <v>21</v>
      </c>
      <c r="D27" s="431">
        <v>219</v>
      </c>
      <c r="E27" s="443" t="s">
        <v>545</v>
      </c>
      <c r="F27" s="443" t="s">
        <v>1673</v>
      </c>
      <c r="G27" s="203">
        <v>242695.45429000026</v>
      </c>
      <c r="H27" s="457" t="s">
        <v>2509</v>
      </c>
      <c r="K27" s="431">
        <v>21</v>
      </c>
      <c r="L27" s="431">
        <v>219</v>
      </c>
      <c r="M27" s="431"/>
      <c r="N27" s="561" t="s">
        <v>545</v>
      </c>
      <c r="O27" s="582" t="s">
        <v>2257</v>
      </c>
      <c r="P27" s="563">
        <v>3097495.54</v>
      </c>
      <c r="Q27" s="203">
        <v>1171860.51</v>
      </c>
      <c r="R27" s="203">
        <v>1401869.19</v>
      </c>
      <c r="S27" s="203">
        <v>67785.09</v>
      </c>
      <c r="T27" s="203">
        <v>7904.61</v>
      </c>
      <c r="U27" s="203">
        <v>0</v>
      </c>
      <c r="V27" s="203">
        <v>0</v>
      </c>
      <c r="W27" s="529">
        <v>205380.68571000005</v>
      </c>
      <c r="X27" s="564">
        <v>2649419.4</v>
      </c>
      <c r="Y27" s="203">
        <v>2854800.0857099998</v>
      </c>
      <c r="Z27" s="203">
        <v>242695.45429000026</v>
      </c>
      <c r="AA27" s="383">
        <f t="shared" si="0"/>
        <v>0</v>
      </c>
    </row>
    <row r="28" spans="3:27" ht="15">
      <c r="C28" s="431">
        <v>22</v>
      </c>
      <c r="D28" s="431">
        <v>35</v>
      </c>
      <c r="E28" s="443" t="s">
        <v>223</v>
      </c>
      <c r="F28" s="443" t="s">
        <v>853</v>
      </c>
      <c r="G28" s="203">
        <v>-1452558.3244160004</v>
      </c>
      <c r="H28" s="457" t="s">
        <v>2509</v>
      </c>
      <c r="K28" s="431">
        <v>22</v>
      </c>
      <c r="L28" s="431">
        <v>35</v>
      </c>
      <c r="M28" s="431" t="s">
        <v>2596</v>
      </c>
      <c r="N28" s="561" t="s">
        <v>223</v>
      </c>
      <c r="O28" s="565" t="s">
        <v>2098</v>
      </c>
      <c r="P28" s="563">
        <v>2419851.44</v>
      </c>
      <c r="Q28" s="566">
        <v>1128391.2</v>
      </c>
      <c r="R28" s="566">
        <v>2143697.7000000002</v>
      </c>
      <c r="S28" s="566">
        <v>10294.44</v>
      </c>
      <c r="T28" s="566">
        <v>202697.12</v>
      </c>
      <c r="U28" s="566">
        <v>6488.32</v>
      </c>
      <c r="V28" s="566"/>
      <c r="W28" s="568">
        <v>380840.98441600002</v>
      </c>
      <c r="X28" s="564">
        <v>3491568.7800000003</v>
      </c>
      <c r="Y28" s="203">
        <v>3872409.7644160003</v>
      </c>
      <c r="Z28" s="203">
        <v>-1452558.3244160004</v>
      </c>
      <c r="AA28" s="383">
        <f t="shared" si="0"/>
        <v>0</v>
      </c>
    </row>
    <row r="29" spans="3:27" ht="15">
      <c r="C29" s="431">
        <v>23</v>
      </c>
      <c r="D29" s="431">
        <v>26</v>
      </c>
      <c r="E29" s="443" t="s">
        <v>209</v>
      </c>
      <c r="F29" s="443" t="s">
        <v>847</v>
      </c>
      <c r="G29" s="203">
        <v>-374246.72655600007</v>
      </c>
      <c r="H29" s="457" t="s">
        <v>2509</v>
      </c>
      <c r="K29" s="431">
        <v>23</v>
      </c>
      <c r="L29" s="431">
        <v>26</v>
      </c>
      <c r="M29" s="431"/>
      <c r="N29" s="561" t="s">
        <v>209</v>
      </c>
      <c r="O29" s="565" t="s">
        <v>2090</v>
      </c>
      <c r="P29" s="563">
        <v>424736.48</v>
      </c>
      <c r="Q29" s="203">
        <v>234739.6</v>
      </c>
      <c r="R29" s="203">
        <v>426324.68000000005</v>
      </c>
      <c r="S29" s="203">
        <v>49693.31</v>
      </c>
      <c r="T29" s="203">
        <v>659.89</v>
      </c>
      <c r="U29" s="203">
        <v>0</v>
      </c>
      <c r="V29" s="203">
        <v>0</v>
      </c>
      <c r="W29" s="529">
        <v>87565.726556000009</v>
      </c>
      <c r="X29" s="564">
        <v>711417.4800000001</v>
      </c>
      <c r="Y29" s="203">
        <v>798983.20655600005</v>
      </c>
      <c r="Z29" s="203">
        <v>-374246.72655600007</v>
      </c>
      <c r="AA29" s="383">
        <f t="shared" si="0"/>
        <v>0</v>
      </c>
    </row>
    <row r="30" spans="3:27" ht="15">
      <c r="C30" s="431">
        <v>24</v>
      </c>
      <c r="D30" s="431">
        <v>199</v>
      </c>
      <c r="E30" s="443" t="s">
        <v>511</v>
      </c>
      <c r="F30" s="443" t="s">
        <v>985</v>
      </c>
      <c r="G30" s="203">
        <v>-30288.204129999991</v>
      </c>
      <c r="H30" s="457" t="s">
        <v>2509</v>
      </c>
      <c r="K30" s="431">
        <v>24</v>
      </c>
      <c r="L30" s="431">
        <v>199</v>
      </c>
      <c r="M30" s="431"/>
      <c r="N30" s="561" t="s">
        <v>511</v>
      </c>
      <c r="O30" s="565" t="s">
        <v>2240</v>
      </c>
      <c r="P30" s="563">
        <v>56003.829999999994</v>
      </c>
      <c r="Q30" s="203">
        <v>44708.74</v>
      </c>
      <c r="R30" s="203">
        <v>22784.71</v>
      </c>
      <c r="S30" s="203">
        <v>2926.84</v>
      </c>
      <c r="T30" s="203">
        <v>597</v>
      </c>
      <c r="U30" s="203">
        <v>0</v>
      </c>
      <c r="V30" s="203">
        <v>0</v>
      </c>
      <c r="W30" s="529">
        <v>15274.744129999999</v>
      </c>
      <c r="X30" s="564">
        <v>71017.289999999994</v>
      </c>
      <c r="Y30" s="203">
        <v>86292.034129999985</v>
      </c>
      <c r="Z30" s="203">
        <v>-30288.204129999991</v>
      </c>
      <c r="AA30" s="383">
        <f t="shared" si="0"/>
        <v>0</v>
      </c>
    </row>
    <row r="31" spans="3:27" ht="15">
      <c r="C31" s="431">
        <v>25</v>
      </c>
      <c r="D31" s="431">
        <v>19</v>
      </c>
      <c r="E31" s="443" t="s">
        <v>199</v>
      </c>
      <c r="F31" s="443" t="s">
        <v>842</v>
      </c>
      <c r="G31" s="203">
        <v>-211215.17727299989</v>
      </c>
      <c r="H31" s="457" t="s">
        <v>2509</v>
      </c>
      <c r="K31" s="431">
        <v>25</v>
      </c>
      <c r="L31" s="431">
        <v>19</v>
      </c>
      <c r="M31" s="431"/>
      <c r="N31" s="561" t="s">
        <v>199</v>
      </c>
      <c r="O31" s="565" t="s">
        <v>2084</v>
      </c>
      <c r="P31" s="563">
        <v>350794.46000000008</v>
      </c>
      <c r="Q31" s="203">
        <v>167854.88</v>
      </c>
      <c r="R31" s="203">
        <v>333474.93</v>
      </c>
      <c r="S31" s="203">
        <v>8572.0199999999986</v>
      </c>
      <c r="T31" s="203">
        <v>4340.92</v>
      </c>
      <c r="U31" s="203">
        <v>0</v>
      </c>
      <c r="V31" s="203">
        <v>0</v>
      </c>
      <c r="W31" s="529">
        <v>47766.887273</v>
      </c>
      <c r="X31" s="564">
        <v>514242.75</v>
      </c>
      <c r="Y31" s="203">
        <v>562009.63727299997</v>
      </c>
      <c r="Z31" s="203">
        <v>-211215.17727299989</v>
      </c>
      <c r="AA31" s="383">
        <f t="shared" si="0"/>
        <v>0</v>
      </c>
    </row>
    <row r="32" spans="3:27" ht="15">
      <c r="C32" s="431">
        <v>26</v>
      </c>
      <c r="D32" s="431">
        <v>18</v>
      </c>
      <c r="E32" s="443" t="s">
        <v>197</v>
      </c>
      <c r="F32" s="443" t="s">
        <v>841</v>
      </c>
      <c r="G32" s="203">
        <v>-214201.25132799998</v>
      </c>
      <c r="H32" s="457" t="s">
        <v>2509</v>
      </c>
      <c r="K32" s="431">
        <v>26</v>
      </c>
      <c r="L32" s="431">
        <v>18</v>
      </c>
      <c r="M32" s="431"/>
      <c r="N32" s="561" t="s">
        <v>197</v>
      </c>
      <c r="O32" s="565" t="s">
        <v>2083</v>
      </c>
      <c r="P32" s="563">
        <v>625867.65</v>
      </c>
      <c r="Q32" s="203">
        <v>280349.02</v>
      </c>
      <c r="R32" s="203">
        <v>446479.63</v>
      </c>
      <c r="S32" s="203">
        <v>26515.45</v>
      </c>
      <c r="T32" s="203">
        <v>19326.04</v>
      </c>
      <c r="U32" s="203">
        <v>0</v>
      </c>
      <c r="V32" s="203">
        <v>0</v>
      </c>
      <c r="W32" s="529">
        <v>67398.761327999993</v>
      </c>
      <c r="X32" s="564">
        <v>772670.14</v>
      </c>
      <c r="Y32" s="203">
        <v>840068.90132800001</v>
      </c>
      <c r="Z32" s="203">
        <v>-214201.25132799998</v>
      </c>
      <c r="AA32" s="383">
        <f t="shared" si="0"/>
        <v>0</v>
      </c>
    </row>
    <row r="33" spans="3:27" ht="15">
      <c r="C33" s="431">
        <v>27</v>
      </c>
      <c r="D33" s="431">
        <v>45</v>
      </c>
      <c r="E33" s="443" t="s">
        <v>237</v>
      </c>
      <c r="F33" s="443" t="s">
        <v>859</v>
      </c>
      <c r="G33" s="203">
        <v>-269857.28955199954</v>
      </c>
      <c r="H33" s="457" t="s">
        <v>2509</v>
      </c>
      <c r="K33" s="431">
        <v>27</v>
      </c>
      <c r="L33" s="431">
        <v>45</v>
      </c>
      <c r="M33" s="431"/>
      <c r="N33" s="561" t="s">
        <v>237</v>
      </c>
      <c r="O33" s="565" t="s">
        <v>2104</v>
      </c>
      <c r="P33" s="563">
        <v>901195.74000000011</v>
      </c>
      <c r="Q33" s="203">
        <v>567728.68999999994</v>
      </c>
      <c r="R33" s="203">
        <v>481806.56999999995</v>
      </c>
      <c r="S33" s="203">
        <v>6484.14</v>
      </c>
      <c r="T33" s="203">
        <v>12144.210000000001</v>
      </c>
      <c r="U33" s="203">
        <v>0</v>
      </c>
      <c r="V33" s="203">
        <v>0</v>
      </c>
      <c r="W33" s="529">
        <v>102889.41955199999</v>
      </c>
      <c r="X33" s="564">
        <v>1068163.6099999996</v>
      </c>
      <c r="Y33" s="203">
        <v>1171053.0295519996</v>
      </c>
      <c r="Z33" s="203">
        <v>-269857.28955199954</v>
      </c>
      <c r="AA33" s="383">
        <f t="shared" si="0"/>
        <v>0</v>
      </c>
    </row>
    <row r="34" spans="3:27" ht="15">
      <c r="C34" s="431">
        <v>28</v>
      </c>
      <c r="D34" s="431">
        <v>132</v>
      </c>
      <c r="E34" s="443" t="s">
        <v>1623</v>
      </c>
      <c r="F34" s="443" t="s">
        <v>1668</v>
      </c>
      <c r="G34" s="203">
        <v>-203190.90877600003</v>
      </c>
      <c r="H34" s="457" t="s">
        <v>2509</v>
      </c>
      <c r="K34" s="431">
        <v>28</v>
      </c>
      <c r="L34" s="431">
        <v>132</v>
      </c>
      <c r="M34" s="431"/>
      <c r="N34" s="561" t="s">
        <v>1623</v>
      </c>
      <c r="O34" s="565" t="s">
        <v>2181</v>
      </c>
      <c r="P34" s="563">
        <v>220836.51</v>
      </c>
      <c r="Q34" s="203">
        <v>262900.44</v>
      </c>
      <c r="R34" s="203">
        <v>118225.20999999999</v>
      </c>
      <c r="S34" s="203">
        <v>9721.77</v>
      </c>
      <c r="T34" s="203">
        <v>4296</v>
      </c>
      <c r="U34" s="203">
        <v>10211.290000000001</v>
      </c>
      <c r="V34" s="203">
        <v>0</v>
      </c>
      <c r="W34" s="529">
        <v>18672.708775999996</v>
      </c>
      <c r="X34" s="564">
        <v>405354.71</v>
      </c>
      <c r="Y34" s="203">
        <v>424027.41877600003</v>
      </c>
      <c r="Z34" s="203">
        <v>-203190.90877600003</v>
      </c>
      <c r="AA34" s="383">
        <f t="shared" si="0"/>
        <v>0</v>
      </c>
    </row>
    <row r="35" spans="3:27" ht="15">
      <c r="C35" s="431">
        <v>29</v>
      </c>
      <c r="D35" s="431">
        <v>142</v>
      </c>
      <c r="E35" s="443" t="s">
        <v>400</v>
      </c>
      <c r="F35" s="443" t="s">
        <v>934</v>
      </c>
      <c r="G35" s="203">
        <v>-53330.055547000011</v>
      </c>
      <c r="H35" s="457" t="s">
        <v>2509</v>
      </c>
      <c r="K35" s="431">
        <v>29</v>
      </c>
      <c r="L35" s="431">
        <v>142</v>
      </c>
      <c r="M35" s="431"/>
      <c r="N35" s="561" t="s">
        <v>400</v>
      </c>
      <c r="O35" s="565" t="s">
        <v>2188</v>
      </c>
      <c r="P35" s="563">
        <v>58928.09</v>
      </c>
      <c r="Q35" s="203">
        <v>25148.91</v>
      </c>
      <c r="R35" s="203">
        <v>50109.630000000005</v>
      </c>
      <c r="S35" s="203">
        <v>2201.75</v>
      </c>
      <c r="T35" s="203">
        <v>12846.25</v>
      </c>
      <c r="U35" s="203">
        <v>0</v>
      </c>
      <c r="V35" s="203">
        <v>0</v>
      </c>
      <c r="W35" s="529">
        <v>21951.605546999999</v>
      </c>
      <c r="X35" s="564">
        <v>90306.540000000008</v>
      </c>
      <c r="Y35" s="203">
        <v>112258.14554700001</v>
      </c>
      <c r="Z35" s="203">
        <v>-53330.055547000011</v>
      </c>
      <c r="AA35" s="383">
        <f t="shared" si="0"/>
        <v>0</v>
      </c>
    </row>
    <row r="36" spans="3:27" ht="15">
      <c r="C36" s="431">
        <v>30</v>
      </c>
      <c r="D36" s="431">
        <v>129</v>
      </c>
      <c r="E36" s="443" t="s">
        <v>380</v>
      </c>
      <c r="F36" s="443" t="s">
        <v>927</v>
      </c>
      <c r="G36" s="203">
        <v>-476633.33335200045</v>
      </c>
      <c r="H36" s="457" t="s">
        <v>2509</v>
      </c>
      <c r="K36" s="431">
        <v>30</v>
      </c>
      <c r="L36" s="431">
        <v>129</v>
      </c>
      <c r="M36" s="431"/>
      <c r="N36" s="561" t="s">
        <v>380</v>
      </c>
      <c r="O36" s="565" t="s">
        <v>2179</v>
      </c>
      <c r="P36" s="563">
        <v>4730651.74</v>
      </c>
      <c r="Q36" s="203">
        <v>1764095.43</v>
      </c>
      <c r="R36" s="203">
        <v>2904913.64</v>
      </c>
      <c r="S36" s="203">
        <v>51809.450000000004</v>
      </c>
      <c r="T36" s="203">
        <v>76065.33</v>
      </c>
      <c r="U36" s="203">
        <v>0</v>
      </c>
      <c r="V36" s="203">
        <v>-744</v>
      </c>
      <c r="W36" s="529">
        <v>411145.22335200006</v>
      </c>
      <c r="X36" s="564">
        <v>4796139.8500000006</v>
      </c>
      <c r="Y36" s="203">
        <v>5207285.0733520007</v>
      </c>
      <c r="Z36" s="203">
        <v>-476633.33335200045</v>
      </c>
      <c r="AA36" s="383">
        <f t="shared" si="0"/>
        <v>0</v>
      </c>
    </row>
    <row r="37" spans="3:27" ht="15">
      <c r="C37" s="431">
        <v>31</v>
      </c>
      <c r="D37" s="431">
        <v>250</v>
      </c>
      <c r="E37" s="443" t="s">
        <v>604</v>
      </c>
      <c r="F37" s="443" t="s">
        <v>1021</v>
      </c>
      <c r="G37" s="203">
        <v>-1780807.6101549994</v>
      </c>
      <c r="H37" s="457" t="s">
        <v>2509</v>
      </c>
      <c r="K37" s="431">
        <v>31</v>
      </c>
      <c r="L37" s="431">
        <v>250</v>
      </c>
      <c r="M37" s="431"/>
      <c r="N37" s="561" t="s">
        <v>604</v>
      </c>
      <c r="O37" s="565" t="s">
        <v>2285</v>
      </c>
      <c r="P37" s="563">
        <v>7541542.9499999993</v>
      </c>
      <c r="Q37" s="203">
        <v>3974686.22</v>
      </c>
      <c r="R37" s="203">
        <v>4152753.3899999997</v>
      </c>
      <c r="S37" s="203">
        <v>400651.11</v>
      </c>
      <c r="T37" s="203">
        <v>117868.85</v>
      </c>
      <c r="U37" s="203">
        <v>0</v>
      </c>
      <c r="V37" s="203">
        <v>-15057.12</v>
      </c>
      <c r="W37" s="529">
        <v>691448.11015499989</v>
      </c>
      <c r="X37" s="564">
        <v>8630902.4499999993</v>
      </c>
      <c r="Y37" s="203">
        <v>9322350.5601549987</v>
      </c>
      <c r="Z37" s="203">
        <v>-1780807.6101549994</v>
      </c>
      <c r="AA37" s="383">
        <f t="shared" si="0"/>
        <v>0</v>
      </c>
    </row>
    <row r="38" spans="3:27" ht="15">
      <c r="C38" s="431">
        <v>32</v>
      </c>
      <c r="D38" s="431">
        <v>162</v>
      </c>
      <c r="E38" s="443" t="s">
        <v>440</v>
      </c>
      <c r="F38" s="443" t="s">
        <v>950</v>
      </c>
      <c r="G38" s="203">
        <v>-1633.4222079999745</v>
      </c>
      <c r="H38" s="457" t="s">
        <v>2509</v>
      </c>
      <c r="K38" s="431">
        <v>32</v>
      </c>
      <c r="L38" s="431">
        <v>162</v>
      </c>
      <c r="M38" s="431" t="s">
        <v>2596</v>
      </c>
      <c r="N38" s="561" t="s">
        <v>440</v>
      </c>
      <c r="O38" s="565" t="s">
        <v>2204</v>
      </c>
      <c r="P38" s="563">
        <v>2577970.2300000004</v>
      </c>
      <c r="Q38" s="566">
        <v>970018.09000000008</v>
      </c>
      <c r="R38" s="566">
        <v>1286949.8199999998</v>
      </c>
      <c r="S38" s="566">
        <v>101164.32999999999</v>
      </c>
      <c r="T38" s="566">
        <v>17269.210000000017</v>
      </c>
      <c r="U38" s="566">
        <v>0</v>
      </c>
      <c r="V38" s="566"/>
      <c r="W38" s="568">
        <v>204202.202208</v>
      </c>
      <c r="X38" s="564">
        <v>2375401.4500000002</v>
      </c>
      <c r="Y38" s="203">
        <v>2579603.6522080004</v>
      </c>
      <c r="Z38" s="203">
        <v>-1633.4222079999745</v>
      </c>
      <c r="AA38" s="383">
        <f t="shared" si="0"/>
        <v>0</v>
      </c>
    </row>
    <row r="39" spans="3:27" ht="15">
      <c r="C39" s="431">
        <v>33</v>
      </c>
      <c r="D39" s="431">
        <v>160</v>
      </c>
      <c r="E39" s="443" t="s">
        <v>436</v>
      </c>
      <c r="F39" s="443" t="s">
        <v>948</v>
      </c>
      <c r="G39" s="203">
        <v>-70120.824408999877</v>
      </c>
      <c r="H39" s="457" t="s">
        <v>2509</v>
      </c>
      <c r="K39" s="431">
        <v>33</v>
      </c>
      <c r="L39" s="431">
        <v>160</v>
      </c>
      <c r="M39" s="431" t="s">
        <v>2596</v>
      </c>
      <c r="N39" s="561" t="s">
        <v>436</v>
      </c>
      <c r="O39" s="565" t="s">
        <v>2202</v>
      </c>
      <c r="P39" s="563">
        <v>1599653.24</v>
      </c>
      <c r="Q39" s="566">
        <v>647088.18999999994</v>
      </c>
      <c r="R39" s="566">
        <v>760452.06</v>
      </c>
      <c r="S39" s="566">
        <v>49208.57</v>
      </c>
      <c r="T39" s="566">
        <v>40520.939999999995</v>
      </c>
      <c r="U39" s="566">
        <v>16325.95</v>
      </c>
      <c r="V39" s="566"/>
      <c r="W39" s="568">
        <v>156178.35440899999</v>
      </c>
      <c r="X39" s="564">
        <v>1513595.71</v>
      </c>
      <c r="Y39" s="203">
        <v>1669774.0644089999</v>
      </c>
      <c r="Z39" s="203">
        <v>-70120.824408999877</v>
      </c>
      <c r="AA39" s="383">
        <f t="shared" si="0"/>
        <v>0</v>
      </c>
    </row>
    <row r="40" spans="3:27" ht="15">
      <c r="C40" s="431">
        <v>34</v>
      </c>
      <c r="D40" s="431">
        <v>252</v>
      </c>
      <c r="E40" s="443" t="s">
        <v>608</v>
      </c>
      <c r="F40" s="443" t="s">
        <v>1023</v>
      </c>
      <c r="G40" s="203">
        <v>-1138589.7474610009</v>
      </c>
      <c r="H40" s="457" t="s">
        <v>2509</v>
      </c>
      <c r="K40" s="431">
        <v>34</v>
      </c>
      <c r="L40" s="431">
        <v>252</v>
      </c>
      <c r="M40" s="431"/>
      <c r="N40" s="561" t="s">
        <v>608</v>
      </c>
      <c r="O40" s="565" t="s">
        <v>2287</v>
      </c>
      <c r="P40" s="563">
        <v>3403391.48</v>
      </c>
      <c r="Q40" s="203">
        <v>1939343.56</v>
      </c>
      <c r="R40" s="203">
        <v>1889856.6600000001</v>
      </c>
      <c r="S40" s="203">
        <v>300596.15000000002</v>
      </c>
      <c r="T40" s="203">
        <v>55287.16</v>
      </c>
      <c r="U40" s="203">
        <v>17117.240000000002</v>
      </c>
      <c r="V40" s="203">
        <v>0</v>
      </c>
      <c r="W40" s="529">
        <v>339780.45746100001</v>
      </c>
      <c r="X40" s="564">
        <v>4202200.7700000005</v>
      </c>
      <c r="Y40" s="203">
        <v>4541981.2274610009</v>
      </c>
      <c r="Z40" s="203">
        <v>-1138589.7474610009</v>
      </c>
      <c r="AA40" s="383">
        <f t="shared" si="0"/>
        <v>0</v>
      </c>
    </row>
    <row r="41" spans="3:27" ht="15">
      <c r="C41" s="431">
        <v>35</v>
      </c>
      <c r="D41" s="431">
        <v>263</v>
      </c>
      <c r="E41" s="443" t="s">
        <v>620</v>
      </c>
      <c r="F41" s="443" t="s">
        <v>1028</v>
      </c>
      <c r="G41" s="203">
        <v>-18209.014024000091</v>
      </c>
      <c r="H41" s="457" t="s">
        <v>2509</v>
      </c>
      <c r="K41" s="431">
        <v>35</v>
      </c>
      <c r="L41" s="431">
        <v>263</v>
      </c>
      <c r="M41" s="431"/>
      <c r="N41" s="561" t="s">
        <v>620</v>
      </c>
      <c r="O41" s="565" t="s">
        <v>2296</v>
      </c>
      <c r="P41" s="563">
        <v>502058.43999999994</v>
      </c>
      <c r="Q41" s="203">
        <v>238934.19</v>
      </c>
      <c r="R41" s="203">
        <v>210799.18</v>
      </c>
      <c r="S41" s="203">
        <v>28253.46</v>
      </c>
      <c r="T41" s="203">
        <v>8991.3700000000008</v>
      </c>
      <c r="U41" s="203">
        <v>0</v>
      </c>
      <c r="V41" s="203">
        <v>-5682.48</v>
      </c>
      <c r="W41" s="529">
        <v>38971.734023999998</v>
      </c>
      <c r="X41" s="564">
        <v>481295.72000000003</v>
      </c>
      <c r="Y41" s="203">
        <v>520267.45402400004</v>
      </c>
      <c r="Z41" s="203">
        <v>-18209.014024000091</v>
      </c>
      <c r="AA41" s="383">
        <f t="shared" si="0"/>
        <v>0</v>
      </c>
    </row>
    <row r="42" spans="3:27" ht="15">
      <c r="C42" s="431">
        <v>36</v>
      </c>
      <c r="D42" s="431">
        <v>211</v>
      </c>
      <c r="E42" s="443" t="s">
        <v>1553</v>
      </c>
      <c r="F42" s="443" t="s">
        <v>1594</v>
      </c>
      <c r="G42" s="203">
        <v>-63349.340360000147</v>
      </c>
      <c r="H42" s="457" t="s">
        <v>2509</v>
      </c>
      <c r="K42" s="431">
        <v>36</v>
      </c>
      <c r="L42" s="431">
        <v>211</v>
      </c>
      <c r="M42" s="431"/>
      <c r="N42" s="561" t="s">
        <v>1553</v>
      </c>
      <c r="O42" s="565" t="s">
        <v>2381</v>
      </c>
      <c r="P42" s="563">
        <v>572171.30999999994</v>
      </c>
      <c r="Q42" s="203">
        <v>272348.77</v>
      </c>
      <c r="R42" s="203">
        <v>190031.74999999997</v>
      </c>
      <c r="S42" s="203">
        <v>41831.11</v>
      </c>
      <c r="T42" s="203">
        <v>6002.4400000000005</v>
      </c>
      <c r="U42" s="203">
        <v>91720</v>
      </c>
      <c r="V42" s="203">
        <v>0</v>
      </c>
      <c r="W42" s="529">
        <v>33586.58036</v>
      </c>
      <c r="X42" s="564">
        <v>601934.07000000007</v>
      </c>
      <c r="Y42" s="203">
        <v>635520.65036000009</v>
      </c>
      <c r="Z42" s="203">
        <v>-63349.340360000147</v>
      </c>
      <c r="AA42" s="383">
        <f t="shared" si="0"/>
        <v>0</v>
      </c>
    </row>
    <row r="43" spans="3:27" ht="15">
      <c r="C43" s="431">
        <v>37</v>
      </c>
      <c r="D43" s="431">
        <v>95</v>
      </c>
      <c r="E43" s="443" t="s">
        <v>334</v>
      </c>
      <c r="F43" s="443" t="s">
        <v>904</v>
      </c>
      <c r="G43" s="203">
        <v>-263113.05031999992</v>
      </c>
      <c r="H43" s="457" t="s">
        <v>2509</v>
      </c>
      <c r="K43" s="431">
        <v>37</v>
      </c>
      <c r="L43" s="431">
        <v>95</v>
      </c>
      <c r="M43" s="431"/>
      <c r="N43" s="561" t="s">
        <v>334</v>
      </c>
      <c r="O43" s="565" t="s">
        <v>2152</v>
      </c>
      <c r="P43" s="563">
        <v>459682.04000000004</v>
      </c>
      <c r="Q43" s="203">
        <v>218637.29</v>
      </c>
      <c r="R43" s="203">
        <v>358027.32</v>
      </c>
      <c r="S43" s="203">
        <v>48507.39</v>
      </c>
      <c r="T43" s="203">
        <v>5932.5199999999995</v>
      </c>
      <c r="U43" s="203">
        <v>15796.6</v>
      </c>
      <c r="V43" s="203">
        <v>0</v>
      </c>
      <c r="W43" s="529">
        <v>75893.970320000008</v>
      </c>
      <c r="X43" s="564">
        <v>646901.12</v>
      </c>
      <c r="Y43" s="203">
        <v>722795.09031999996</v>
      </c>
      <c r="Z43" s="203">
        <v>-263113.05031999992</v>
      </c>
      <c r="AA43" s="383">
        <f t="shared" si="0"/>
        <v>0</v>
      </c>
    </row>
    <row r="44" spans="3:27" ht="15">
      <c r="C44" s="431">
        <v>38</v>
      </c>
      <c r="D44" s="431">
        <v>6</v>
      </c>
      <c r="E44" s="443" t="s">
        <v>173</v>
      </c>
      <c r="F44" s="443" t="s">
        <v>832</v>
      </c>
      <c r="G44" s="203">
        <v>-251607.10436</v>
      </c>
      <c r="H44" s="457" t="s">
        <v>2509</v>
      </c>
      <c r="K44" s="431">
        <v>38</v>
      </c>
      <c r="L44" s="431">
        <v>6</v>
      </c>
      <c r="M44" s="431"/>
      <c r="N44" s="561" t="s">
        <v>173</v>
      </c>
      <c r="O44" s="582" t="s">
        <v>2072</v>
      </c>
      <c r="P44" s="563">
        <v>1769835.7</v>
      </c>
      <c r="Q44" s="203">
        <v>823060.33</v>
      </c>
      <c r="R44" s="203">
        <v>915494.54</v>
      </c>
      <c r="S44" s="203">
        <v>65402.61</v>
      </c>
      <c r="T44" s="203">
        <v>4694.1400000000003</v>
      </c>
      <c r="U44" s="203">
        <v>12088.39</v>
      </c>
      <c r="V44" s="203">
        <v>-297.2</v>
      </c>
      <c r="W44" s="529">
        <v>200999.99436000001</v>
      </c>
      <c r="X44" s="564">
        <v>1820442.81</v>
      </c>
      <c r="Y44" s="203">
        <v>2021442.80436</v>
      </c>
      <c r="Z44" s="203">
        <v>-251607.10436</v>
      </c>
      <c r="AA44" s="383">
        <f t="shared" si="0"/>
        <v>0</v>
      </c>
    </row>
    <row r="45" spans="3:27" ht="15">
      <c r="C45" s="431">
        <v>39</v>
      </c>
      <c r="D45" s="431">
        <v>139</v>
      </c>
      <c r="E45" s="443" t="s">
        <v>394</v>
      </c>
      <c r="F45" s="443" t="s">
        <v>395</v>
      </c>
      <c r="G45" s="203">
        <v>-154077.69143000009</v>
      </c>
      <c r="H45" s="457" t="s">
        <v>2509</v>
      </c>
      <c r="K45" s="431">
        <v>39</v>
      </c>
      <c r="L45" s="431">
        <v>139</v>
      </c>
      <c r="M45" s="431"/>
      <c r="N45" s="561" t="s">
        <v>394</v>
      </c>
      <c r="O45" s="582" t="s">
        <v>2186</v>
      </c>
      <c r="P45" s="563">
        <v>254004.68999999997</v>
      </c>
      <c r="Q45" s="203">
        <v>85897.85</v>
      </c>
      <c r="R45" s="203">
        <v>212922.57</v>
      </c>
      <c r="S45" s="203">
        <v>47937.02</v>
      </c>
      <c r="T45" s="203">
        <v>20750</v>
      </c>
      <c r="U45" s="203">
        <v>0</v>
      </c>
      <c r="V45" s="203">
        <v>-5530.3</v>
      </c>
      <c r="W45" s="529">
        <v>46105.241430000002</v>
      </c>
      <c r="X45" s="564">
        <v>361977.14000000007</v>
      </c>
      <c r="Y45" s="203">
        <v>408082.38143000007</v>
      </c>
      <c r="Z45" s="203">
        <v>-154077.69143000009</v>
      </c>
      <c r="AA45" s="383">
        <f t="shared" si="0"/>
        <v>0</v>
      </c>
    </row>
    <row r="46" spans="3:27" ht="15">
      <c r="C46" s="431">
        <v>40</v>
      </c>
      <c r="D46" s="431">
        <v>204</v>
      </c>
      <c r="E46" s="443" t="s">
        <v>521</v>
      </c>
      <c r="F46" s="443" t="s">
        <v>990</v>
      </c>
      <c r="G46" s="203">
        <v>-509085.7484179996</v>
      </c>
      <c r="H46" s="457" t="s">
        <v>2509</v>
      </c>
      <c r="K46" s="431">
        <v>40</v>
      </c>
      <c r="L46" s="431">
        <v>204</v>
      </c>
      <c r="M46" s="431" t="s">
        <v>2596</v>
      </c>
      <c r="N46" s="561" t="s">
        <v>521</v>
      </c>
      <c r="O46" s="582" t="s">
        <v>2245</v>
      </c>
      <c r="P46" s="563">
        <v>9751407.8600000013</v>
      </c>
      <c r="Q46" s="566">
        <v>3631183.72</v>
      </c>
      <c r="R46" s="566">
        <v>4962360.5</v>
      </c>
      <c r="S46" s="566">
        <v>514939.96</v>
      </c>
      <c r="T46" s="567">
        <v>345319.36</v>
      </c>
      <c r="U46" s="567">
        <v>40439.629999999997</v>
      </c>
      <c r="V46" s="567">
        <v>-139129.56</v>
      </c>
      <c r="W46" s="568">
        <v>905379.99841800006</v>
      </c>
      <c r="X46" s="564">
        <v>9355113.6100000013</v>
      </c>
      <c r="Y46" s="203">
        <v>10260493.608418001</v>
      </c>
      <c r="Z46" s="203">
        <v>-509085.7484179996</v>
      </c>
      <c r="AA46" s="383">
        <f t="shared" si="0"/>
        <v>0</v>
      </c>
    </row>
    <row r="47" spans="3:27" ht="15">
      <c r="C47" s="431">
        <v>41</v>
      </c>
      <c r="D47" s="431">
        <v>305</v>
      </c>
      <c r="E47" s="443" t="s">
        <v>693</v>
      </c>
      <c r="F47" s="443" t="s">
        <v>1062</v>
      </c>
      <c r="G47" s="203">
        <v>-126386.14013800002</v>
      </c>
      <c r="H47" s="457" t="s">
        <v>2509</v>
      </c>
      <c r="K47" s="431">
        <v>41</v>
      </c>
      <c r="L47" s="431">
        <v>305</v>
      </c>
      <c r="M47" s="431"/>
      <c r="N47" s="561" t="s">
        <v>693</v>
      </c>
      <c r="O47" s="565" t="s">
        <v>2334</v>
      </c>
      <c r="P47" s="563">
        <v>286296.67</v>
      </c>
      <c r="Q47" s="203">
        <v>163358.03</v>
      </c>
      <c r="R47" s="203">
        <v>178809.03</v>
      </c>
      <c r="S47" s="203">
        <v>12354.76</v>
      </c>
      <c r="T47" s="203">
        <v>5993.24</v>
      </c>
      <c r="U47" s="203">
        <v>0</v>
      </c>
      <c r="V47" s="203">
        <v>0</v>
      </c>
      <c r="W47" s="529">
        <v>52167.750138000003</v>
      </c>
      <c r="X47" s="564">
        <v>360515.06</v>
      </c>
      <c r="Y47" s="203">
        <v>412682.810138</v>
      </c>
      <c r="Z47" s="203">
        <v>-126386.14013800002</v>
      </c>
      <c r="AA47" s="383">
        <f t="shared" si="0"/>
        <v>0</v>
      </c>
    </row>
    <row r="48" spans="3:27" ht="15">
      <c r="C48" s="431">
        <v>42</v>
      </c>
      <c r="D48" s="431">
        <v>287</v>
      </c>
      <c r="E48" s="443" t="s">
        <v>662</v>
      </c>
      <c r="F48" s="443" t="s">
        <v>1048</v>
      </c>
      <c r="G48" s="203">
        <v>-43070.714528000099</v>
      </c>
      <c r="H48" s="457" t="s">
        <v>2509</v>
      </c>
      <c r="K48" s="431">
        <v>42</v>
      </c>
      <c r="L48" s="431">
        <v>287</v>
      </c>
      <c r="M48" s="431"/>
      <c r="N48" s="561" t="s">
        <v>662</v>
      </c>
      <c r="O48" s="565" t="s">
        <v>2319</v>
      </c>
      <c r="P48" s="563">
        <v>1012067.8099999999</v>
      </c>
      <c r="Q48" s="203">
        <v>513067.35</v>
      </c>
      <c r="R48" s="203">
        <v>415238.94</v>
      </c>
      <c r="S48" s="203">
        <v>51830.820000000007</v>
      </c>
      <c r="T48" s="203">
        <v>4191.4799999999996</v>
      </c>
      <c r="U48" s="203">
        <v>1440.28</v>
      </c>
      <c r="V48" s="203">
        <v>0</v>
      </c>
      <c r="W48" s="529">
        <v>69369.654527999999</v>
      </c>
      <c r="X48" s="564">
        <v>985768.87000000011</v>
      </c>
      <c r="Y48" s="203">
        <v>1055138.524528</v>
      </c>
      <c r="Z48" s="203">
        <v>-43070.714528000099</v>
      </c>
      <c r="AA48" s="383">
        <f t="shared" si="0"/>
        <v>0</v>
      </c>
    </row>
    <row r="49" spans="3:27" ht="15">
      <c r="C49" s="431">
        <v>43</v>
      </c>
      <c r="D49" s="431">
        <v>309</v>
      </c>
      <c r="E49" s="443" t="s">
        <v>701</v>
      </c>
      <c r="F49" s="443" t="s">
        <v>1064</v>
      </c>
      <c r="G49" s="203">
        <v>-71250.573984000031</v>
      </c>
      <c r="H49" s="457" t="s">
        <v>2509</v>
      </c>
      <c r="K49" s="431">
        <v>43</v>
      </c>
      <c r="L49" s="431">
        <v>309</v>
      </c>
      <c r="M49" s="431"/>
      <c r="N49" s="561" t="s">
        <v>701</v>
      </c>
      <c r="O49" s="565" t="s">
        <v>2337</v>
      </c>
      <c r="P49" s="563">
        <v>69390.009999999995</v>
      </c>
      <c r="Q49" s="203">
        <v>46786.51</v>
      </c>
      <c r="R49" s="203">
        <v>66602.78</v>
      </c>
      <c r="S49" s="203">
        <v>7694.46</v>
      </c>
      <c r="T49" s="203">
        <v>6500</v>
      </c>
      <c r="U49" s="203">
        <v>0</v>
      </c>
      <c r="V49" s="203">
        <v>0</v>
      </c>
      <c r="W49" s="529">
        <v>13056.833984000001</v>
      </c>
      <c r="X49" s="564">
        <v>127583.75000000001</v>
      </c>
      <c r="Y49" s="203">
        <v>140640.58398400003</v>
      </c>
      <c r="Z49" s="203">
        <v>-71250.573984000031</v>
      </c>
      <c r="AA49" s="383">
        <f t="shared" si="0"/>
        <v>0</v>
      </c>
    </row>
    <row r="50" spans="3:27" ht="15">
      <c r="C50" s="431">
        <v>44</v>
      </c>
      <c r="D50" s="431">
        <v>270</v>
      </c>
      <c r="E50" s="443" t="s">
        <v>633</v>
      </c>
      <c r="F50" s="443" t="s">
        <v>1681</v>
      </c>
      <c r="G50" s="203">
        <v>-83499.932319999993</v>
      </c>
      <c r="H50" s="457" t="s">
        <v>2509</v>
      </c>
      <c r="K50" s="431">
        <v>44</v>
      </c>
      <c r="L50" s="431">
        <v>270</v>
      </c>
      <c r="M50" s="431"/>
      <c r="N50" s="561" t="s">
        <v>633</v>
      </c>
      <c r="O50" s="565" t="s">
        <v>2609</v>
      </c>
      <c r="P50" s="563">
        <v>116714.66</v>
      </c>
      <c r="Q50" s="203">
        <v>56780.3</v>
      </c>
      <c r="R50" s="203">
        <v>95680.15</v>
      </c>
      <c r="S50" s="203">
        <v>4299.38</v>
      </c>
      <c r="T50" s="203">
        <v>6997.12</v>
      </c>
      <c r="U50" s="203">
        <v>0</v>
      </c>
      <c r="V50" s="203">
        <v>0</v>
      </c>
      <c r="W50" s="529">
        <v>36457.642319999999</v>
      </c>
      <c r="X50" s="564">
        <v>163756.95000000001</v>
      </c>
      <c r="Y50" s="203">
        <v>200214.59232</v>
      </c>
      <c r="Z50" s="203">
        <v>-83499.932319999993</v>
      </c>
      <c r="AA50" s="383">
        <f t="shared" si="0"/>
        <v>0</v>
      </c>
    </row>
    <row r="51" spans="3:27" ht="15">
      <c r="C51" s="431">
        <v>45</v>
      </c>
      <c r="D51" s="431">
        <v>289</v>
      </c>
      <c r="E51" s="443" t="s">
        <v>666</v>
      </c>
      <c r="F51" s="443" t="s">
        <v>1682</v>
      </c>
      <c r="G51" s="203">
        <v>-66015.316075000097</v>
      </c>
      <c r="H51" s="457" t="s">
        <v>2509</v>
      </c>
      <c r="K51" s="431">
        <v>45</v>
      </c>
      <c r="L51" s="431">
        <v>289</v>
      </c>
      <c r="M51" s="431" t="s">
        <v>2596</v>
      </c>
      <c r="N51" s="561" t="s">
        <v>666</v>
      </c>
      <c r="O51" s="565" t="s">
        <v>2321</v>
      </c>
      <c r="P51" s="563">
        <v>598744.04</v>
      </c>
      <c r="Q51" s="566">
        <v>207882.25</v>
      </c>
      <c r="R51" s="566">
        <v>338773.82</v>
      </c>
      <c r="S51" s="566">
        <v>796.52</v>
      </c>
      <c r="T51" s="566">
        <v>21694.909999999996</v>
      </c>
      <c r="U51" s="566">
        <v>13857.53</v>
      </c>
      <c r="V51" s="566"/>
      <c r="W51" s="568">
        <v>81754.326075000004</v>
      </c>
      <c r="X51" s="564">
        <v>583005.03000000014</v>
      </c>
      <c r="Y51" s="203">
        <v>664759.35607500013</v>
      </c>
      <c r="Z51" s="203">
        <v>-66015.316075000097</v>
      </c>
      <c r="AA51" s="383">
        <f t="shared" si="0"/>
        <v>0</v>
      </c>
    </row>
    <row r="52" spans="3:27" ht="15">
      <c r="C52" s="431">
        <v>46</v>
      </c>
      <c r="D52" s="431">
        <v>266</v>
      </c>
      <c r="E52" s="443" t="s">
        <v>626</v>
      </c>
      <c r="F52" s="443" t="s">
        <v>1031</v>
      </c>
      <c r="G52" s="203">
        <v>-216322.87504000007</v>
      </c>
      <c r="H52" s="457" t="s">
        <v>2509</v>
      </c>
      <c r="K52" s="431">
        <v>46</v>
      </c>
      <c r="L52" s="431">
        <v>266</v>
      </c>
      <c r="M52" s="431"/>
      <c r="N52" s="561" t="s">
        <v>626</v>
      </c>
      <c r="O52" s="565" t="s">
        <v>2299</v>
      </c>
      <c r="P52" s="563">
        <v>1303415.23</v>
      </c>
      <c r="Q52" s="203">
        <v>570312.87</v>
      </c>
      <c r="R52" s="203">
        <v>618591.34</v>
      </c>
      <c r="S52" s="203">
        <v>24076.18</v>
      </c>
      <c r="T52" s="203">
        <v>15046.079999999998</v>
      </c>
      <c r="U52" s="203">
        <v>152670.98000000001</v>
      </c>
      <c r="V52" s="203">
        <v>0</v>
      </c>
      <c r="W52" s="529">
        <v>139040.65504000001</v>
      </c>
      <c r="X52" s="564">
        <v>1380697.45</v>
      </c>
      <c r="Y52" s="203">
        <v>1519738.1050400001</v>
      </c>
      <c r="Z52" s="203">
        <v>-216322.87504000007</v>
      </c>
      <c r="AA52" s="383">
        <f t="shared" si="0"/>
        <v>0</v>
      </c>
    </row>
    <row r="53" spans="3:27" ht="15">
      <c r="C53" s="431">
        <v>47</v>
      </c>
      <c r="D53" s="431">
        <v>218</v>
      </c>
      <c r="E53" s="443" t="s">
        <v>543</v>
      </c>
      <c r="F53" s="443" t="s">
        <v>997</v>
      </c>
      <c r="G53" s="203">
        <v>-109184.41693099996</v>
      </c>
      <c r="H53" s="457" t="s">
        <v>2509</v>
      </c>
      <c r="K53" s="431">
        <v>47</v>
      </c>
      <c r="L53" s="431">
        <v>218</v>
      </c>
      <c r="M53" s="431"/>
      <c r="N53" s="561" t="s">
        <v>543</v>
      </c>
      <c r="O53" s="565" t="s">
        <v>2256</v>
      </c>
      <c r="P53" s="563">
        <v>497380.01</v>
      </c>
      <c r="Q53" s="203">
        <v>171501.85</v>
      </c>
      <c r="R53" s="203">
        <v>311319.75</v>
      </c>
      <c r="S53" s="203">
        <v>15262.93</v>
      </c>
      <c r="T53" s="203">
        <v>22830.93</v>
      </c>
      <c r="U53" s="203">
        <v>2803</v>
      </c>
      <c r="V53" s="203">
        <v>0</v>
      </c>
      <c r="W53" s="529">
        <v>82845.966931000003</v>
      </c>
      <c r="X53" s="564">
        <v>523718.45999999996</v>
      </c>
      <c r="Y53" s="203">
        <v>606564.42693099997</v>
      </c>
      <c r="Z53" s="203">
        <v>-109184.41693099996</v>
      </c>
      <c r="AA53" s="383">
        <f t="shared" si="0"/>
        <v>0</v>
      </c>
    </row>
    <row r="54" spans="3:27" ht="15">
      <c r="C54" s="431">
        <v>48</v>
      </c>
      <c r="D54" s="431">
        <v>223</v>
      </c>
      <c r="E54" s="443" t="s">
        <v>552</v>
      </c>
      <c r="F54" s="443" t="s">
        <v>1001</v>
      </c>
      <c r="G54" s="203">
        <v>-66588.354251999961</v>
      </c>
      <c r="H54" s="457" t="s">
        <v>2509</v>
      </c>
      <c r="K54" s="431">
        <v>48</v>
      </c>
      <c r="L54" s="431">
        <v>223</v>
      </c>
      <c r="M54" s="431"/>
      <c r="N54" s="561" t="s">
        <v>552</v>
      </c>
      <c r="O54" s="565" t="s">
        <v>2261</v>
      </c>
      <c r="P54" s="563">
        <v>154371.12</v>
      </c>
      <c r="Q54" s="203">
        <v>74729.070000000007</v>
      </c>
      <c r="R54" s="203">
        <v>113738.85999999999</v>
      </c>
      <c r="S54" s="203">
        <v>5557.58</v>
      </c>
      <c r="T54" s="203">
        <v>6514.8</v>
      </c>
      <c r="U54" s="203">
        <v>0</v>
      </c>
      <c r="V54" s="203">
        <v>0</v>
      </c>
      <c r="W54" s="529">
        <v>20419.164251999999</v>
      </c>
      <c r="X54" s="564">
        <v>200540.30999999997</v>
      </c>
      <c r="Y54" s="203">
        <v>220959.47425199996</v>
      </c>
      <c r="Z54" s="203">
        <v>-66588.354251999961</v>
      </c>
      <c r="AA54" s="383">
        <f t="shared" si="0"/>
        <v>0</v>
      </c>
    </row>
    <row r="55" spans="3:27" ht="15">
      <c r="C55" s="431">
        <v>49</v>
      </c>
      <c r="D55" s="431">
        <v>84</v>
      </c>
      <c r="E55" s="443" t="s">
        <v>312</v>
      </c>
      <c r="F55" s="443" t="s">
        <v>894</v>
      </c>
      <c r="G55" s="203">
        <v>-71131.077519999963</v>
      </c>
      <c r="H55" s="457" t="s">
        <v>2509</v>
      </c>
      <c r="K55" s="431">
        <v>49</v>
      </c>
      <c r="L55" s="431">
        <v>84</v>
      </c>
      <c r="M55" s="431"/>
      <c r="N55" s="561" t="s">
        <v>312</v>
      </c>
      <c r="O55" s="565" t="s">
        <v>2141</v>
      </c>
      <c r="P55" s="563">
        <v>134961.06</v>
      </c>
      <c r="Q55" s="203">
        <v>65633.89</v>
      </c>
      <c r="R55" s="203">
        <v>104419.76999999999</v>
      </c>
      <c r="S55" s="203">
        <v>2344.86</v>
      </c>
      <c r="T55" s="203">
        <v>948.75</v>
      </c>
      <c r="U55" s="203">
        <v>0</v>
      </c>
      <c r="V55" s="203">
        <v>0</v>
      </c>
      <c r="W55" s="529">
        <v>32744.867519999996</v>
      </c>
      <c r="X55" s="564">
        <v>173347.26999999996</v>
      </c>
      <c r="Y55" s="203">
        <v>206092.13751999996</v>
      </c>
      <c r="Z55" s="203">
        <v>-71131.077519999963</v>
      </c>
      <c r="AA55" s="383">
        <f t="shared" si="0"/>
        <v>0</v>
      </c>
    </row>
    <row r="56" spans="3:27" ht="15">
      <c r="C56" s="431">
        <v>50</v>
      </c>
      <c r="D56" s="431">
        <v>69</v>
      </c>
      <c r="E56" s="443" t="s">
        <v>283</v>
      </c>
      <c r="F56" s="443" t="s">
        <v>284</v>
      </c>
      <c r="G56" s="203">
        <v>-44844.183643999975</v>
      </c>
      <c r="H56" s="457" t="s">
        <v>2509</v>
      </c>
      <c r="K56" s="431">
        <v>50</v>
      </c>
      <c r="L56" s="431">
        <v>69</v>
      </c>
      <c r="M56" s="431"/>
      <c r="N56" s="561" t="s">
        <v>283</v>
      </c>
      <c r="O56" s="565" t="s">
        <v>2126</v>
      </c>
      <c r="P56" s="563">
        <v>152710.76</v>
      </c>
      <c r="Q56" s="203">
        <v>73351.61</v>
      </c>
      <c r="R56" s="203">
        <v>101263.13</v>
      </c>
      <c r="S56" s="203">
        <v>2495.3000000000002</v>
      </c>
      <c r="T56" s="203">
        <v>544</v>
      </c>
      <c r="U56" s="203">
        <v>0</v>
      </c>
      <c r="V56" s="203">
        <v>0</v>
      </c>
      <c r="W56" s="529">
        <v>19900.903644000002</v>
      </c>
      <c r="X56" s="564">
        <v>177654.03999999998</v>
      </c>
      <c r="Y56" s="203">
        <v>197554.94364399998</v>
      </c>
      <c r="Z56" s="203">
        <v>-44844.183643999975</v>
      </c>
      <c r="AA56" s="383">
        <f t="shared" si="0"/>
        <v>0</v>
      </c>
    </row>
    <row r="57" spans="3:27" ht="15">
      <c r="C57" s="431">
        <v>51</v>
      </c>
      <c r="D57" s="431">
        <v>90</v>
      </c>
      <c r="E57" s="443" t="s">
        <v>324</v>
      </c>
      <c r="F57" s="443" t="s">
        <v>900</v>
      </c>
      <c r="G57" s="203">
        <v>-333468.20667199988</v>
      </c>
      <c r="H57" s="457" t="s">
        <v>2509</v>
      </c>
      <c r="K57" s="431">
        <v>51</v>
      </c>
      <c r="L57" s="431">
        <v>90</v>
      </c>
      <c r="M57" s="431"/>
      <c r="N57" s="561" t="s">
        <v>324</v>
      </c>
      <c r="O57" s="565" t="s">
        <v>2147</v>
      </c>
      <c r="P57" s="563">
        <v>742728.59</v>
      </c>
      <c r="Q57" s="203">
        <v>303407.61</v>
      </c>
      <c r="R57" s="203">
        <v>611144.13</v>
      </c>
      <c r="S57" s="203">
        <v>11007.46</v>
      </c>
      <c r="T57" s="203">
        <v>3117.57</v>
      </c>
      <c r="U57" s="203">
        <v>22966.41</v>
      </c>
      <c r="V57" s="203">
        <v>0</v>
      </c>
      <c r="W57" s="529">
        <v>124553.61667199997</v>
      </c>
      <c r="X57" s="564">
        <v>951643.17999999993</v>
      </c>
      <c r="Y57" s="203">
        <v>1076196.7966719999</v>
      </c>
      <c r="Z57" s="203">
        <v>-333468.20667199988</v>
      </c>
      <c r="AA57" s="383">
        <f t="shared" si="0"/>
        <v>0</v>
      </c>
    </row>
    <row r="58" spans="3:27" ht="15">
      <c r="C58" s="431">
        <v>52</v>
      </c>
      <c r="D58" s="431">
        <v>24</v>
      </c>
      <c r="E58" s="443" t="s">
        <v>205</v>
      </c>
      <c r="F58" s="443" t="s">
        <v>845</v>
      </c>
      <c r="G58" s="203">
        <v>-73652.494579999999</v>
      </c>
      <c r="H58" s="457" t="s">
        <v>2509</v>
      </c>
      <c r="K58" s="431">
        <v>52</v>
      </c>
      <c r="L58" s="431">
        <v>24</v>
      </c>
      <c r="M58" s="431"/>
      <c r="N58" s="561" t="s">
        <v>205</v>
      </c>
      <c r="O58" s="565" t="s">
        <v>2088</v>
      </c>
      <c r="P58" s="563">
        <v>169376.39</v>
      </c>
      <c r="Q58" s="203">
        <v>71919.520000000004</v>
      </c>
      <c r="R58" s="203">
        <v>131310.69</v>
      </c>
      <c r="S58" s="203">
        <v>6931.68</v>
      </c>
      <c r="T58" s="203">
        <v>420</v>
      </c>
      <c r="U58" s="203">
        <v>0</v>
      </c>
      <c r="V58" s="203">
        <v>0</v>
      </c>
      <c r="W58" s="529">
        <v>32446.994580000002</v>
      </c>
      <c r="X58" s="564">
        <v>210581.89</v>
      </c>
      <c r="Y58" s="203">
        <v>243028.88458000001</v>
      </c>
      <c r="Z58" s="203">
        <v>-73652.494579999999</v>
      </c>
      <c r="AA58" s="383">
        <f t="shared" si="0"/>
        <v>0</v>
      </c>
    </row>
    <row r="59" spans="3:27" ht="15">
      <c r="C59" s="431">
        <v>53</v>
      </c>
      <c r="D59" s="431">
        <v>166</v>
      </c>
      <c r="E59" s="443" t="s">
        <v>448</v>
      </c>
      <c r="F59" s="443" t="s">
        <v>953</v>
      </c>
      <c r="G59" s="203">
        <v>-73834.049784000003</v>
      </c>
      <c r="H59" s="457" t="s">
        <v>2509</v>
      </c>
      <c r="K59" s="431">
        <v>53</v>
      </c>
      <c r="L59" s="431">
        <v>166</v>
      </c>
      <c r="M59" s="431"/>
      <c r="N59" s="561" t="s">
        <v>448</v>
      </c>
      <c r="O59" s="565" t="s">
        <v>2208</v>
      </c>
      <c r="P59" s="563">
        <v>83949.32</v>
      </c>
      <c r="Q59" s="203">
        <v>55071.19</v>
      </c>
      <c r="R59" s="203">
        <v>73989.2</v>
      </c>
      <c r="S59" s="203">
        <v>2310.96</v>
      </c>
      <c r="T59" s="203">
        <v>3950</v>
      </c>
      <c r="U59" s="203">
        <v>0</v>
      </c>
      <c r="V59" s="203">
        <v>0</v>
      </c>
      <c r="W59" s="529">
        <v>22462.019784</v>
      </c>
      <c r="X59" s="564">
        <v>135321.35</v>
      </c>
      <c r="Y59" s="203">
        <v>157783.36978400001</v>
      </c>
      <c r="Z59" s="203">
        <v>-73834.049784000003</v>
      </c>
      <c r="AA59" s="383">
        <f t="shared" si="0"/>
        <v>0</v>
      </c>
    </row>
    <row r="60" spans="3:27" ht="15">
      <c r="C60" s="431">
        <v>54</v>
      </c>
      <c r="D60" s="431">
        <v>56</v>
      </c>
      <c r="E60" s="443" t="s">
        <v>259</v>
      </c>
      <c r="F60" s="443" t="s">
        <v>870</v>
      </c>
      <c r="G60" s="203">
        <v>-145927.52961500006</v>
      </c>
      <c r="H60" s="457" t="s">
        <v>2509</v>
      </c>
      <c r="K60" s="431">
        <v>54</v>
      </c>
      <c r="L60" s="431">
        <v>56</v>
      </c>
      <c r="M60" s="431"/>
      <c r="N60" s="561" t="s">
        <v>259</v>
      </c>
      <c r="O60" s="565" t="s">
        <v>2115</v>
      </c>
      <c r="P60" s="563">
        <v>216997.09999999998</v>
      </c>
      <c r="Q60" s="203">
        <v>111593.06</v>
      </c>
      <c r="R60" s="203">
        <v>168721.97</v>
      </c>
      <c r="S60" s="203">
        <v>3478.44</v>
      </c>
      <c r="T60" s="203">
        <v>7130</v>
      </c>
      <c r="U60" s="203">
        <v>0</v>
      </c>
      <c r="V60" s="203">
        <v>0</v>
      </c>
      <c r="W60" s="529">
        <v>72001.159615000011</v>
      </c>
      <c r="X60" s="564">
        <v>290923.47000000003</v>
      </c>
      <c r="Y60" s="203">
        <v>362924.62961500004</v>
      </c>
      <c r="Z60" s="203">
        <v>-145927.52961500006</v>
      </c>
      <c r="AA60" s="383">
        <f t="shared" si="0"/>
        <v>0</v>
      </c>
    </row>
    <row r="61" spans="3:27" ht="15">
      <c r="C61" s="431">
        <v>55</v>
      </c>
      <c r="D61" s="431">
        <v>194</v>
      </c>
      <c r="E61" s="443" t="s">
        <v>501</v>
      </c>
      <c r="F61" s="443" t="s">
        <v>980</v>
      </c>
      <c r="G61" s="203">
        <v>-59065.188206000021</v>
      </c>
      <c r="H61" s="457" t="s">
        <v>2509</v>
      </c>
      <c r="K61" s="431">
        <v>55</v>
      </c>
      <c r="L61" s="431">
        <v>194</v>
      </c>
      <c r="M61" s="431"/>
      <c r="N61" s="561" t="s">
        <v>501</v>
      </c>
      <c r="O61" s="565" t="s">
        <v>2235</v>
      </c>
      <c r="P61" s="563">
        <v>171884.26</v>
      </c>
      <c r="Q61" s="203">
        <v>71088.850000000006</v>
      </c>
      <c r="R61" s="203">
        <v>119733.93000000001</v>
      </c>
      <c r="S61" s="203">
        <v>3790.87</v>
      </c>
      <c r="T61" s="203">
        <v>1278.54</v>
      </c>
      <c r="U61" s="203">
        <v>0</v>
      </c>
      <c r="V61" s="203">
        <v>0</v>
      </c>
      <c r="W61" s="529">
        <v>35057.258205999999</v>
      </c>
      <c r="X61" s="564">
        <v>195892.19000000003</v>
      </c>
      <c r="Y61" s="203">
        <v>230949.44820600003</v>
      </c>
      <c r="Z61" s="203">
        <v>-59065.188206000021</v>
      </c>
      <c r="AA61" s="383">
        <f t="shared" si="0"/>
        <v>0</v>
      </c>
    </row>
    <row r="62" spans="3:27" ht="15">
      <c r="C62" s="431">
        <v>56</v>
      </c>
      <c r="D62" s="431">
        <v>134</v>
      </c>
      <c r="E62" s="447" t="s">
        <v>384</v>
      </c>
      <c r="F62" s="446" t="s">
        <v>2375</v>
      </c>
      <c r="G62" s="203">
        <v>0</v>
      </c>
      <c r="H62" s="457" t="s">
        <v>2509</v>
      </c>
      <c r="K62" s="431">
        <v>56</v>
      </c>
      <c r="L62" s="431">
        <v>134</v>
      </c>
      <c r="M62" s="431"/>
      <c r="N62" s="569" t="s">
        <v>384</v>
      </c>
      <c r="O62" s="565" t="s">
        <v>2375</v>
      </c>
      <c r="P62" s="563"/>
      <c r="Q62" s="203">
        <v>0</v>
      </c>
      <c r="R62" s="203">
        <v>0</v>
      </c>
      <c r="S62" s="203">
        <v>0</v>
      </c>
      <c r="T62" s="203">
        <v>0</v>
      </c>
      <c r="U62" s="203">
        <v>0</v>
      </c>
      <c r="V62" s="203">
        <v>0</v>
      </c>
      <c r="W62" s="529">
        <v>0</v>
      </c>
      <c r="X62" s="564">
        <v>0</v>
      </c>
      <c r="Y62" s="203">
        <v>0</v>
      </c>
      <c r="Z62" s="203">
        <v>0</v>
      </c>
      <c r="AA62" s="383">
        <f t="shared" si="0"/>
        <v>0</v>
      </c>
    </row>
    <row r="63" spans="3:27" ht="15">
      <c r="C63" s="431">
        <v>57</v>
      </c>
      <c r="D63" s="431">
        <v>241</v>
      </c>
      <c r="E63" s="443" t="s">
        <v>586</v>
      </c>
      <c r="F63" s="443" t="s">
        <v>1015</v>
      </c>
      <c r="G63" s="203">
        <v>-114149.5358619999</v>
      </c>
      <c r="H63" s="457" t="s">
        <v>2509</v>
      </c>
      <c r="K63" s="431">
        <v>57</v>
      </c>
      <c r="L63" s="431">
        <v>241</v>
      </c>
      <c r="M63" s="431"/>
      <c r="N63" s="561" t="s">
        <v>586</v>
      </c>
      <c r="O63" s="565" t="s">
        <v>2277</v>
      </c>
      <c r="P63" s="563">
        <v>505912.81</v>
      </c>
      <c r="Q63" s="203">
        <v>272119.11</v>
      </c>
      <c r="R63" s="203">
        <v>261508.04</v>
      </c>
      <c r="S63" s="203">
        <v>17708.189999999999</v>
      </c>
      <c r="T63" s="203">
        <v>225</v>
      </c>
      <c r="U63" s="203">
        <v>7192.6</v>
      </c>
      <c r="V63" s="203">
        <v>0</v>
      </c>
      <c r="W63" s="529">
        <v>61309.405862</v>
      </c>
      <c r="X63" s="564">
        <v>558752.93999999994</v>
      </c>
      <c r="Y63" s="203">
        <v>620062.3458619999</v>
      </c>
      <c r="Z63" s="203">
        <v>-114149.5358619999</v>
      </c>
      <c r="AA63" s="383">
        <f t="shared" si="0"/>
        <v>0</v>
      </c>
    </row>
    <row r="64" spans="3:27" ht="15">
      <c r="C64" s="431">
        <v>58</v>
      </c>
      <c r="D64" s="431">
        <v>170</v>
      </c>
      <c r="E64" s="443" t="s">
        <v>456</v>
      </c>
      <c r="F64" s="443" t="s">
        <v>957</v>
      </c>
      <c r="G64" s="203">
        <v>-15647.534125000006</v>
      </c>
      <c r="H64" s="457" t="s">
        <v>2509</v>
      </c>
      <c r="K64" s="431">
        <v>58</v>
      </c>
      <c r="L64" s="431">
        <v>170</v>
      </c>
      <c r="M64" s="431"/>
      <c r="N64" s="561" t="s">
        <v>456</v>
      </c>
      <c r="O64" s="565" t="s">
        <v>2212</v>
      </c>
      <c r="P64" s="563">
        <v>392096.49</v>
      </c>
      <c r="Q64" s="203">
        <v>200281.18</v>
      </c>
      <c r="R64" s="203">
        <v>168351.3</v>
      </c>
      <c r="S64" s="203">
        <v>819.95</v>
      </c>
      <c r="T64" s="203">
        <v>200</v>
      </c>
      <c r="U64" s="203">
        <v>0</v>
      </c>
      <c r="V64" s="203">
        <v>0</v>
      </c>
      <c r="W64" s="529">
        <v>38091.594124999996</v>
      </c>
      <c r="X64" s="564">
        <v>369652.43</v>
      </c>
      <c r="Y64" s="203">
        <v>407744.024125</v>
      </c>
      <c r="Z64" s="203">
        <v>-15647.534125000006</v>
      </c>
      <c r="AA64" s="383">
        <f t="shared" si="0"/>
        <v>0</v>
      </c>
    </row>
    <row r="65" spans="3:27" ht="15">
      <c r="C65" s="431">
        <v>59</v>
      </c>
      <c r="D65" s="431">
        <v>41</v>
      </c>
      <c r="E65" s="443" t="s">
        <v>229</v>
      </c>
      <c r="F65" s="443" t="s">
        <v>856</v>
      </c>
      <c r="G65" s="203">
        <v>-88425.917358000006</v>
      </c>
      <c r="H65" s="457" t="s">
        <v>2509</v>
      </c>
      <c r="K65" s="431">
        <v>59</v>
      </c>
      <c r="L65" s="431">
        <v>41</v>
      </c>
      <c r="M65" s="431"/>
      <c r="N65" s="561" t="s">
        <v>229</v>
      </c>
      <c r="O65" s="565" t="s">
        <v>2101</v>
      </c>
      <c r="P65" s="563">
        <v>256822.78999999998</v>
      </c>
      <c r="Q65" s="203">
        <v>140770.63</v>
      </c>
      <c r="R65" s="203">
        <v>147622.93</v>
      </c>
      <c r="S65" s="203">
        <v>6881.04</v>
      </c>
      <c r="T65" s="203">
        <v>5959.09</v>
      </c>
      <c r="U65" s="203">
        <v>0</v>
      </c>
      <c r="V65" s="203">
        <v>0</v>
      </c>
      <c r="W65" s="529">
        <v>44015.017357999997</v>
      </c>
      <c r="X65" s="564">
        <v>301233.69</v>
      </c>
      <c r="Y65" s="203">
        <v>345248.70735799999</v>
      </c>
      <c r="Z65" s="203">
        <v>-88425.917358000006</v>
      </c>
      <c r="AA65" s="383">
        <f t="shared" si="0"/>
        <v>0</v>
      </c>
    </row>
    <row r="66" spans="3:27" ht="15">
      <c r="C66" s="431">
        <v>60</v>
      </c>
      <c r="D66" s="431">
        <v>256</v>
      </c>
      <c r="E66" s="443" t="s">
        <v>614</v>
      </c>
      <c r="F66" s="443" t="s">
        <v>1025</v>
      </c>
      <c r="G66" s="203">
        <v>124018.47572799982</v>
      </c>
      <c r="H66" s="457" t="s">
        <v>2509</v>
      </c>
      <c r="K66" s="431">
        <v>60</v>
      </c>
      <c r="L66" s="431">
        <v>256</v>
      </c>
      <c r="M66" s="431" t="s">
        <v>2596</v>
      </c>
      <c r="N66" s="561" t="s">
        <v>614</v>
      </c>
      <c r="O66" s="565" t="s">
        <v>2291</v>
      </c>
      <c r="P66" s="563">
        <v>1484239.4</v>
      </c>
      <c r="Q66" s="566">
        <v>525973.42000000004</v>
      </c>
      <c r="R66" s="566">
        <v>549565.69999999995</v>
      </c>
      <c r="S66" s="566">
        <v>2661.07</v>
      </c>
      <c r="T66" s="566">
        <v>127570.74</v>
      </c>
      <c r="U66" s="566">
        <v>0</v>
      </c>
      <c r="V66" s="566"/>
      <c r="W66" s="568">
        <v>154449.99427199998</v>
      </c>
      <c r="X66" s="564">
        <v>1205770.9300000002</v>
      </c>
      <c r="Y66" s="203">
        <v>1360220.9242720001</v>
      </c>
      <c r="Z66" s="203">
        <v>124018.47572799982</v>
      </c>
      <c r="AA66" s="383">
        <f t="shared" si="0"/>
        <v>0</v>
      </c>
    </row>
    <row r="67" spans="3:27" ht="15">
      <c r="C67" s="431">
        <v>61</v>
      </c>
      <c r="D67" s="431">
        <v>202</v>
      </c>
      <c r="E67" s="443" t="s">
        <v>517</v>
      </c>
      <c r="F67" s="443" t="s">
        <v>988</v>
      </c>
      <c r="G67" s="203">
        <v>-159606.51664000016</v>
      </c>
      <c r="H67" s="457" t="s">
        <v>2509</v>
      </c>
      <c r="K67" s="431">
        <v>61</v>
      </c>
      <c r="L67" s="431">
        <v>202</v>
      </c>
      <c r="M67" s="431"/>
      <c r="N67" s="561" t="s">
        <v>517</v>
      </c>
      <c r="O67" s="565" t="s">
        <v>2243</v>
      </c>
      <c r="P67" s="563">
        <v>560129.71</v>
      </c>
      <c r="Q67" s="203">
        <v>222328.39</v>
      </c>
      <c r="R67" s="203">
        <v>386507.13</v>
      </c>
      <c r="S67" s="203">
        <v>18569.02</v>
      </c>
      <c r="T67" s="203">
        <v>29720.910000000003</v>
      </c>
      <c r="U67" s="203">
        <v>0</v>
      </c>
      <c r="V67" s="203">
        <v>0</v>
      </c>
      <c r="W67" s="529">
        <v>62610.776640000004</v>
      </c>
      <c r="X67" s="564">
        <v>657125.45000000007</v>
      </c>
      <c r="Y67" s="203">
        <v>719736.22664000012</v>
      </c>
      <c r="Z67" s="203">
        <v>-159606.51664000016</v>
      </c>
      <c r="AA67" s="383">
        <f t="shared" si="0"/>
        <v>0</v>
      </c>
    </row>
    <row r="68" spans="3:27" ht="15">
      <c r="C68" s="431">
        <v>62</v>
      </c>
      <c r="D68" s="431">
        <v>285</v>
      </c>
      <c r="E68" s="443" t="s">
        <v>658</v>
      </c>
      <c r="F68" s="443" t="s">
        <v>1046</v>
      </c>
      <c r="G68" s="203">
        <v>-43856.619194999992</v>
      </c>
      <c r="H68" s="457" t="s">
        <v>2509</v>
      </c>
      <c r="K68" s="431">
        <v>62</v>
      </c>
      <c r="L68" s="431">
        <v>285</v>
      </c>
      <c r="M68" s="431"/>
      <c r="N68" s="561" t="s">
        <v>658</v>
      </c>
      <c r="O68" s="582" t="s">
        <v>2317</v>
      </c>
      <c r="P68" s="563">
        <v>27810.86</v>
      </c>
      <c r="Q68" s="203">
        <v>8057.06</v>
      </c>
      <c r="R68" s="203">
        <v>44387.320000000007</v>
      </c>
      <c r="S68" s="203">
        <v>831.7</v>
      </c>
      <c r="T68" s="203">
        <v>1440.13</v>
      </c>
      <c r="U68" s="203">
        <v>0</v>
      </c>
      <c r="V68" s="203">
        <v>0</v>
      </c>
      <c r="W68" s="529">
        <v>16951.269195000001</v>
      </c>
      <c r="X68" s="564">
        <v>54716.21</v>
      </c>
      <c r="Y68" s="203">
        <v>71667.479194999993</v>
      </c>
      <c r="Z68" s="203">
        <v>-43856.619194999992</v>
      </c>
      <c r="AA68" s="383">
        <f t="shared" si="0"/>
        <v>0</v>
      </c>
    </row>
    <row r="69" spans="3:27" ht="15">
      <c r="C69" s="431">
        <v>63</v>
      </c>
      <c r="D69" s="431">
        <v>253</v>
      </c>
      <c r="E69" s="443" t="s">
        <v>610</v>
      </c>
      <c r="F69" s="443" t="s">
        <v>1676</v>
      </c>
      <c r="G69" s="203">
        <v>-428772.27604499971</v>
      </c>
      <c r="H69" s="457" t="s">
        <v>2509</v>
      </c>
      <c r="K69" s="431">
        <v>63</v>
      </c>
      <c r="L69" s="431">
        <v>253</v>
      </c>
      <c r="M69" s="431"/>
      <c r="N69" s="561" t="s">
        <v>610</v>
      </c>
      <c r="O69" s="565" t="s">
        <v>2606</v>
      </c>
      <c r="P69" s="563">
        <v>2753154.37</v>
      </c>
      <c r="Q69" s="203">
        <v>1300685.1399999999</v>
      </c>
      <c r="R69" s="203">
        <v>1457975.69</v>
      </c>
      <c r="S69" s="203">
        <v>138604.29999999999</v>
      </c>
      <c r="T69" s="203">
        <v>3795.5999999999995</v>
      </c>
      <c r="U69" s="203">
        <v>0</v>
      </c>
      <c r="V69" s="203">
        <v>0</v>
      </c>
      <c r="W69" s="529">
        <v>280865.91604500002</v>
      </c>
      <c r="X69" s="564">
        <v>2901060.73</v>
      </c>
      <c r="Y69" s="203">
        <v>3181926.6460449998</v>
      </c>
      <c r="Z69" s="203">
        <v>-428772.27604499971</v>
      </c>
      <c r="AA69" s="383">
        <f t="shared" si="0"/>
        <v>0</v>
      </c>
    </row>
    <row r="70" spans="3:27" ht="15">
      <c r="C70" s="431">
        <v>64</v>
      </c>
      <c r="D70" s="431">
        <v>317</v>
      </c>
      <c r="E70" s="443" t="s">
        <v>717</v>
      </c>
      <c r="F70" s="443" t="s">
        <v>1683</v>
      </c>
      <c r="G70" s="203">
        <v>-74753.052525000181</v>
      </c>
      <c r="H70" s="457" t="s">
        <v>2509</v>
      </c>
      <c r="K70" s="431">
        <v>64</v>
      </c>
      <c r="L70" s="431">
        <v>317</v>
      </c>
      <c r="M70" s="431"/>
      <c r="N70" s="561" t="s">
        <v>717</v>
      </c>
      <c r="O70" s="582" t="s">
        <v>2612</v>
      </c>
      <c r="P70" s="563">
        <v>2385061.48</v>
      </c>
      <c r="Q70" s="203">
        <v>986232.79</v>
      </c>
      <c r="R70" s="203">
        <v>1043748.02</v>
      </c>
      <c r="S70" s="203">
        <v>95171.09</v>
      </c>
      <c r="T70" s="203">
        <v>30288.14</v>
      </c>
      <c r="U70" s="203">
        <v>144310.01999999999</v>
      </c>
      <c r="V70" s="203">
        <v>0</v>
      </c>
      <c r="W70" s="529">
        <v>160064.47252499999</v>
      </c>
      <c r="X70" s="564">
        <v>2299750.06</v>
      </c>
      <c r="Y70" s="203">
        <v>2459814.5325250002</v>
      </c>
      <c r="Z70" s="203">
        <v>-74753.052525000181</v>
      </c>
      <c r="AA70" s="383">
        <f t="shared" si="0"/>
        <v>0</v>
      </c>
    </row>
    <row r="71" spans="3:27" ht="15">
      <c r="C71" s="431">
        <v>65</v>
      </c>
      <c r="D71" s="431">
        <v>52</v>
      </c>
      <c r="E71" s="443" t="s">
        <v>251</v>
      </c>
      <c r="F71" s="443" t="s">
        <v>866</v>
      </c>
      <c r="G71" s="203">
        <v>63734.2022119998</v>
      </c>
      <c r="H71" s="457" t="s">
        <v>2509</v>
      </c>
      <c r="K71" s="431">
        <v>65</v>
      </c>
      <c r="L71" s="431">
        <v>52</v>
      </c>
      <c r="M71" s="431" t="s">
        <v>2596</v>
      </c>
      <c r="N71" s="561" t="s">
        <v>251</v>
      </c>
      <c r="O71" s="565" t="s">
        <v>2111</v>
      </c>
      <c r="P71" s="563">
        <v>3948544.28</v>
      </c>
      <c r="Q71" s="566">
        <v>1508561.35</v>
      </c>
      <c r="R71" s="566">
        <v>175152.4</v>
      </c>
      <c r="S71" s="566">
        <v>500145.12</v>
      </c>
      <c r="T71" s="566">
        <v>1408948.3599999999</v>
      </c>
      <c r="U71" s="566">
        <v>0</v>
      </c>
      <c r="V71" s="566"/>
      <c r="W71" s="568">
        <v>292002.84778800001</v>
      </c>
      <c r="X71" s="564">
        <v>3592807.23</v>
      </c>
      <c r="Y71" s="203">
        <v>3884810.077788</v>
      </c>
      <c r="Z71" s="203">
        <v>63734.2022119998</v>
      </c>
      <c r="AA71" s="383">
        <f t="shared" si="0"/>
        <v>0</v>
      </c>
    </row>
    <row r="72" spans="3:27" ht="15">
      <c r="C72" s="431">
        <v>66</v>
      </c>
      <c r="D72" s="431">
        <v>135</v>
      </c>
      <c r="E72" s="443" t="s">
        <v>386</v>
      </c>
      <c r="F72" s="443" t="s">
        <v>929</v>
      </c>
      <c r="G72" s="203">
        <v>-129646.62784</v>
      </c>
      <c r="H72" s="457" t="s">
        <v>2509</v>
      </c>
      <c r="K72" s="431">
        <v>66</v>
      </c>
      <c r="L72" s="431">
        <v>135</v>
      </c>
      <c r="M72" s="431"/>
      <c r="N72" s="561" t="s">
        <v>386</v>
      </c>
      <c r="O72" s="565" t="s">
        <v>2182</v>
      </c>
      <c r="P72" s="563">
        <v>87306.94</v>
      </c>
      <c r="Q72" s="203">
        <v>35291.81</v>
      </c>
      <c r="R72" s="203">
        <v>106009.1</v>
      </c>
      <c r="S72" s="203">
        <v>3006.9</v>
      </c>
      <c r="T72" s="203">
        <v>3957.73</v>
      </c>
      <c r="U72" s="203">
        <v>0</v>
      </c>
      <c r="V72" s="203">
        <v>0</v>
      </c>
      <c r="W72" s="529">
        <v>68688.027839999995</v>
      </c>
      <c r="X72" s="564">
        <v>148265.54</v>
      </c>
      <c r="Y72" s="203">
        <v>216953.56784</v>
      </c>
      <c r="Z72" s="203">
        <v>-129646.62784</v>
      </c>
      <c r="AA72" s="383">
        <f t="shared" ref="AA72:AA135" si="1">+G72-Z72</f>
        <v>0</v>
      </c>
    </row>
    <row r="73" spans="3:27" ht="15">
      <c r="C73" s="431">
        <v>67</v>
      </c>
      <c r="D73" s="431">
        <v>208</v>
      </c>
      <c r="E73" s="443" t="s">
        <v>529</v>
      </c>
      <c r="F73" s="443" t="s">
        <v>994</v>
      </c>
      <c r="G73" s="203">
        <v>-264817.83240400022</v>
      </c>
      <c r="H73" s="457" t="s">
        <v>2509</v>
      </c>
      <c r="K73" s="431">
        <v>67</v>
      </c>
      <c r="L73" s="431">
        <v>208</v>
      </c>
      <c r="M73" s="431"/>
      <c r="N73" s="561" t="s">
        <v>529</v>
      </c>
      <c r="O73" s="565" t="s">
        <v>2249</v>
      </c>
      <c r="P73" s="563">
        <v>1002287.04</v>
      </c>
      <c r="Q73" s="203">
        <v>431585.99</v>
      </c>
      <c r="R73" s="203">
        <v>639972.38</v>
      </c>
      <c r="S73" s="203">
        <v>17528.96</v>
      </c>
      <c r="T73" s="203">
        <v>10423.74</v>
      </c>
      <c r="U73" s="203">
        <v>43159.360000000001</v>
      </c>
      <c r="V73" s="203">
        <v>0</v>
      </c>
      <c r="W73" s="529">
        <v>124434.44240399999</v>
      </c>
      <c r="X73" s="564">
        <v>1142670.4300000002</v>
      </c>
      <c r="Y73" s="203">
        <v>1267104.8724040003</v>
      </c>
      <c r="Z73" s="203">
        <v>-264817.83240400022</v>
      </c>
      <c r="AA73" s="383">
        <f t="shared" si="1"/>
        <v>0</v>
      </c>
    </row>
    <row r="74" spans="3:27" ht="15">
      <c r="C74" s="431">
        <v>68</v>
      </c>
      <c r="D74" s="431">
        <v>233</v>
      </c>
      <c r="E74" s="443" t="s">
        <v>570</v>
      </c>
      <c r="F74" s="443" t="s">
        <v>1007</v>
      </c>
      <c r="G74" s="203">
        <v>-545869.59021199867</v>
      </c>
      <c r="H74" s="457" t="s">
        <v>2509</v>
      </c>
      <c r="K74" s="431">
        <v>68</v>
      </c>
      <c r="L74" s="431">
        <v>233</v>
      </c>
      <c r="M74" s="431"/>
      <c r="N74" s="561" t="s">
        <v>570</v>
      </c>
      <c r="O74" s="565" t="s">
        <v>2269</v>
      </c>
      <c r="P74" s="563">
        <v>8946942.8600000013</v>
      </c>
      <c r="Q74" s="203">
        <v>3423895.25</v>
      </c>
      <c r="R74" s="203">
        <v>4824043.97</v>
      </c>
      <c r="S74" s="203">
        <v>170244.4</v>
      </c>
      <c r="T74" s="203">
        <v>202812.71</v>
      </c>
      <c r="U74" s="203">
        <v>272907.99</v>
      </c>
      <c r="V74" s="203">
        <v>-48753.94</v>
      </c>
      <c r="W74" s="529">
        <v>647662.07021199993</v>
      </c>
      <c r="X74" s="564">
        <v>8845150.3800000008</v>
      </c>
      <c r="Y74" s="203">
        <v>9492812.4502119999</v>
      </c>
      <c r="Z74" s="203">
        <v>-545869.59021199867</v>
      </c>
      <c r="AA74" s="383">
        <f t="shared" si="1"/>
        <v>0</v>
      </c>
    </row>
    <row r="75" spans="3:27" ht="15">
      <c r="C75" s="431">
        <v>69</v>
      </c>
      <c r="D75" s="431">
        <v>137</v>
      </c>
      <c r="E75" s="443" t="s">
        <v>390</v>
      </c>
      <c r="F75" s="443" t="s">
        <v>931</v>
      </c>
      <c r="G75" s="203">
        <v>43929.50055300002</v>
      </c>
      <c r="H75" s="457" t="s">
        <v>2509</v>
      </c>
      <c r="K75" s="431">
        <v>69</v>
      </c>
      <c r="L75" s="431">
        <v>137</v>
      </c>
      <c r="M75" s="431"/>
      <c r="N75" s="561" t="s">
        <v>390</v>
      </c>
      <c r="O75" s="565" t="s">
        <v>2184</v>
      </c>
      <c r="P75" s="563">
        <v>1972288.8800000001</v>
      </c>
      <c r="Q75" s="203">
        <v>782110.27</v>
      </c>
      <c r="R75" s="203">
        <v>878415.97</v>
      </c>
      <c r="S75" s="203">
        <v>68506.069999999992</v>
      </c>
      <c r="T75" s="203">
        <v>40265.199999999997</v>
      </c>
      <c r="U75" s="203">
        <v>17163.509999999998</v>
      </c>
      <c r="V75" s="203">
        <v>-3920.15</v>
      </c>
      <c r="W75" s="529">
        <v>145818.50944699996</v>
      </c>
      <c r="X75" s="564">
        <v>1782540.87</v>
      </c>
      <c r="Y75" s="203">
        <v>1928359.3794470001</v>
      </c>
      <c r="Z75" s="203">
        <v>43929.50055300002</v>
      </c>
      <c r="AA75" s="383">
        <f t="shared" si="1"/>
        <v>0</v>
      </c>
    </row>
    <row r="76" spans="3:27" ht="15">
      <c r="C76" s="431">
        <v>70</v>
      </c>
      <c r="D76" s="431">
        <v>81</v>
      </c>
      <c r="E76" s="443" t="s">
        <v>307</v>
      </c>
      <c r="F76" s="443" t="s">
        <v>891</v>
      </c>
      <c r="G76" s="203">
        <v>-54377.327210000018</v>
      </c>
      <c r="H76" s="457" t="s">
        <v>2509</v>
      </c>
      <c r="K76" s="431">
        <v>70</v>
      </c>
      <c r="L76" s="431">
        <v>81</v>
      </c>
      <c r="M76" s="431"/>
      <c r="N76" s="561" t="s">
        <v>307</v>
      </c>
      <c r="O76" s="565" t="s">
        <v>2138</v>
      </c>
      <c r="P76" s="563">
        <v>1060556.53</v>
      </c>
      <c r="Q76" s="203">
        <v>423598</v>
      </c>
      <c r="R76" s="203">
        <v>564654.05000000005</v>
      </c>
      <c r="S76" s="203">
        <v>26727.07</v>
      </c>
      <c r="T76" s="203">
        <v>21195.4</v>
      </c>
      <c r="U76" s="203">
        <v>0</v>
      </c>
      <c r="V76" s="203">
        <v>-5609.13</v>
      </c>
      <c r="W76" s="529">
        <v>84368.467210000003</v>
      </c>
      <c r="X76" s="564">
        <v>1030565.39</v>
      </c>
      <c r="Y76" s="203">
        <v>1114933.85721</v>
      </c>
      <c r="Z76" s="203">
        <v>-54377.327210000018</v>
      </c>
      <c r="AA76" s="383">
        <f t="shared" si="1"/>
        <v>0</v>
      </c>
    </row>
    <row r="77" spans="3:27" ht="15">
      <c r="C77" s="431">
        <v>71</v>
      </c>
      <c r="D77" s="431">
        <v>310</v>
      </c>
      <c r="E77" s="443" t="s">
        <v>703</v>
      </c>
      <c r="F77" s="443" t="s">
        <v>1065</v>
      </c>
      <c r="G77" s="203">
        <v>-48289.12004899999</v>
      </c>
      <c r="H77" s="457" t="s">
        <v>2509</v>
      </c>
      <c r="K77" s="431">
        <v>71</v>
      </c>
      <c r="L77" s="431">
        <v>310</v>
      </c>
      <c r="M77" s="431"/>
      <c r="N77" s="561" t="s">
        <v>703</v>
      </c>
      <c r="O77" s="565" t="s">
        <v>2338</v>
      </c>
      <c r="P77" s="563">
        <v>102872.32000000001</v>
      </c>
      <c r="Q77" s="203">
        <v>63947.16</v>
      </c>
      <c r="R77" s="203">
        <v>67522.459999999992</v>
      </c>
      <c r="S77" s="203">
        <v>4631.09</v>
      </c>
      <c r="T77" s="203">
        <v>217.44</v>
      </c>
      <c r="U77" s="203">
        <v>0</v>
      </c>
      <c r="V77" s="203">
        <v>0</v>
      </c>
      <c r="W77" s="529">
        <v>14843.290048999999</v>
      </c>
      <c r="X77" s="564">
        <v>136318.15</v>
      </c>
      <c r="Y77" s="203">
        <v>151161.440049</v>
      </c>
      <c r="Z77" s="203">
        <v>-48289.12004899999</v>
      </c>
      <c r="AA77" s="383">
        <f t="shared" si="1"/>
        <v>0</v>
      </c>
    </row>
    <row r="78" spans="3:27" ht="15">
      <c r="C78" s="431">
        <v>72</v>
      </c>
      <c r="D78" s="431">
        <v>16</v>
      </c>
      <c r="E78" s="443" t="s">
        <v>193</v>
      </c>
      <c r="F78" s="443" t="s">
        <v>839</v>
      </c>
      <c r="G78" s="203">
        <v>-74369.393591999949</v>
      </c>
      <c r="H78" s="457" t="s">
        <v>2509</v>
      </c>
      <c r="K78" s="431">
        <v>72</v>
      </c>
      <c r="L78" s="431">
        <v>16</v>
      </c>
      <c r="M78" s="431"/>
      <c r="N78" s="561" t="s">
        <v>193</v>
      </c>
      <c r="O78" s="565" t="s">
        <v>2081</v>
      </c>
      <c r="P78" s="563">
        <v>362616.02</v>
      </c>
      <c r="Q78" s="203">
        <v>166155.85</v>
      </c>
      <c r="R78" s="203">
        <v>205601.59</v>
      </c>
      <c r="S78" s="203">
        <v>8762.0499999999993</v>
      </c>
      <c r="T78" s="203">
        <v>5091.4799999999996</v>
      </c>
      <c r="U78" s="203">
        <v>0</v>
      </c>
      <c r="V78" s="203">
        <v>0</v>
      </c>
      <c r="W78" s="529">
        <v>51374.443591999996</v>
      </c>
      <c r="X78" s="564">
        <v>385610.97</v>
      </c>
      <c r="Y78" s="203">
        <v>436985.41359199997</v>
      </c>
      <c r="Z78" s="203">
        <v>-74369.393591999949</v>
      </c>
      <c r="AA78" s="383">
        <f t="shared" si="1"/>
        <v>0</v>
      </c>
    </row>
    <row r="79" spans="3:27" ht="15">
      <c r="C79" s="431">
        <v>73</v>
      </c>
      <c r="D79" s="431">
        <v>99</v>
      </c>
      <c r="E79" s="443" t="s">
        <v>342</v>
      </c>
      <c r="F79" s="443" t="s">
        <v>908</v>
      </c>
      <c r="G79" s="203">
        <v>-1255839.0468160002</v>
      </c>
      <c r="H79" s="457" t="s">
        <v>2509</v>
      </c>
      <c r="K79" s="431">
        <v>73</v>
      </c>
      <c r="L79" s="431">
        <v>99</v>
      </c>
      <c r="M79" s="431"/>
      <c r="N79" s="561" t="s">
        <v>342</v>
      </c>
      <c r="O79" s="565" t="s">
        <v>2156</v>
      </c>
      <c r="P79" s="563">
        <v>1963196.92</v>
      </c>
      <c r="Q79" s="203">
        <v>1218630.67</v>
      </c>
      <c r="R79" s="203">
        <v>1686706.5500000003</v>
      </c>
      <c r="S79" s="203">
        <v>98731.69</v>
      </c>
      <c r="T79" s="203">
        <v>27395.3</v>
      </c>
      <c r="U79" s="203">
        <v>0</v>
      </c>
      <c r="V79" s="203">
        <v>-41622.9</v>
      </c>
      <c r="W79" s="529">
        <v>229194.65681600003</v>
      </c>
      <c r="X79" s="564">
        <v>2989841.31</v>
      </c>
      <c r="Y79" s="203">
        <v>3219035.9668160002</v>
      </c>
      <c r="Z79" s="203">
        <v>-1255839.0468160002</v>
      </c>
      <c r="AA79" s="383">
        <f t="shared" si="1"/>
        <v>0</v>
      </c>
    </row>
    <row r="80" spans="3:27" ht="15">
      <c r="C80" s="431">
        <v>74</v>
      </c>
      <c r="D80" s="431">
        <v>73</v>
      </c>
      <c r="E80" s="443" t="s">
        <v>291</v>
      </c>
      <c r="F80" s="443" t="s">
        <v>884</v>
      </c>
      <c r="G80" s="203">
        <v>147503.89845600026</v>
      </c>
      <c r="H80" s="457" t="s">
        <v>2509</v>
      </c>
      <c r="K80" s="431">
        <v>74</v>
      </c>
      <c r="L80" s="431">
        <v>73</v>
      </c>
      <c r="M80" s="431" t="s">
        <v>2596</v>
      </c>
      <c r="N80" s="561" t="s">
        <v>291</v>
      </c>
      <c r="O80" s="565" t="s">
        <v>2130</v>
      </c>
      <c r="P80" s="563">
        <v>2113016.5500000003</v>
      </c>
      <c r="Q80" s="566">
        <v>868509.11999999988</v>
      </c>
      <c r="R80" s="566">
        <v>878086.84000000008</v>
      </c>
      <c r="S80" s="566">
        <v>75448.159999999989</v>
      </c>
      <c r="T80" s="566">
        <v>41.269999999994546</v>
      </c>
      <c r="U80" s="566">
        <v>22132.36</v>
      </c>
      <c r="V80" s="566"/>
      <c r="W80" s="568">
        <v>121294.90154400002</v>
      </c>
      <c r="X80" s="564">
        <v>1844217.75</v>
      </c>
      <c r="Y80" s="203">
        <v>1965512.651544</v>
      </c>
      <c r="Z80" s="203">
        <v>147503.89845600026</v>
      </c>
      <c r="AA80" s="383">
        <f t="shared" si="1"/>
        <v>0</v>
      </c>
    </row>
    <row r="81" spans="3:27" ht="15">
      <c r="C81" s="431">
        <v>75</v>
      </c>
      <c r="D81" s="431">
        <v>38</v>
      </c>
      <c r="E81" s="450" t="s">
        <v>1542</v>
      </c>
      <c r="F81" s="451" t="s">
        <v>1633</v>
      </c>
      <c r="G81" s="203">
        <v>0</v>
      </c>
      <c r="H81" s="457" t="s">
        <v>2509</v>
      </c>
      <c r="K81" s="431">
        <v>75</v>
      </c>
      <c r="L81" s="431">
        <v>38</v>
      </c>
      <c r="M81" s="431"/>
      <c r="N81" s="432" t="s">
        <v>1542</v>
      </c>
      <c r="O81" s="581" t="s">
        <v>1633</v>
      </c>
      <c r="P81" s="563"/>
      <c r="Q81" s="203">
        <v>0</v>
      </c>
      <c r="R81" s="203">
        <v>0</v>
      </c>
      <c r="S81" s="203">
        <v>0</v>
      </c>
      <c r="T81" s="203">
        <v>0</v>
      </c>
      <c r="U81" s="203">
        <v>0</v>
      </c>
      <c r="V81" s="203">
        <v>0</v>
      </c>
      <c r="W81" s="529">
        <v>0</v>
      </c>
      <c r="X81" s="564">
        <v>0</v>
      </c>
      <c r="Y81" s="203">
        <v>0</v>
      </c>
      <c r="Z81" s="203">
        <v>0</v>
      </c>
      <c r="AA81" s="383">
        <f t="shared" si="1"/>
        <v>0</v>
      </c>
    </row>
    <row r="82" spans="3:27" ht="15">
      <c r="C82" s="431">
        <v>76</v>
      </c>
      <c r="D82" s="431">
        <v>258</v>
      </c>
      <c r="E82" s="452" t="s">
        <v>766</v>
      </c>
      <c r="F82" s="451" t="s">
        <v>1634</v>
      </c>
      <c r="G82" s="203">
        <v>0</v>
      </c>
      <c r="H82" s="457" t="s">
        <v>2509</v>
      </c>
      <c r="K82" s="431">
        <v>76</v>
      </c>
      <c r="L82" s="431">
        <v>258</v>
      </c>
      <c r="M82" s="431"/>
      <c r="N82" s="578" t="s">
        <v>766</v>
      </c>
      <c r="O82" s="581" t="s">
        <v>1634</v>
      </c>
      <c r="P82" s="563"/>
      <c r="Q82" s="203">
        <v>0</v>
      </c>
      <c r="R82" s="203">
        <v>0</v>
      </c>
      <c r="S82" s="203">
        <v>0</v>
      </c>
      <c r="T82" s="203">
        <v>0</v>
      </c>
      <c r="U82" s="203">
        <v>0</v>
      </c>
      <c r="V82" s="203">
        <v>0</v>
      </c>
      <c r="W82" s="529">
        <v>0</v>
      </c>
      <c r="X82" s="564">
        <v>0</v>
      </c>
      <c r="Y82" s="203">
        <v>0</v>
      </c>
      <c r="Z82" s="203">
        <v>0</v>
      </c>
      <c r="AA82" s="383">
        <f t="shared" si="1"/>
        <v>0</v>
      </c>
    </row>
    <row r="83" spans="3:27" ht="15">
      <c r="C83" s="431">
        <v>77</v>
      </c>
      <c r="D83" s="431">
        <v>329</v>
      </c>
      <c r="E83" s="450" t="s">
        <v>768</v>
      </c>
      <c r="F83" s="451" t="s">
        <v>1635</v>
      </c>
      <c r="G83" s="203">
        <v>0</v>
      </c>
      <c r="H83" s="457" t="s">
        <v>2509</v>
      </c>
      <c r="K83" s="431">
        <v>77</v>
      </c>
      <c r="L83" s="431">
        <v>329</v>
      </c>
      <c r="M83" s="431"/>
      <c r="N83" s="432" t="s">
        <v>768</v>
      </c>
      <c r="O83" s="581" t="s">
        <v>1635</v>
      </c>
      <c r="P83" s="579"/>
      <c r="Q83" s="203">
        <v>0</v>
      </c>
      <c r="R83" s="203">
        <v>0</v>
      </c>
      <c r="S83" s="203">
        <v>0</v>
      </c>
      <c r="T83" s="203">
        <v>0</v>
      </c>
      <c r="U83" s="203">
        <v>0</v>
      </c>
      <c r="V83" s="203">
        <v>0</v>
      </c>
      <c r="W83" s="529">
        <v>0</v>
      </c>
      <c r="X83" s="564">
        <v>0</v>
      </c>
      <c r="Y83" s="203">
        <v>0</v>
      </c>
      <c r="Z83" s="203">
        <v>0</v>
      </c>
      <c r="AA83" s="383">
        <f t="shared" si="1"/>
        <v>0</v>
      </c>
    </row>
    <row r="84" spans="3:27" ht="15">
      <c r="C84" s="431">
        <v>78</v>
      </c>
      <c r="D84" s="431">
        <v>39</v>
      </c>
      <c r="E84" s="450" t="s">
        <v>761</v>
      </c>
      <c r="F84" s="451" t="s">
        <v>1636</v>
      </c>
      <c r="G84" s="203">
        <v>0</v>
      </c>
      <c r="H84" s="457" t="s">
        <v>2509</v>
      </c>
      <c r="K84" s="431">
        <v>78</v>
      </c>
      <c r="L84" s="431">
        <v>39</v>
      </c>
      <c r="M84" s="431"/>
      <c r="N84" s="432" t="s">
        <v>761</v>
      </c>
      <c r="O84" s="581" t="s">
        <v>1636</v>
      </c>
      <c r="P84" s="563"/>
      <c r="Q84" s="203">
        <v>0</v>
      </c>
      <c r="R84" s="203">
        <v>0</v>
      </c>
      <c r="S84" s="203">
        <v>0</v>
      </c>
      <c r="T84" s="203">
        <v>0</v>
      </c>
      <c r="U84" s="203">
        <v>0</v>
      </c>
      <c r="V84" s="203">
        <v>0</v>
      </c>
      <c r="W84" s="529">
        <v>0</v>
      </c>
      <c r="X84" s="564">
        <v>0</v>
      </c>
      <c r="Y84" s="203">
        <v>0</v>
      </c>
      <c r="Z84" s="203">
        <v>0</v>
      </c>
      <c r="AA84" s="383">
        <f t="shared" si="1"/>
        <v>0</v>
      </c>
    </row>
    <row r="85" spans="3:27" ht="15">
      <c r="C85" s="431">
        <v>79</v>
      </c>
      <c r="D85" s="431">
        <v>282</v>
      </c>
      <c r="E85" s="452" t="s">
        <v>767</v>
      </c>
      <c r="F85" s="451" t="s">
        <v>1637</v>
      </c>
      <c r="G85" s="203">
        <v>0</v>
      </c>
      <c r="H85" s="457" t="s">
        <v>2509</v>
      </c>
      <c r="K85" s="431">
        <v>79</v>
      </c>
      <c r="L85" s="431">
        <v>282</v>
      </c>
      <c r="M85" s="431"/>
      <c r="N85" s="578" t="s">
        <v>767</v>
      </c>
      <c r="O85" s="581" t="s">
        <v>1637</v>
      </c>
      <c r="P85" s="563"/>
      <c r="Q85" s="203">
        <v>0</v>
      </c>
      <c r="R85" s="203">
        <v>0</v>
      </c>
      <c r="S85" s="203">
        <v>0</v>
      </c>
      <c r="T85" s="203">
        <v>0</v>
      </c>
      <c r="U85" s="203">
        <v>0</v>
      </c>
      <c r="V85" s="203">
        <v>0</v>
      </c>
      <c r="W85" s="529">
        <v>0</v>
      </c>
      <c r="X85" s="564">
        <v>0</v>
      </c>
      <c r="Y85" s="203">
        <v>0</v>
      </c>
      <c r="Z85" s="203">
        <v>0</v>
      </c>
      <c r="AA85" s="383">
        <f t="shared" si="1"/>
        <v>0</v>
      </c>
    </row>
    <row r="86" spans="3:27" ht="15">
      <c r="C86" s="431">
        <v>80</v>
      </c>
      <c r="D86" s="431">
        <v>131</v>
      </c>
      <c r="E86" s="432" t="s">
        <v>764</v>
      </c>
      <c r="F86" s="433" t="s">
        <v>1653</v>
      </c>
      <c r="G86" s="203">
        <v>0</v>
      </c>
      <c r="H86" s="457" t="s">
        <v>2509</v>
      </c>
      <c r="K86" s="431">
        <v>80</v>
      </c>
      <c r="L86" s="431">
        <v>131</v>
      </c>
      <c r="M86" s="431"/>
      <c r="N86" s="432" t="s">
        <v>764</v>
      </c>
      <c r="O86" s="581" t="s">
        <v>1653</v>
      </c>
      <c r="P86" s="563"/>
      <c r="Q86" s="203">
        <v>0</v>
      </c>
      <c r="R86" s="203">
        <v>0</v>
      </c>
      <c r="S86" s="203">
        <v>0</v>
      </c>
      <c r="T86" s="203">
        <v>0</v>
      </c>
      <c r="U86" s="203">
        <v>0</v>
      </c>
      <c r="V86" s="203">
        <v>0</v>
      </c>
      <c r="W86" s="529">
        <v>0</v>
      </c>
      <c r="X86" s="564">
        <v>0</v>
      </c>
      <c r="Y86" s="203">
        <v>0</v>
      </c>
      <c r="Z86" s="203">
        <v>0</v>
      </c>
      <c r="AA86" s="383">
        <f t="shared" si="1"/>
        <v>0</v>
      </c>
    </row>
    <row r="87" spans="3:27" ht="15">
      <c r="C87" s="431">
        <v>81</v>
      </c>
      <c r="D87" s="431">
        <v>116</v>
      </c>
      <c r="E87" s="450" t="s">
        <v>763</v>
      </c>
      <c r="F87" s="451" t="s">
        <v>1654</v>
      </c>
      <c r="G87" s="203">
        <v>0</v>
      </c>
      <c r="H87" s="457" t="s">
        <v>2509</v>
      </c>
      <c r="K87" s="431">
        <v>81</v>
      </c>
      <c r="L87" s="431">
        <v>116</v>
      </c>
      <c r="M87" s="431"/>
      <c r="N87" s="432" t="s">
        <v>763</v>
      </c>
      <c r="O87" s="581" t="s">
        <v>1654</v>
      </c>
      <c r="P87" s="563"/>
      <c r="Q87" s="203">
        <v>0</v>
      </c>
      <c r="R87" s="203">
        <v>0</v>
      </c>
      <c r="S87" s="203">
        <v>0</v>
      </c>
      <c r="T87" s="203">
        <v>0</v>
      </c>
      <c r="U87" s="203">
        <v>0</v>
      </c>
      <c r="V87" s="203">
        <v>0</v>
      </c>
      <c r="W87" s="529">
        <v>0</v>
      </c>
      <c r="X87" s="564">
        <v>0</v>
      </c>
      <c r="Y87" s="203">
        <v>0</v>
      </c>
      <c r="Z87" s="203">
        <v>0</v>
      </c>
      <c r="AA87" s="383">
        <f t="shared" si="1"/>
        <v>0</v>
      </c>
    </row>
    <row r="88" spans="3:27" ht="15">
      <c r="C88" s="431">
        <v>82</v>
      </c>
      <c r="D88" s="431">
        <v>64</v>
      </c>
      <c r="E88" s="450" t="s">
        <v>762</v>
      </c>
      <c r="F88" s="451" t="s">
        <v>1638</v>
      </c>
      <c r="G88" s="203">
        <v>0</v>
      </c>
      <c r="H88" s="457" t="s">
        <v>2509</v>
      </c>
      <c r="K88" s="431">
        <v>82</v>
      </c>
      <c r="L88" s="431">
        <v>64</v>
      </c>
      <c r="M88" s="431"/>
      <c r="N88" s="432" t="s">
        <v>762</v>
      </c>
      <c r="O88" s="581" t="s">
        <v>1638</v>
      </c>
      <c r="P88" s="563"/>
      <c r="Q88" s="203">
        <v>0</v>
      </c>
      <c r="R88" s="203">
        <v>0</v>
      </c>
      <c r="S88" s="203">
        <v>0</v>
      </c>
      <c r="T88" s="203">
        <v>0</v>
      </c>
      <c r="U88" s="203">
        <v>0</v>
      </c>
      <c r="V88" s="203">
        <v>0</v>
      </c>
      <c r="W88" s="529">
        <v>0</v>
      </c>
      <c r="X88" s="564">
        <v>0</v>
      </c>
      <c r="Y88" s="203">
        <v>0</v>
      </c>
      <c r="Z88" s="203">
        <v>0</v>
      </c>
      <c r="AA88" s="383">
        <f t="shared" si="1"/>
        <v>0</v>
      </c>
    </row>
    <row r="89" spans="3:27" ht="15">
      <c r="C89" s="431">
        <v>83</v>
      </c>
      <c r="D89" s="431">
        <v>21</v>
      </c>
      <c r="E89" s="450" t="s">
        <v>760</v>
      </c>
      <c r="F89" s="451" t="s">
        <v>1651</v>
      </c>
      <c r="G89" s="203">
        <v>0</v>
      </c>
      <c r="H89" s="457" t="s">
        <v>2509</v>
      </c>
      <c r="K89" s="431">
        <v>83</v>
      </c>
      <c r="L89" s="431">
        <v>21</v>
      </c>
      <c r="M89" s="431"/>
      <c r="N89" s="432" t="s">
        <v>760</v>
      </c>
      <c r="O89" s="581" t="s">
        <v>1651</v>
      </c>
      <c r="P89" s="563"/>
      <c r="Q89" s="203">
        <v>0</v>
      </c>
      <c r="R89" s="203">
        <v>0</v>
      </c>
      <c r="S89" s="203">
        <v>0</v>
      </c>
      <c r="T89" s="203">
        <v>0</v>
      </c>
      <c r="U89" s="203">
        <v>0</v>
      </c>
      <c r="V89" s="203">
        <v>0</v>
      </c>
      <c r="W89" s="529">
        <v>0</v>
      </c>
      <c r="X89" s="564">
        <v>0</v>
      </c>
      <c r="Y89" s="203">
        <v>0</v>
      </c>
      <c r="Z89" s="203">
        <v>0</v>
      </c>
      <c r="AA89" s="383">
        <f t="shared" si="1"/>
        <v>0</v>
      </c>
    </row>
    <row r="90" spans="3:27" ht="15">
      <c r="C90" s="431">
        <v>84</v>
      </c>
      <c r="D90" s="431">
        <v>225</v>
      </c>
      <c r="E90" s="452" t="s">
        <v>765</v>
      </c>
      <c r="F90" s="451" t="s">
        <v>1652</v>
      </c>
      <c r="G90" s="203">
        <v>0</v>
      </c>
      <c r="H90" s="457" t="s">
        <v>2509</v>
      </c>
      <c r="K90" s="431">
        <v>84</v>
      </c>
      <c r="L90" s="431">
        <v>225</v>
      </c>
      <c r="M90" s="431"/>
      <c r="N90" s="578" t="s">
        <v>765</v>
      </c>
      <c r="O90" s="581" t="s">
        <v>1652</v>
      </c>
      <c r="P90" s="563"/>
      <c r="Q90" s="203">
        <v>0</v>
      </c>
      <c r="R90" s="203">
        <v>0</v>
      </c>
      <c r="S90" s="203">
        <v>0</v>
      </c>
      <c r="T90" s="203">
        <v>0</v>
      </c>
      <c r="U90" s="203">
        <v>0</v>
      </c>
      <c r="V90" s="203">
        <v>0</v>
      </c>
      <c r="W90" s="529">
        <v>0</v>
      </c>
      <c r="X90" s="564">
        <v>0</v>
      </c>
      <c r="Y90" s="203">
        <v>0</v>
      </c>
      <c r="Z90" s="203">
        <v>0</v>
      </c>
      <c r="AA90" s="383">
        <f t="shared" si="1"/>
        <v>0</v>
      </c>
    </row>
    <row r="91" spans="3:27" ht="15">
      <c r="C91" s="431">
        <v>85</v>
      </c>
      <c r="D91" s="431">
        <v>151</v>
      </c>
      <c r="E91" s="445" t="s">
        <v>418</v>
      </c>
      <c r="F91" s="446" t="s">
        <v>2380</v>
      </c>
      <c r="G91" s="203">
        <v>-75851.735488000006</v>
      </c>
      <c r="H91" s="457" t="s">
        <v>2509</v>
      </c>
      <c r="K91" s="431">
        <v>85</v>
      </c>
      <c r="L91" s="431">
        <v>151</v>
      </c>
      <c r="M91" s="431"/>
      <c r="N91" s="561" t="s">
        <v>418</v>
      </c>
      <c r="O91" s="565" t="s">
        <v>2380</v>
      </c>
      <c r="P91" s="563">
        <v>313</v>
      </c>
      <c r="Q91" s="203">
        <v>19265.419999999998</v>
      </c>
      <c r="R91" s="203">
        <v>33843.300000000003</v>
      </c>
      <c r="S91" s="203">
        <v>1151.3699999999999</v>
      </c>
      <c r="T91" s="203">
        <v>496.41999999999996</v>
      </c>
      <c r="U91" s="203">
        <v>0</v>
      </c>
      <c r="V91" s="203">
        <v>0</v>
      </c>
      <c r="W91" s="529">
        <v>21408.225488</v>
      </c>
      <c r="X91" s="564">
        <v>54756.51</v>
      </c>
      <c r="Y91" s="203">
        <v>76164.735488000006</v>
      </c>
      <c r="Z91" s="203">
        <v>-75851.735488000006</v>
      </c>
      <c r="AA91" s="383">
        <f t="shared" si="1"/>
        <v>0</v>
      </c>
    </row>
    <row r="92" spans="3:27" ht="15">
      <c r="C92" s="431">
        <v>86</v>
      </c>
      <c r="D92" s="431">
        <v>230</v>
      </c>
      <c r="E92" s="443" t="s">
        <v>564</v>
      </c>
      <c r="F92" s="443" t="s">
        <v>1004</v>
      </c>
      <c r="G92" s="203">
        <v>666226.69187200069</v>
      </c>
      <c r="H92" s="457" t="s">
        <v>2509</v>
      </c>
      <c r="K92" s="431">
        <v>86</v>
      </c>
      <c r="L92" s="431">
        <v>230</v>
      </c>
      <c r="M92" s="431"/>
      <c r="N92" s="561" t="s">
        <v>564</v>
      </c>
      <c r="O92" s="565" t="s">
        <v>2266</v>
      </c>
      <c r="P92" s="563">
        <v>11855556.720000001</v>
      </c>
      <c r="Q92" s="203">
        <v>4165491.38</v>
      </c>
      <c r="R92" s="203">
        <v>5761619.7699999996</v>
      </c>
      <c r="S92" s="203">
        <v>259673.81</v>
      </c>
      <c r="T92" s="203">
        <v>184365.65</v>
      </c>
      <c r="U92" s="203">
        <v>56884.38</v>
      </c>
      <c r="V92" s="203">
        <v>-17761.310000000001</v>
      </c>
      <c r="W92" s="529">
        <v>779056.34812800004</v>
      </c>
      <c r="X92" s="564">
        <v>10410273.68</v>
      </c>
      <c r="Y92" s="203">
        <v>11189330.028128</v>
      </c>
      <c r="Z92" s="203">
        <v>666226.69187200069</v>
      </c>
      <c r="AA92" s="383">
        <f t="shared" si="1"/>
        <v>0</v>
      </c>
    </row>
    <row r="93" spans="3:27" ht="15">
      <c r="C93" s="431">
        <v>87</v>
      </c>
      <c r="D93" s="431">
        <v>34</v>
      </c>
      <c r="E93" s="443" t="s">
        <v>222</v>
      </c>
      <c r="F93" s="443" t="s">
        <v>1664</v>
      </c>
      <c r="G93" s="203">
        <v>1715344.3316560034</v>
      </c>
      <c r="H93" s="457" t="s">
        <v>2509</v>
      </c>
      <c r="K93" s="431">
        <v>87</v>
      </c>
      <c r="L93" s="431">
        <v>34</v>
      </c>
      <c r="M93" s="431" t="s">
        <v>2596</v>
      </c>
      <c r="N93" s="561" t="s">
        <v>222</v>
      </c>
      <c r="O93" s="565" t="s">
        <v>2097</v>
      </c>
      <c r="P93" s="563">
        <v>13076159.280000001</v>
      </c>
      <c r="Q93" s="566">
        <v>5089592.8900000006</v>
      </c>
      <c r="R93" s="566">
        <v>4873288.0299999993</v>
      </c>
      <c r="S93" s="566">
        <v>570926.37000000011</v>
      </c>
      <c r="T93" s="567">
        <v>557885.6</v>
      </c>
      <c r="U93" s="567">
        <v>45970.44</v>
      </c>
      <c r="V93" s="567">
        <v>-26049.68</v>
      </c>
      <c r="W93" s="568">
        <v>249201.29834399998</v>
      </c>
      <c r="X93" s="564">
        <v>11111613.649999999</v>
      </c>
      <c r="Y93" s="203">
        <v>11360814.948343998</v>
      </c>
      <c r="Z93" s="203">
        <v>1715344.3316560034</v>
      </c>
      <c r="AA93" s="383">
        <f t="shared" si="1"/>
        <v>0</v>
      </c>
    </row>
    <row r="94" spans="3:27" ht="15">
      <c r="C94" s="431">
        <v>88</v>
      </c>
      <c r="D94" s="431">
        <v>269</v>
      </c>
      <c r="E94" s="443" t="s">
        <v>632</v>
      </c>
      <c r="F94" s="443" t="s">
        <v>1680</v>
      </c>
      <c r="G94" s="203">
        <v>-57684.187912000016</v>
      </c>
      <c r="H94" s="457" t="s">
        <v>2509</v>
      </c>
      <c r="K94" s="431">
        <v>88</v>
      </c>
      <c r="L94" s="431">
        <v>269</v>
      </c>
      <c r="M94" s="431"/>
      <c r="N94" s="561" t="s">
        <v>632</v>
      </c>
      <c r="O94" s="565" t="s">
        <v>2608</v>
      </c>
      <c r="P94" s="563">
        <v>41774.879999999997</v>
      </c>
      <c r="Q94" s="203">
        <v>23611.3</v>
      </c>
      <c r="R94" s="203">
        <v>49226.17</v>
      </c>
      <c r="S94" s="203">
        <v>648.47</v>
      </c>
      <c r="T94" s="203">
        <v>7274.07</v>
      </c>
      <c r="U94" s="203">
        <v>0</v>
      </c>
      <c r="V94" s="203">
        <v>0</v>
      </c>
      <c r="W94" s="529">
        <v>18699.057912</v>
      </c>
      <c r="X94" s="564">
        <v>80760.010000000009</v>
      </c>
      <c r="Y94" s="203">
        <v>99459.067912000013</v>
      </c>
      <c r="Z94" s="203">
        <v>-57684.187912000016</v>
      </c>
      <c r="AA94" s="383">
        <f t="shared" si="1"/>
        <v>0</v>
      </c>
    </row>
    <row r="95" spans="3:27" ht="15">
      <c r="C95" s="431">
        <v>89</v>
      </c>
      <c r="D95" s="431">
        <v>98</v>
      </c>
      <c r="E95" s="443" t="s">
        <v>340</v>
      </c>
      <c r="F95" s="443" t="s">
        <v>907</v>
      </c>
      <c r="G95" s="203">
        <v>-1352024.3216799982</v>
      </c>
      <c r="H95" s="457" t="s">
        <v>2509</v>
      </c>
      <c r="K95" s="431">
        <v>89</v>
      </c>
      <c r="L95" s="431">
        <v>98</v>
      </c>
      <c r="M95" s="431"/>
      <c r="N95" s="561" t="s">
        <v>340</v>
      </c>
      <c r="O95" s="565" t="s">
        <v>2155</v>
      </c>
      <c r="P95" s="563">
        <v>14074066.020000001</v>
      </c>
      <c r="Q95" s="203">
        <v>6156523.21</v>
      </c>
      <c r="R95" s="203">
        <v>6987836.540000001</v>
      </c>
      <c r="S95" s="203">
        <v>795080.76</v>
      </c>
      <c r="T95" s="203">
        <v>149222.93</v>
      </c>
      <c r="U95" s="203">
        <v>224163.37</v>
      </c>
      <c r="V95" s="203">
        <v>-25318.76</v>
      </c>
      <c r="W95" s="529">
        <v>1138582.29168</v>
      </c>
      <c r="X95" s="564">
        <v>14287508.049999999</v>
      </c>
      <c r="Y95" s="203">
        <v>15426090.34168</v>
      </c>
      <c r="Z95" s="203">
        <v>-1352024.3216799982</v>
      </c>
      <c r="AA95" s="383">
        <f t="shared" si="1"/>
        <v>0</v>
      </c>
    </row>
    <row r="96" spans="3:27" ht="15">
      <c r="C96" s="431">
        <v>90</v>
      </c>
      <c r="D96" s="431">
        <v>293</v>
      </c>
      <c r="E96" s="443" t="s">
        <v>673</v>
      </c>
      <c r="F96" s="443" t="s">
        <v>1053</v>
      </c>
      <c r="G96" s="203">
        <v>-241184.89790000021</v>
      </c>
      <c r="H96" s="457" t="s">
        <v>2509</v>
      </c>
      <c r="K96" s="431">
        <v>90</v>
      </c>
      <c r="L96" s="431">
        <v>293</v>
      </c>
      <c r="M96" s="431"/>
      <c r="N96" s="561" t="s">
        <v>673</v>
      </c>
      <c r="O96" s="565" t="s">
        <v>2325</v>
      </c>
      <c r="P96" s="563">
        <v>2605467.61</v>
      </c>
      <c r="Q96" s="203">
        <v>944454.51</v>
      </c>
      <c r="R96" s="203">
        <v>1536435.26</v>
      </c>
      <c r="S96" s="203">
        <v>104233.61</v>
      </c>
      <c r="T96" s="203">
        <v>32580.969999999998</v>
      </c>
      <c r="U96" s="203">
        <v>46283.87</v>
      </c>
      <c r="V96" s="203">
        <v>-501.64</v>
      </c>
      <c r="W96" s="529">
        <v>183165.92790000001</v>
      </c>
      <c r="X96" s="564">
        <v>2663486.58</v>
      </c>
      <c r="Y96" s="203">
        <v>2846652.5079000001</v>
      </c>
      <c r="Z96" s="203">
        <v>-241184.89790000021</v>
      </c>
      <c r="AA96" s="383">
        <f t="shared" si="1"/>
        <v>0</v>
      </c>
    </row>
    <row r="97" spans="3:27" ht="15">
      <c r="C97" s="431">
        <v>91</v>
      </c>
      <c r="D97" s="431">
        <v>210</v>
      </c>
      <c r="E97" s="443" t="s">
        <v>533</v>
      </c>
      <c r="F97" s="443" t="s">
        <v>996</v>
      </c>
      <c r="G97" s="203">
        <v>-382095.30692199944</v>
      </c>
      <c r="H97" s="457" t="s">
        <v>2509</v>
      </c>
      <c r="K97" s="431">
        <v>91</v>
      </c>
      <c r="L97" s="431">
        <v>210</v>
      </c>
      <c r="M97" s="431"/>
      <c r="N97" s="561" t="s">
        <v>533</v>
      </c>
      <c r="O97" s="565" t="s">
        <v>2251</v>
      </c>
      <c r="P97" s="563">
        <v>2089465.5299999998</v>
      </c>
      <c r="Q97" s="203">
        <v>1090548.8799999999</v>
      </c>
      <c r="R97" s="203">
        <v>1061779.97</v>
      </c>
      <c r="S97" s="203">
        <v>91006.69</v>
      </c>
      <c r="T97" s="203">
        <v>44095</v>
      </c>
      <c r="U97" s="203">
        <v>0</v>
      </c>
      <c r="V97" s="203">
        <v>-7277.08</v>
      </c>
      <c r="W97" s="529">
        <v>191407.37692199997</v>
      </c>
      <c r="X97" s="564">
        <v>2280153.4599999995</v>
      </c>
      <c r="Y97" s="203">
        <v>2471560.8369219992</v>
      </c>
      <c r="Z97" s="203">
        <v>-382095.30692199944</v>
      </c>
      <c r="AA97" s="383">
        <f t="shared" si="1"/>
        <v>0</v>
      </c>
    </row>
    <row r="98" spans="3:27" ht="15">
      <c r="C98" s="431">
        <v>92</v>
      </c>
      <c r="D98" s="431">
        <v>11</v>
      </c>
      <c r="E98" s="443" t="s">
        <v>183</v>
      </c>
      <c r="F98" s="443" t="s">
        <v>835</v>
      </c>
      <c r="G98" s="203">
        <v>-89144.124717999832</v>
      </c>
      <c r="H98" s="457" t="s">
        <v>2509</v>
      </c>
      <c r="K98" s="431">
        <v>92</v>
      </c>
      <c r="L98" s="431">
        <v>11</v>
      </c>
      <c r="M98" s="431"/>
      <c r="N98" s="561" t="s">
        <v>183</v>
      </c>
      <c r="O98" s="565" t="s">
        <v>2077</v>
      </c>
      <c r="P98" s="563">
        <v>874672.25000000012</v>
      </c>
      <c r="Q98" s="203">
        <v>437927.09</v>
      </c>
      <c r="R98" s="203">
        <v>433926.35</v>
      </c>
      <c r="S98" s="203">
        <v>3642.47</v>
      </c>
      <c r="T98" s="203">
        <v>645.24</v>
      </c>
      <c r="U98" s="203">
        <v>10856.3</v>
      </c>
      <c r="V98" s="203">
        <v>0</v>
      </c>
      <c r="W98" s="529">
        <v>76818.924717999995</v>
      </c>
      <c r="X98" s="564">
        <v>886997.45</v>
      </c>
      <c r="Y98" s="203">
        <v>963816.37471799995</v>
      </c>
      <c r="Z98" s="203">
        <v>-89144.124717999832</v>
      </c>
      <c r="AA98" s="383">
        <f t="shared" si="1"/>
        <v>0</v>
      </c>
    </row>
    <row r="99" spans="3:27" ht="15">
      <c r="C99" s="431">
        <v>93</v>
      </c>
      <c r="D99" s="431">
        <v>206</v>
      </c>
      <c r="E99" s="443" t="s">
        <v>525</v>
      </c>
      <c r="F99" s="443" t="s">
        <v>992</v>
      </c>
      <c r="G99" s="203">
        <v>-74741.092951000668</v>
      </c>
      <c r="H99" s="457" t="s">
        <v>2509</v>
      </c>
      <c r="K99" s="431">
        <v>93</v>
      </c>
      <c r="L99" s="431">
        <v>206</v>
      </c>
      <c r="M99" s="431"/>
      <c r="N99" s="561" t="s">
        <v>525</v>
      </c>
      <c r="O99" s="565" t="s">
        <v>2247</v>
      </c>
      <c r="P99" s="563">
        <v>5689275.4300000006</v>
      </c>
      <c r="Q99" s="203">
        <v>2423812.91</v>
      </c>
      <c r="R99" s="203">
        <v>2574477.5099999998</v>
      </c>
      <c r="S99" s="203">
        <v>163077.9</v>
      </c>
      <c r="T99" s="203">
        <v>127331.58</v>
      </c>
      <c r="U99" s="203">
        <v>35959.03</v>
      </c>
      <c r="V99" s="203">
        <v>-18608.599999999999</v>
      </c>
      <c r="W99" s="529">
        <v>457966.19295099989</v>
      </c>
      <c r="X99" s="564">
        <v>5306050.330000001</v>
      </c>
      <c r="Y99" s="203">
        <v>5764016.5229510013</v>
      </c>
      <c r="Z99" s="203">
        <v>-74741.092951000668</v>
      </c>
      <c r="AA99" s="383">
        <f t="shared" si="1"/>
        <v>0</v>
      </c>
    </row>
    <row r="100" spans="3:27" ht="15">
      <c r="C100" s="431">
        <v>94</v>
      </c>
      <c r="D100" s="431">
        <v>251</v>
      </c>
      <c r="E100" s="443" t="s">
        <v>606</v>
      </c>
      <c r="F100" s="443" t="s">
        <v>1022</v>
      </c>
      <c r="G100" s="203">
        <v>-70866.712399999902</v>
      </c>
      <c r="H100" s="457" t="s">
        <v>2509</v>
      </c>
      <c r="K100" s="431">
        <v>94</v>
      </c>
      <c r="L100" s="431">
        <v>251</v>
      </c>
      <c r="M100" s="431"/>
      <c r="N100" s="561" t="s">
        <v>606</v>
      </c>
      <c r="O100" s="565" t="s">
        <v>2286</v>
      </c>
      <c r="P100" s="563">
        <v>379334.06000000006</v>
      </c>
      <c r="Q100" s="203">
        <v>144485.95000000001</v>
      </c>
      <c r="R100" s="203">
        <v>251231.24</v>
      </c>
      <c r="S100" s="203">
        <v>8811.11</v>
      </c>
      <c r="T100" s="203">
        <v>5335.1</v>
      </c>
      <c r="U100" s="203">
        <v>0</v>
      </c>
      <c r="V100" s="203">
        <v>0</v>
      </c>
      <c r="W100" s="529">
        <v>40337.372399999993</v>
      </c>
      <c r="X100" s="564">
        <v>409863.39999999997</v>
      </c>
      <c r="Y100" s="203">
        <v>450200.77239999996</v>
      </c>
      <c r="Z100" s="203">
        <v>-70866.712399999902</v>
      </c>
      <c r="AA100" s="383">
        <f t="shared" si="1"/>
        <v>0</v>
      </c>
    </row>
    <row r="101" spans="3:27" ht="15">
      <c r="C101" s="431">
        <v>95</v>
      </c>
      <c r="D101" s="431">
        <v>307</v>
      </c>
      <c r="E101" s="443" t="s">
        <v>697</v>
      </c>
      <c r="F101" s="443" t="s">
        <v>1063</v>
      </c>
      <c r="G101" s="203">
        <v>-82048.726077000043</v>
      </c>
      <c r="H101" s="457" t="s">
        <v>2509</v>
      </c>
      <c r="K101" s="431">
        <v>95</v>
      </c>
      <c r="L101" s="431">
        <v>307</v>
      </c>
      <c r="M101" s="431"/>
      <c r="N101" s="561" t="s">
        <v>697</v>
      </c>
      <c r="O101" s="565" t="s">
        <v>2336</v>
      </c>
      <c r="P101" s="563">
        <v>111081.59999999999</v>
      </c>
      <c r="Q101" s="203">
        <v>54769.62</v>
      </c>
      <c r="R101" s="203">
        <v>90013.27</v>
      </c>
      <c r="S101" s="203">
        <v>3010.69</v>
      </c>
      <c r="T101" s="203">
        <v>7215.63</v>
      </c>
      <c r="U101" s="203">
        <v>0</v>
      </c>
      <c r="V101" s="203">
        <v>0</v>
      </c>
      <c r="W101" s="529">
        <v>38121.116077000006</v>
      </c>
      <c r="X101" s="564">
        <v>155009.21000000002</v>
      </c>
      <c r="Y101" s="203">
        <v>193130.32607700003</v>
      </c>
      <c r="Z101" s="203">
        <v>-82048.726077000043</v>
      </c>
      <c r="AA101" s="383">
        <f t="shared" si="1"/>
        <v>0</v>
      </c>
    </row>
    <row r="102" spans="3:27" ht="15">
      <c r="C102" s="431">
        <v>96</v>
      </c>
      <c r="D102" s="431">
        <v>144</v>
      </c>
      <c r="E102" s="443" t="s">
        <v>404</v>
      </c>
      <c r="F102" s="443" t="s">
        <v>935</v>
      </c>
      <c r="G102" s="203">
        <v>-117866.99245000001</v>
      </c>
      <c r="H102" s="457" t="s">
        <v>2509</v>
      </c>
      <c r="K102" s="431">
        <v>96</v>
      </c>
      <c r="L102" s="431">
        <v>144</v>
      </c>
      <c r="M102" s="431"/>
      <c r="N102" s="561" t="s">
        <v>404</v>
      </c>
      <c r="O102" s="565" t="s">
        <v>2189</v>
      </c>
      <c r="P102" s="563">
        <v>59509.770000000004</v>
      </c>
      <c r="Q102" s="203">
        <v>33010.9</v>
      </c>
      <c r="R102" s="203">
        <v>93721.77</v>
      </c>
      <c r="S102" s="203">
        <v>5196.8500000000004</v>
      </c>
      <c r="T102" s="203">
        <v>74051.75</v>
      </c>
      <c r="U102" s="203">
        <v>0</v>
      </c>
      <c r="V102" s="203">
        <v>-73235.75</v>
      </c>
      <c r="W102" s="529">
        <v>44631.242449999998</v>
      </c>
      <c r="X102" s="564">
        <v>132745.52000000002</v>
      </c>
      <c r="Y102" s="203">
        <v>177376.76245000001</v>
      </c>
      <c r="Z102" s="203">
        <v>-117866.99245000001</v>
      </c>
      <c r="AA102" s="383">
        <f t="shared" si="1"/>
        <v>0</v>
      </c>
    </row>
    <row r="103" spans="3:27" ht="15">
      <c r="C103" s="431">
        <v>97</v>
      </c>
      <c r="D103" s="431">
        <v>147</v>
      </c>
      <c r="E103" s="443" t="s">
        <v>410</v>
      </c>
      <c r="F103" s="443" t="s">
        <v>936</v>
      </c>
      <c r="G103" s="203">
        <v>-24397.000766000128</v>
      </c>
      <c r="H103" s="457" t="s">
        <v>2509</v>
      </c>
      <c r="K103" s="431">
        <v>97</v>
      </c>
      <c r="L103" s="431">
        <v>147</v>
      </c>
      <c r="M103" s="431"/>
      <c r="N103" s="561" t="s">
        <v>410</v>
      </c>
      <c r="O103" s="565" t="s">
        <v>2191</v>
      </c>
      <c r="P103" s="563">
        <v>573886.79999999993</v>
      </c>
      <c r="Q103" s="203">
        <v>196961.36</v>
      </c>
      <c r="R103" s="203">
        <v>313353.69</v>
      </c>
      <c r="S103" s="203">
        <v>37001.980000000003</v>
      </c>
      <c r="T103" s="203">
        <v>3357.04</v>
      </c>
      <c r="U103" s="203">
        <v>0</v>
      </c>
      <c r="V103" s="203">
        <v>0</v>
      </c>
      <c r="W103" s="529">
        <v>47609.730765999993</v>
      </c>
      <c r="X103" s="564">
        <v>550674.07000000007</v>
      </c>
      <c r="Y103" s="203">
        <v>598283.80076600006</v>
      </c>
      <c r="Z103" s="203">
        <v>-24397.000766000128</v>
      </c>
      <c r="AA103" s="383">
        <f t="shared" si="1"/>
        <v>0</v>
      </c>
    </row>
    <row r="104" spans="3:27" ht="15">
      <c r="C104" s="431">
        <v>98</v>
      </c>
      <c r="D104" s="431">
        <v>75</v>
      </c>
      <c r="E104" s="443" t="s">
        <v>295</v>
      </c>
      <c r="F104" s="443" t="s">
        <v>886</v>
      </c>
      <c r="G104" s="203">
        <v>-31074.563499999873</v>
      </c>
      <c r="H104" s="457" t="s">
        <v>2509</v>
      </c>
      <c r="K104" s="431">
        <v>98</v>
      </c>
      <c r="L104" s="431">
        <v>75</v>
      </c>
      <c r="M104" s="431" t="s">
        <v>2596</v>
      </c>
      <c r="N104" s="561" t="s">
        <v>295</v>
      </c>
      <c r="O104" s="565" t="s">
        <v>2132</v>
      </c>
      <c r="P104" s="563">
        <v>481621.64</v>
      </c>
      <c r="Q104" s="566">
        <v>231608.15</v>
      </c>
      <c r="R104" s="566">
        <v>227446.55</v>
      </c>
      <c r="S104" s="566">
        <v>9935.91</v>
      </c>
      <c r="T104" s="566">
        <v>-8427.4600000000064</v>
      </c>
      <c r="U104" s="566">
        <v>0</v>
      </c>
      <c r="V104" s="566"/>
      <c r="W104" s="568">
        <v>52133.053500000002</v>
      </c>
      <c r="X104" s="564">
        <v>460563.14999999991</v>
      </c>
      <c r="Y104" s="203">
        <v>512696.20349999989</v>
      </c>
      <c r="Z104" s="203">
        <v>-31074.563499999873</v>
      </c>
      <c r="AA104" s="383">
        <f t="shared" si="1"/>
        <v>0</v>
      </c>
    </row>
    <row r="105" spans="3:27" ht="15">
      <c r="C105" s="431">
        <v>99</v>
      </c>
      <c r="D105" s="431">
        <v>320</v>
      </c>
      <c r="E105" s="443" t="s">
        <v>722</v>
      </c>
      <c r="F105" s="443" t="s">
        <v>1073</v>
      </c>
      <c r="G105" s="203">
        <v>-338488.22989699943</v>
      </c>
      <c r="H105" s="457" t="s">
        <v>2509</v>
      </c>
      <c r="K105" s="431">
        <v>99</v>
      </c>
      <c r="L105" s="431">
        <v>320</v>
      </c>
      <c r="M105" s="431"/>
      <c r="N105" s="561" t="s">
        <v>722</v>
      </c>
      <c r="O105" s="565" t="s">
        <v>2347</v>
      </c>
      <c r="P105" s="563">
        <v>3208760.29</v>
      </c>
      <c r="Q105" s="203">
        <v>1439913.54</v>
      </c>
      <c r="R105" s="203">
        <v>1646785.27</v>
      </c>
      <c r="S105" s="203">
        <v>115508.84000000001</v>
      </c>
      <c r="T105" s="203">
        <v>17676.82</v>
      </c>
      <c r="U105" s="203">
        <v>0</v>
      </c>
      <c r="V105" s="203">
        <v>-22247.200000000001</v>
      </c>
      <c r="W105" s="529">
        <v>349611.24989700003</v>
      </c>
      <c r="X105" s="564">
        <v>3197637.2699999996</v>
      </c>
      <c r="Y105" s="203">
        <v>3547248.5198969995</v>
      </c>
      <c r="Z105" s="203">
        <v>-338488.22989699943</v>
      </c>
      <c r="AA105" s="383">
        <f t="shared" si="1"/>
        <v>0</v>
      </c>
    </row>
    <row r="106" spans="3:27" ht="15">
      <c r="C106" s="431">
        <v>100</v>
      </c>
      <c r="D106" s="431">
        <v>324</v>
      </c>
      <c r="E106" s="443" t="s">
        <v>730</v>
      </c>
      <c r="F106" s="443" t="s">
        <v>1077</v>
      </c>
      <c r="G106" s="203">
        <v>-214427.96332399989</v>
      </c>
      <c r="H106" s="457" t="s">
        <v>2509</v>
      </c>
      <c r="K106" s="431">
        <v>100</v>
      </c>
      <c r="L106" s="431">
        <v>324</v>
      </c>
      <c r="M106" s="431"/>
      <c r="N106" s="561" t="s">
        <v>730</v>
      </c>
      <c r="O106" s="565" t="s">
        <v>2351</v>
      </c>
      <c r="P106" s="563">
        <v>1163263.1599999999</v>
      </c>
      <c r="Q106" s="203">
        <v>588767.07999999996</v>
      </c>
      <c r="R106" s="203">
        <v>593684.22</v>
      </c>
      <c r="S106" s="203">
        <v>35104.29</v>
      </c>
      <c r="T106" s="203">
        <v>70054.649999999994</v>
      </c>
      <c r="U106" s="203">
        <v>0</v>
      </c>
      <c r="V106" s="203">
        <v>0</v>
      </c>
      <c r="W106" s="529">
        <v>90080.883323999995</v>
      </c>
      <c r="X106" s="564">
        <v>1287610.2399999998</v>
      </c>
      <c r="Y106" s="203">
        <v>1377691.1233239998</v>
      </c>
      <c r="Z106" s="203">
        <v>-214427.96332399989</v>
      </c>
      <c r="AA106" s="383">
        <f t="shared" si="1"/>
        <v>0</v>
      </c>
    </row>
    <row r="107" spans="3:27" ht="15">
      <c r="C107" s="431">
        <v>101</v>
      </c>
      <c r="D107" s="431">
        <v>242</v>
      </c>
      <c r="E107" s="443" t="s">
        <v>588</v>
      </c>
      <c r="F107" s="443" t="s">
        <v>1016</v>
      </c>
      <c r="G107" s="203">
        <v>-189798.24110000022</v>
      </c>
      <c r="H107" s="457" t="s">
        <v>2509</v>
      </c>
      <c r="K107" s="431">
        <v>101</v>
      </c>
      <c r="L107" s="431">
        <v>242</v>
      </c>
      <c r="M107" s="431"/>
      <c r="N107" s="561" t="s">
        <v>588</v>
      </c>
      <c r="O107" s="565" t="s">
        <v>2278</v>
      </c>
      <c r="P107" s="563">
        <v>1228987.2199999997</v>
      </c>
      <c r="Q107" s="203">
        <v>447649.33</v>
      </c>
      <c r="R107" s="203">
        <v>720561.36999999988</v>
      </c>
      <c r="S107" s="203">
        <v>70548.399999999994</v>
      </c>
      <c r="T107" s="203">
        <v>2442.06</v>
      </c>
      <c r="U107" s="203">
        <v>42680.49</v>
      </c>
      <c r="V107" s="203">
        <v>0</v>
      </c>
      <c r="W107" s="529">
        <v>134903.81109999999</v>
      </c>
      <c r="X107" s="564">
        <v>1283881.6499999999</v>
      </c>
      <c r="Y107" s="203">
        <v>1418785.4611</v>
      </c>
      <c r="Z107" s="203">
        <v>-189798.24110000022</v>
      </c>
      <c r="AA107" s="383">
        <f t="shared" si="1"/>
        <v>0</v>
      </c>
    </row>
    <row r="108" spans="3:27" ht="15">
      <c r="C108" s="431">
        <v>102</v>
      </c>
      <c r="D108" s="431">
        <v>172</v>
      </c>
      <c r="E108" s="443" t="s">
        <v>460</v>
      </c>
      <c r="F108" s="443" t="s">
        <v>959</v>
      </c>
      <c r="G108" s="203">
        <v>-47772.548264000012</v>
      </c>
      <c r="H108" s="457" t="s">
        <v>2509</v>
      </c>
      <c r="K108" s="431">
        <v>102</v>
      </c>
      <c r="L108" s="431">
        <v>172</v>
      </c>
      <c r="M108" s="431"/>
      <c r="N108" s="561" t="s">
        <v>460</v>
      </c>
      <c r="O108" s="565" t="s">
        <v>2214</v>
      </c>
      <c r="P108" s="563">
        <v>116263.85999999999</v>
      </c>
      <c r="Q108" s="203">
        <v>55951.07</v>
      </c>
      <c r="R108" s="203">
        <v>72158.53</v>
      </c>
      <c r="S108" s="203">
        <v>10324.209999999999</v>
      </c>
      <c r="T108" s="203">
        <v>2250.2000000000003</v>
      </c>
      <c r="U108" s="203">
        <v>0</v>
      </c>
      <c r="V108" s="203">
        <v>0</v>
      </c>
      <c r="W108" s="529">
        <v>23352.398263999996</v>
      </c>
      <c r="X108" s="564">
        <v>140684.01</v>
      </c>
      <c r="Y108" s="203">
        <v>164036.408264</v>
      </c>
      <c r="Z108" s="203">
        <v>-47772.548264000012</v>
      </c>
      <c r="AA108" s="383">
        <f t="shared" si="1"/>
        <v>0</v>
      </c>
    </row>
    <row r="109" spans="3:27" ht="15">
      <c r="C109" s="431">
        <v>103</v>
      </c>
      <c r="D109" s="431">
        <v>246</v>
      </c>
      <c r="E109" s="443" t="s">
        <v>596</v>
      </c>
      <c r="F109" s="443" t="s">
        <v>597</v>
      </c>
      <c r="G109" s="203">
        <v>-555.95962499999951</v>
      </c>
      <c r="H109" s="457" t="s">
        <v>2509</v>
      </c>
      <c r="K109" s="431">
        <v>103</v>
      </c>
      <c r="L109" s="431">
        <v>246</v>
      </c>
      <c r="M109" s="431"/>
      <c r="N109" s="561" t="s">
        <v>596</v>
      </c>
      <c r="O109" s="565" t="s">
        <v>2281</v>
      </c>
      <c r="P109" s="563">
        <v>26784.15</v>
      </c>
      <c r="Q109" s="203">
        <v>0</v>
      </c>
      <c r="R109" s="203">
        <v>1686.5</v>
      </c>
      <c r="S109" s="203">
        <v>0</v>
      </c>
      <c r="T109" s="203">
        <v>20839.75</v>
      </c>
      <c r="U109" s="203">
        <v>0</v>
      </c>
      <c r="V109" s="203">
        <v>0</v>
      </c>
      <c r="W109" s="529">
        <v>4813.8596250000001</v>
      </c>
      <c r="X109" s="564">
        <v>22526.25</v>
      </c>
      <c r="Y109" s="203">
        <v>27340.109625000001</v>
      </c>
      <c r="Z109" s="203">
        <v>-555.95962499999951</v>
      </c>
      <c r="AA109" s="383">
        <f t="shared" si="1"/>
        <v>0</v>
      </c>
    </row>
    <row r="110" spans="3:27" ht="15">
      <c r="C110" s="431">
        <v>104</v>
      </c>
      <c r="D110" s="431">
        <v>32</v>
      </c>
      <c r="E110" s="443" t="s">
        <v>218</v>
      </c>
      <c r="F110" s="443" t="s">
        <v>851</v>
      </c>
      <c r="G110" s="203">
        <v>-77471.357422000001</v>
      </c>
      <c r="H110" s="457" t="s">
        <v>2509</v>
      </c>
      <c r="K110" s="431">
        <v>104</v>
      </c>
      <c r="L110" s="431">
        <v>32</v>
      </c>
      <c r="M110" s="431"/>
      <c r="N110" s="561" t="s">
        <v>218</v>
      </c>
      <c r="O110" s="565" t="s">
        <v>2095</v>
      </c>
      <c r="P110" s="563">
        <v>64878.320000000007</v>
      </c>
      <c r="Q110" s="203">
        <v>59178.43</v>
      </c>
      <c r="R110" s="203">
        <v>62388.98</v>
      </c>
      <c r="S110" s="203">
        <v>3871.39</v>
      </c>
      <c r="T110" s="203">
        <v>970.45</v>
      </c>
      <c r="U110" s="203">
        <v>0</v>
      </c>
      <c r="V110" s="203">
        <v>0</v>
      </c>
      <c r="W110" s="529">
        <v>15940.427422000002</v>
      </c>
      <c r="X110" s="564">
        <v>126409.25</v>
      </c>
      <c r="Y110" s="203">
        <v>142349.67742200001</v>
      </c>
      <c r="Z110" s="203">
        <v>-77471.357422000001</v>
      </c>
      <c r="AA110" s="383">
        <f t="shared" si="1"/>
        <v>0</v>
      </c>
    </row>
    <row r="111" spans="3:27" ht="15">
      <c r="C111" s="431">
        <v>105</v>
      </c>
      <c r="D111" s="431">
        <v>279</v>
      </c>
      <c r="E111" s="443" t="s">
        <v>650</v>
      </c>
      <c r="F111" s="443" t="s">
        <v>1042</v>
      </c>
      <c r="G111" s="203">
        <v>-45641.71656000003</v>
      </c>
      <c r="H111" s="457" t="s">
        <v>2509</v>
      </c>
      <c r="K111" s="431">
        <v>105</v>
      </c>
      <c r="L111" s="431">
        <v>279</v>
      </c>
      <c r="M111" s="431"/>
      <c r="N111" s="561" t="s">
        <v>650</v>
      </c>
      <c r="O111" s="565" t="s">
        <v>2312</v>
      </c>
      <c r="P111" s="563">
        <v>271281.56</v>
      </c>
      <c r="Q111" s="203">
        <v>116528.21</v>
      </c>
      <c r="R111" s="203">
        <v>156288.82</v>
      </c>
      <c r="S111" s="203">
        <v>12070.02</v>
      </c>
      <c r="T111" s="203">
        <v>1775</v>
      </c>
      <c r="U111" s="203">
        <v>0</v>
      </c>
      <c r="V111" s="203">
        <v>-881.25</v>
      </c>
      <c r="W111" s="529">
        <v>31142.476559999999</v>
      </c>
      <c r="X111" s="564">
        <v>285780.80000000005</v>
      </c>
      <c r="Y111" s="203">
        <v>316923.27656000003</v>
      </c>
      <c r="Z111" s="203">
        <v>-45641.71656000003</v>
      </c>
      <c r="AA111" s="383">
        <f t="shared" si="1"/>
        <v>0</v>
      </c>
    </row>
    <row r="112" spans="3:27" ht="15">
      <c r="C112" s="431">
        <v>106</v>
      </c>
      <c r="D112" s="431">
        <v>169</v>
      </c>
      <c r="E112" s="443" t="s">
        <v>454</v>
      </c>
      <c r="F112" s="443" t="s">
        <v>956</v>
      </c>
      <c r="G112" s="203">
        <v>-93616.827196999948</v>
      </c>
      <c r="H112" s="457" t="s">
        <v>2509</v>
      </c>
      <c r="K112" s="431">
        <v>106</v>
      </c>
      <c r="L112" s="431">
        <v>169</v>
      </c>
      <c r="M112" s="431"/>
      <c r="N112" s="561" t="s">
        <v>454</v>
      </c>
      <c r="O112" s="565" t="s">
        <v>2211</v>
      </c>
      <c r="P112" s="563">
        <v>153513.53000000003</v>
      </c>
      <c r="Q112" s="203">
        <v>64151.77</v>
      </c>
      <c r="R112" s="203">
        <v>125380.57999999999</v>
      </c>
      <c r="S112" s="203">
        <v>16681.509999999998</v>
      </c>
      <c r="T112" s="203">
        <v>13890</v>
      </c>
      <c r="U112" s="203">
        <v>0</v>
      </c>
      <c r="V112" s="203">
        <v>0</v>
      </c>
      <c r="W112" s="529">
        <v>27026.497197000001</v>
      </c>
      <c r="X112" s="564">
        <v>220103.86</v>
      </c>
      <c r="Y112" s="203">
        <v>247130.35719699998</v>
      </c>
      <c r="Z112" s="203">
        <v>-93616.827196999948</v>
      </c>
      <c r="AA112" s="383">
        <f t="shared" si="1"/>
        <v>0</v>
      </c>
    </row>
    <row r="113" spans="3:27" ht="15">
      <c r="C113" s="431">
        <v>107</v>
      </c>
      <c r="D113" s="431">
        <v>323</v>
      </c>
      <c r="E113" s="443" t="s">
        <v>728</v>
      </c>
      <c r="F113" s="443" t="s">
        <v>1076</v>
      </c>
      <c r="G113" s="203">
        <v>-47179.567588000093</v>
      </c>
      <c r="H113" s="457" t="s">
        <v>2509</v>
      </c>
      <c r="K113" s="431">
        <v>107</v>
      </c>
      <c r="L113" s="431">
        <v>323</v>
      </c>
      <c r="M113" s="431"/>
      <c r="N113" s="561" t="s">
        <v>728</v>
      </c>
      <c r="O113" s="565" t="s">
        <v>2350</v>
      </c>
      <c r="P113" s="563">
        <v>853073.09</v>
      </c>
      <c r="Q113" s="203">
        <v>407942.82</v>
      </c>
      <c r="R113" s="203">
        <v>387646.26</v>
      </c>
      <c r="S113" s="203">
        <v>26690.36</v>
      </c>
      <c r="T113" s="203">
        <v>275</v>
      </c>
      <c r="U113" s="203">
        <v>0</v>
      </c>
      <c r="V113" s="203">
        <v>0</v>
      </c>
      <c r="W113" s="529">
        <v>77698.217588</v>
      </c>
      <c r="X113" s="564">
        <v>822554.44000000006</v>
      </c>
      <c r="Y113" s="203">
        <v>900252.65758800006</v>
      </c>
      <c r="Z113" s="203">
        <v>-47179.567588000093</v>
      </c>
      <c r="AA113" s="383">
        <f t="shared" si="1"/>
        <v>0</v>
      </c>
    </row>
    <row r="114" spans="3:27" ht="15">
      <c r="C114" s="431">
        <v>108</v>
      </c>
      <c r="D114" s="431">
        <v>101</v>
      </c>
      <c r="E114" s="443" t="s">
        <v>346</v>
      </c>
      <c r="F114" s="443" t="s">
        <v>910</v>
      </c>
      <c r="G114" s="203">
        <v>406071.86672499962</v>
      </c>
      <c r="H114" s="457" t="s">
        <v>2509</v>
      </c>
      <c r="K114" s="431">
        <v>108</v>
      </c>
      <c r="L114" s="431">
        <v>101</v>
      </c>
      <c r="M114" s="431"/>
      <c r="N114" s="561" t="s">
        <v>346</v>
      </c>
      <c r="O114" s="565" t="s">
        <v>2158</v>
      </c>
      <c r="P114" s="563">
        <v>10924366.460000001</v>
      </c>
      <c r="Q114" s="203">
        <v>4097946.73</v>
      </c>
      <c r="R114" s="203">
        <v>5265732.92</v>
      </c>
      <c r="S114" s="203">
        <v>432731.11</v>
      </c>
      <c r="T114" s="203">
        <v>68313.14</v>
      </c>
      <c r="U114" s="203">
        <v>0</v>
      </c>
      <c r="V114" s="203">
        <v>-21499.439999999999</v>
      </c>
      <c r="W114" s="529">
        <v>675070.13327499991</v>
      </c>
      <c r="X114" s="564">
        <v>9843224.4600000009</v>
      </c>
      <c r="Y114" s="203">
        <v>10518294.593275001</v>
      </c>
      <c r="Z114" s="203">
        <v>406071.86672499962</v>
      </c>
      <c r="AA114" s="383">
        <f t="shared" si="1"/>
        <v>0</v>
      </c>
    </row>
    <row r="115" spans="3:27" ht="15">
      <c r="C115" s="431">
        <v>109</v>
      </c>
      <c r="D115" s="431">
        <v>30</v>
      </c>
      <c r="E115" s="443" t="s">
        <v>215</v>
      </c>
      <c r="F115" s="443" t="s">
        <v>850</v>
      </c>
      <c r="G115" s="203">
        <v>-48547.466496000066</v>
      </c>
      <c r="H115" s="457" t="s">
        <v>2509</v>
      </c>
      <c r="K115" s="431">
        <v>109</v>
      </c>
      <c r="L115" s="431">
        <v>30</v>
      </c>
      <c r="M115" s="431" t="s">
        <v>2596</v>
      </c>
      <c r="N115" s="561" t="s">
        <v>215</v>
      </c>
      <c r="O115" s="565" t="s">
        <v>2093</v>
      </c>
      <c r="P115" s="563">
        <v>861610.54999999993</v>
      </c>
      <c r="Q115" s="566">
        <v>381473.06</v>
      </c>
      <c r="R115" s="566">
        <v>394390</v>
      </c>
      <c r="S115" s="566">
        <v>-100</v>
      </c>
      <c r="T115" s="566">
        <v>68981.079999999958</v>
      </c>
      <c r="U115" s="566">
        <v>0</v>
      </c>
      <c r="V115" s="566"/>
      <c r="W115" s="568">
        <v>65413.87649599999</v>
      </c>
      <c r="X115" s="564">
        <v>844744.14</v>
      </c>
      <c r="Y115" s="203">
        <v>910158.016496</v>
      </c>
      <c r="Z115" s="203">
        <v>-48547.466496000066</v>
      </c>
      <c r="AA115" s="383">
        <f t="shared" si="1"/>
        <v>0</v>
      </c>
    </row>
    <row r="116" spans="3:27" ht="15">
      <c r="C116" s="431">
        <v>110</v>
      </c>
      <c r="D116" s="431">
        <v>177</v>
      </c>
      <c r="E116" s="443" t="s">
        <v>470</v>
      </c>
      <c r="F116" s="443" t="s">
        <v>964</v>
      </c>
      <c r="G116" s="203">
        <v>-108316.67852800013</v>
      </c>
      <c r="H116" s="457" t="s">
        <v>2509</v>
      </c>
      <c r="K116" s="431">
        <v>110</v>
      </c>
      <c r="L116" s="431">
        <v>177</v>
      </c>
      <c r="M116" s="431"/>
      <c r="N116" s="561" t="s">
        <v>470</v>
      </c>
      <c r="O116" s="565" t="s">
        <v>2219</v>
      </c>
      <c r="P116" s="563">
        <v>335984.36999999994</v>
      </c>
      <c r="Q116" s="203">
        <v>148798.89000000001</v>
      </c>
      <c r="R116" s="203">
        <v>225309.52</v>
      </c>
      <c r="S116" s="203">
        <v>16122.39</v>
      </c>
      <c r="T116" s="203">
        <v>2522.65</v>
      </c>
      <c r="U116" s="203">
        <v>0</v>
      </c>
      <c r="V116" s="203">
        <v>0</v>
      </c>
      <c r="W116" s="529">
        <v>51547.598527999988</v>
      </c>
      <c r="X116" s="564">
        <v>392753.45000000007</v>
      </c>
      <c r="Y116" s="203">
        <v>444301.04852800007</v>
      </c>
      <c r="Z116" s="203">
        <v>-108316.67852800013</v>
      </c>
      <c r="AA116" s="383">
        <f t="shared" si="1"/>
        <v>0</v>
      </c>
    </row>
    <row r="117" spans="3:27" ht="15">
      <c r="C117" s="431">
        <v>111</v>
      </c>
      <c r="D117" s="431">
        <v>77</v>
      </c>
      <c r="E117" s="443" t="s">
        <v>299</v>
      </c>
      <c r="F117" s="443" t="s">
        <v>888</v>
      </c>
      <c r="G117" s="203">
        <v>-50395.53416500031</v>
      </c>
      <c r="H117" s="457" t="s">
        <v>2509</v>
      </c>
      <c r="K117" s="431">
        <v>111</v>
      </c>
      <c r="L117" s="431">
        <v>77</v>
      </c>
      <c r="M117" s="431"/>
      <c r="N117" s="561" t="s">
        <v>299</v>
      </c>
      <c r="O117" s="565" t="s">
        <v>2134</v>
      </c>
      <c r="P117" s="563">
        <v>1550975.28</v>
      </c>
      <c r="Q117" s="203">
        <v>557072.31000000006</v>
      </c>
      <c r="R117" s="203">
        <v>754846.68</v>
      </c>
      <c r="S117" s="203">
        <v>28675.269999999997</v>
      </c>
      <c r="T117" s="203">
        <v>27011.42</v>
      </c>
      <c r="U117" s="203">
        <v>68011.06</v>
      </c>
      <c r="V117" s="203">
        <v>0</v>
      </c>
      <c r="W117" s="529">
        <v>165754.074165</v>
      </c>
      <c r="X117" s="564">
        <v>1435616.7400000002</v>
      </c>
      <c r="Y117" s="203">
        <v>1601370.8141650003</v>
      </c>
      <c r="Z117" s="203">
        <v>-50395.53416500031</v>
      </c>
      <c r="AA117" s="383">
        <f t="shared" si="1"/>
        <v>0</v>
      </c>
    </row>
    <row r="118" spans="3:27" ht="15">
      <c r="C118" s="431">
        <v>112</v>
      </c>
      <c r="D118" s="431">
        <v>125</v>
      </c>
      <c r="E118" s="445" t="s">
        <v>2364</v>
      </c>
      <c r="F118" s="453" t="s">
        <v>2454</v>
      </c>
      <c r="G118" s="203">
        <v>-11759.256852000006</v>
      </c>
      <c r="H118" s="457" t="s">
        <v>2509</v>
      </c>
      <c r="K118" s="431">
        <v>112</v>
      </c>
      <c r="L118" s="431">
        <v>125</v>
      </c>
      <c r="M118" s="431"/>
      <c r="N118" s="561" t="s">
        <v>2364</v>
      </c>
      <c r="O118" s="585" t="s">
        <v>2454</v>
      </c>
      <c r="P118" s="563">
        <v>82138.78</v>
      </c>
      <c r="Q118" s="203">
        <v>91037.95</v>
      </c>
      <c r="R118" s="203">
        <v>0</v>
      </c>
      <c r="S118" s="203">
        <v>2348.5500000000002</v>
      </c>
      <c r="T118" s="203">
        <v>157.66</v>
      </c>
      <c r="U118" s="203">
        <v>0</v>
      </c>
      <c r="V118" s="203">
        <v>0</v>
      </c>
      <c r="W118" s="529">
        <v>353.87685199999999</v>
      </c>
      <c r="X118" s="564">
        <v>93544.16</v>
      </c>
      <c r="Y118" s="203">
        <v>93898.036852000005</v>
      </c>
      <c r="Z118" s="203">
        <v>-11759.256852000006</v>
      </c>
      <c r="AA118" s="383">
        <f t="shared" si="1"/>
        <v>0</v>
      </c>
    </row>
    <row r="119" spans="3:27" ht="15">
      <c r="C119" s="431">
        <v>113</v>
      </c>
      <c r="D119" s="431">
        <v>122</v>
      </c>
      <c r="E119" s="443" t="s">
        <v>1554</v>
      </c>
      <c r="F119" s="443" t="s">
        <v>1650</v>
      </c>
      <c r="G119" s="203">
        <v>-5507.4399999999441</v>
      </c>
      <c r="H119" s="457" t="s">
        <v>2509</v>
      </c>
      <c r="K119" s="431">
        <v>113</v>
      </c>
      <c r="L119" s="431">
        <v>122</v>
      </c>
      <c r="M119" s="431" t="s">
        <v>2596</v>
      </c>
      <c r="N119" s="561" t="s">
        <v>1554</v>
      </c>
      <c r="O119" s="565" t="s">
        <v>2602</v>
      </c>
      <c r="P119" s="563">
        <v>407185.86</v>
      </c>
      <c r="Q119" s="567">
        <v>375225.16</v>
      </c>
      <c r="R119" s="566">
        <v>20459.560000000001</v>
      </c>
      <c r="S119" s="567">
        <v>15383.52</v>
      </c>
      <c r="T119" s="566">
        <v>1625.0599999999417</v>
      </c>
      <c r="U119" s="566">
        <v>0</v>
      </c>
      <c r="V119" s="566"/>
      <c r="W119" s="568">
        <v>0</v>
      </c>
      <c r="X119" s="564">
        <v>412693.29999999993</v>
      </c>
      <c r="Y119" s="203">
        <v>412693.29999999993</v>
      </c>
      <c r="Z119" s="203">
        <v>-5507.4399999999441</v>
      </c>
      <c r="AA119" s="383">
        <f t="shared" si="1"/>
        <v>0</v>
      </c>
    </row>
    <row r="120" spans="3:27" ht="15">
      <c r="C120" s="431">
        <v>114</v>
      </c>
      <c r="D120" s="431">
        <v>123</v>
      </c>
      <c r="E120" s="443" t="s">
        <v>1625</v>
      </c>
      <c r="F120" s="443" t="s">
        <v>1641</v>
      </c>
      <c r="G120" s="203">
        <v>-2987.609552000009</v>
      </c>
      <c r="H120" s="457" t="s">
        <v>2509</v>
      </c>
      <c r="K120" s="431">
        <v>114</v>
      </c>
      <c r="L120" s="431">
        <v>123</v>
      </c>
      <c r="M120" s="431" t="s">
        <v>2596</v>
      </c>
      <c r="N120" s="561" t="s">
        <v>1625</v>
      </c>
      <c r="O120" s="565" t="s">
        <v>2174</v>
      </c>
      <c r="P120" s="563">
        <v>271784.38</v>
      </c>
      <c r="Q120" s="567">
        <v>255062.37</v>
      </c>
      <c r="R120" s="566">
        <v>10593.5</v>
      </c>
      <c r="S120" s="567">
        <v>5201.0200000000004</v>
      </c>
      <c r="T120" s="566">
        <v>1476.44</v>
      </c>
      <c r="U120" s="566">
        <v>0</v>
      </c>
      <c r="V120" s="566"/>
      <c r="W120" s="568">
        <v>2438.6595519999996</v>
      </c>
      <c r="X120" s="564">
        <v>272333.33</v>
      </c>
      <c r="Y120" s="203">
        <v>274771.98955200001</v>
      </c>
      <c r="Z120" s="203">
        <v>-2987.609552000009</v>
      </c>
      <c r="AA120" s="383">
        <f t="shared" si="1"/>
        <v>0</v>
      </c>
    </row>
    <row r="121" spans="3:27" ht="15">
      <c r="C121" s="431">
        <v>115</v>
      </c>
      <c r="D121" s="431">
        <v>212</v>
      </c>
      <c r="E121" s="443" t="s">
        <v>1687</v>
      </c>
      <c r="F121" s="443" t="s">
        <v>2054</v>
      </c>
      <c r="G121" s="203">
        <v>-17136.269883999979</v>
      </c>
      <c r="H121" s="457" t="s">
        <v>2509</v>
      </c>
      <c r="K121" s="431">
        <v>115</v>
      </c>
      <c r="L121" s="431">
        <v>212</v>
      </c>
      <c r="M121" s="431" t="s">
        <v>2596</v>
      </c>
      <c r="N121" s="561" t="s">
        <v>1687</v>
      </c>
      <c r="O121" s="565" t="s">
        <v>2604</v>
      </c>
      <c r="P121" s="563">
        <v>206488.8</v>
      </c>
      <c r="Q121" s="567">
        <v>203568.4</v>
      </c>
      <c r="R121" s="566">
        <v>12435.85</v>
      </c>
      <c r="S121" s="567">
        <v>3083.68</v>
      </c>
      <c r="T121" s="566">
        <v>2055.5399999999709</v>
      </c>
      <c r="U121" s="566">
        <v>0</v>
      </c>
      <c r="V121" s="566"/>
      <c r="W121" s="568">
        <v>2481.5998839999957</v>
      </c>
      <c r="X121" s="564">
        <v>221143.46999999997</v>
      </c>
      <c r="Y121" s="203">
        <v>223625.06988399997</v>
      </c>
      <c r="Z121" s="203">
        <v>-17136.269883999979</v>
      </c>
      <c r="AA121" s="383">
        <f t="shared" si="1"/>
        <v>0</v>
      </c>
    </row>
    <row r="122" spans="3:27" ht="15">
      <c r="C122" s="431">
        <v>116</v>
      </c>
      <c r="D122" s="431">
        <v>58</v>
      </c>
      <c r="E122" s="443" t="s">
        <v>263</v>
      </c>
      <c r="F122" s="443" t="s">
        <v>872</v>
      </c>
      <c r="G122" s="203">
        <v>-192754.01928800001</v>
      </c>
      <c r="H122" s="457" t="s">
        <v>2509</v>
      </c>
      <c r="K122" s="431">
        <v>116</v>
      </c>
      <c r="L122" s="431">
        <v>58</v>
      </c>
      <c r="M122" s="431"/>
      <c r="N122" s="561" t="s">
        <v>263</v>
      </c>
      <c r="O122" s="582" t="s">
        <v>2117</v>
      </c>
      <c r="P122" s="563">
        <v>119292.17</v>
      </c>
      <c r="Q122" s="203">
        <v>59427.22</v>
      </c>
      <c r="R122" s="203">
        <v>155079.44</v>
      </c>
      <c r="S122" s="203">
        <v>7491.92</v>
      </c>
      <c r="T122" s="203">
        <v>22267.279999999999</v>
      </c>
      <c r="U122" s="203">
        <v>0</v>
      </c>
      <c r="V122" s="203">
        <v>0</v>
      </c>
      <c r="W122" s="529">
        <v>67780.329288000008</v>
      </c>
      <c r="X122" s="564">
        <v>244265.86000000002</v>
      </c>
      <c r="Y122" s="203">
        <v>312046.18928799999</v>
      </c>
      <c r="Z122" s="203">
        <v>-192754.01928800001</v>
      </c>
      <c r="AA122" s="383">
        <f t="shared" si="1"/>
        <v>0</v>
      </c>
    </row>
    <row r="123" spans="3:27" ht="15">
      <c r="C123" s="431">
        <v>117</v>
      </c>
      <c r="D123" s="431">
        <v>236</v>
      </c>
      <c r="E123" s="443" t="s">
        <v>576</v>
      </c>
      <c r="F123" s="443" t="s">
        <v>1010</v>
      </c>
      <c r="G123" s="203">
        <v>1685.4091500000031</v>
      </c>
      <c r="H123" s="457" t="s">
        <v>2509</v>
      </c>
      <c r="K123" s="431">
        <v>117</v>
      </c>
      <c r="L123" s="431">
        <v>236</v>
      </c>
      <c r="M123" s="431"/>
      <c r="N123" s="561" t="s">
        <v>576</v>
      </c>
      <c r="O123" s="565" t="s">
        <v>2272</v>
      </c>
      <c r="P123" s="563">
        <v>27591.63</v>
      </c>
      <c r="Q123" s="203">
        <v>14907.65</v>
      </c>
      <c r="R123" s="203">
        <v>6629.4</v>
      </c>
      <c r="S123" s="203">
        <v>662.46</v>
      </c>
      <c r="T123" s="203">
        <v>440</v>
      </c>
      <c r="U123" s="203">
        <v>0</v>
      </c>
      <c r="V123" s="203">
        <v>0</v>
      </c>
      <c r="W123" s="529">
        <v>3266.7108499999999</v>
      </c>
      <c r="X123" s="564">
        <v>22639.51</v>
      </c>
      <c r="Y123" s="203">
        <v>25906.220849999998</v>
      </c>
      <c r="Z123" s="203">
        <v>1685.4091500000031</v>
      </c>
      <c r="AA123" s="383">
        <f t="shared" si="1"/>
        <v>0</v>
      </c>
    </row>
    <row r="124" spans="3:27" ht="15">
      <c r="C124" s="431">
        <v>118</v>
      </c>
      <c r="D124" s="431">
        <v>111</v>
      </c>
      <c r="E124" s="443" t="s">
        <v>364</v>
      </c>
      <c r="F124" s="443" t="s">
        <v>920</v>
      </c>
      <c r="G124" s="203">
        <v>-689455.69498999789</v>
      </c>
      <c r="H124" s="457" t="s">
        <v>2509</v>
      </c>
      <c r="K124" s="431">
        <v>118</v>
      </c>
      <c r="L124" s="431">
        <v>111</v>
      </c>
      <c r="M124" s="431"/>
      <c r="N124" s="561" t="s">
        <v>364</v>
      </c>
      <c r="O124" s="565" t="s">
        <v>2168</v>
      </c>
      <c r="P124" s="563">
        <v>7233536.3700000001</v>
      </c>
      <c r="Q124" s="203">
        <v>2684417.3899999997</v>
      </c>
      <c r="R124" s="203">
        <v>5003076.68</v>
      </c>
      <c r="S124" s="203">
        <v>244360.35</v>
      </c>
      <c r="T124" s="203">
        <v>194766.85000000003</v>
      </c>
      <c r="U124" s="203">
        <v>3840.66</v>
      </c>
      <c r="V124" s="203">
        <v>-499112.27</v>
      </c>
      <c r="W124" s="529">
        <v>291642.40498999995</v>
      </c>
      <c r="X124" s="564">
        <v>7631349.6599999983</v>
      </c>
      <c r="Y124" s="203">
        <v>7922992.064989998</v>
      </c>
      <c r="Z124" s="203">
        <v>-689455.69498999789</v>
      </c>
      <c r="AA124" s="383">
        <f t="shared" si="1"/>
        <v>0</v>
      </c>
    </row>
    <row r="125" spans="3:27" ht="15">
      <c r="C125" s="431">
        <v>119</v>
      </c>
      <c r="D125" s="431">
        <v>63</v>
      </c>
      <c r="E125" s="443" t="s">
        <v>273</v>
      </c>
      <c r="F125" s="443" t="s">
        <v>876</v>
      </c>
      <c r="G125" s="203">
        <v>-25271.291759999993</v>
      </c>
      <c r="H125" s="457" t="s">
        <v>2509</v>
      </c>
      <c r="K125" s="431">
        <v>119</v>
      </c>
      <c r="L125" s="431">
        <v>63</v>
      </c>
      <c r="M125" s="431"/>
      <c r="N125" s="561" t="s">
        <v>273</v>
      </c>
      <c r="O125" s="565" t="s">
        <v>2121</v>
      </c>
      <c r="P125" s="563">
        <v>52745.66</v>
      </c>
      <c r="Q125" s="203">
        <v>19816.71</v>
      </c>
      <c r="R125" s="203">
        <v>42433.82</v>
      </c>
      <c r="S125" s="203">
        <v>2576.73</v>
      </c>
      <c r="T125" s="203">
        <v>345</v>
      </c>
      <c r="U125" s="203">
        <v>0</v>
      </c>
      <c r="V125" s="203">
        <v>0</v>
      </c>
      <c r="W125" s="529">
        <v>12844.691760000002</v>
      </c>
      <c r="X125" s="564">
        <v>65172.26</v>
      </c>
      <c r="Y125" s="203">
        <v>78016.951759999996</v>
      </c>
      <c r="Z125" s="203">
        <v>-25271.291759999993</v>
      </c>
      <c r="AA125" s="383">
        <f t="shared" si="1"/>
        <v>0</v>
      </c>
    </row>
    <row r="126" spans="3:27" ht="15">
      <c r="C126" s="431">
        <v>120</v>
      </c>
      <c r="D126" s="431">
        <v>46</v>
      </c>
      <c r="E126" s="443" t="s">
        <v>239</v>
      </c>
      <c r="F126" s="443" t="s">
        <v>860</v>
      </c>
      <c r="G126" s="203">
        <v>-260798.46271400002</v>
      </c>
      <c r="H126" s="457" t="s">
        <v>2509</v>
      </c>
      <c r="K126" s="431">
        <v>120</v>
      </c>
      <c r="L126" s="431">
        <v>46</v>
      </c>
      <c r="M126" s="431" t="s">
        <v>2596</v>
      </c>
      <c r="N126" s="561" t="s">
        <v>239</v>
      </c>
      <c r="O126" s="565" t="s">
        <v>2598</v>
      </c>
      <c r="P126" s="563">
        <v>386268.75</v>
      </c>
      <c r="Q126" s="566">
        <v>207621.02</v>
      </c>
      <c r="R126" s="566">
        <v>374067.54000000004</v>
      </c>
      <c r="S126" s="566">
        <v>2512.58</v>
      </c>
      <c r="T126" s="566">
        <v>756.47000000000116</v>
      </c>
      <c r="U126" s="566">
        <v>0</v>
      </c>
      <c r="V126" s="566"/>
      <c r="W126" s="568">
        <v>62109.602714000015</v>
      </c>
      <c r="X126" s="564">
        <v>584957.61</v>
      </c>
      <c r="Y126" s="203">
        <v>647067.21271400002</v>
      </c>
      <c r="Z126" s="203">
        <v>-260798.46271400002</v>
      </c>
      <c r="AA126" s="383">
        <f t="shared" si="1"/>
        <v>0</v>
      </c>
    </row>
    <row r="127" spans="3:27" ht="15">
      <c r="C127" s="431">
        <v>121</v>
      </c>
      <c r="D127" s="431">
        <v>55</v>
      </c>
      <c r="E127" s="443" t="s">
        <v>257</v>
      </c>
      <c r="F127" s="443" t="s">
        <v>869</v>
      </c>
      <c r="G127" s="203">
        <v>-105142.37106999999</v>
      </c>
      <c r="H127" s="457" t="s">
        <v>2509</v>
      </c>
      <c r="K127" s="431">
        <v>121</v>
      </c>
      <c r="L127" s="431">
        <v>55</v>
      </c>
      <c r="M127" s="431"/>
      <c r="N127" s="561" t="s">
        <v>257</v>
      </c>
      <c r="O127" s="565" t="s">
        <v>2114</v>
      </c>
      <c r="P127" s="563">
        <v>50329.440000000002</v>
      </c>
      <c r="Q127" s="203">
        <v>31220.34</v>
      </c>
      <c r="R127" s="203">
        <v>81399.570000000007</v>
      </c>
      <c r="S127" s="203">
        <v>1222.6099999999999</v>
      </c>
      <c r="T127" s="203">
        <v>533.66999999999996</v>
      </c>
      <c r="U127" s="203">
        <v>0</v>
      </c>
      <c r="V127" s="203">
        <v>0</v>
      </c>
      <c r="W127" s="529">
        <v>41095.621070000001</v>
      </c>
      <c r="X127" s="564">
        <v>114376.19</v>
      </c>
      <c r="Y127" s="203">
        <v>155471.81107</v>
      </c>
      <c r="Z127" s="203">
        <v>-105142.37106999999</v>
      </c>
      <c r="AA127" s="383">
        <f t="shared" si="1"/>
        <v>0</v>
      </c>
    </row>
    <row r="128" spans="3:27" ht="15">
      <c r="C128" s="431">
        <v>122</v>
      </c>
      <c r="D128" s="431">
        <v>48</v>
      </c>
      <c r="E128" s="443" t="s">
        <v>243</v>
      </c>
      <c r="F128" s="443" t="s">
        <v>862</v>
      </c>
      <c r="G128" s="203">
        <v>-352593.12364799995</v>
      </c>
      <c r="H128" s="457" t="s">
        <v>2509</v>
      </c>
      <c r="K128" s="431">
        <v>122</v>
      </c>
      <c r="L128" s="431">
        <v>48</v>
      </c>
      <c r="M128" s="431"/>
      <c r="N128" s="561" t="s">
        <v>243</v>
      </c>
      <c r="O128" s="565" t="s">
        <v>2107</v>
      </c>
      <c r="P128" s="563">
        <v>3837442.99</v>
      </c>
      <c r="Q128" s="203">
        <v>1716376.59</v>
      </c>
      <c r="R128" s="203">
        <v>1779857.29</v>
      </c>
      <c r="S128" s="203">
        <v>225248.26</v>
      </c>
      <c r="T128" s="203">
        <v>43100.49</v>
      </c>
      <c r="U128" s="203">
        <v>0</v>
      </c>
      <c r="V128" s="203">
        <v>-4534.92</v>
      </c>
      <c r="W128" s="529">
        <v>429988.40364800004</v>
      </c>
      <c r="X128" s="564">
        <v>3760047.71</v>
      </c>
      <c r="Y128" s="203">
        <v>4190036.1136480002</v>
      </c>
      <c r="Z128" s="203">
        <v>-352593.12364799995</v>
      </c>
      <c r="AA128" s="383">
        <f t="shared" si="1"/>
        <v>0</v>
      </c>
    </row>
    <row r="129" spans="3:27" ht="15">
      <c r="C129" s="431">
        <v>123</v>
      </c>
      <c r="D129" s="431">
        <v>8</v>
      </c>
      <c r="E129" s="443" t="s">
        <v>177</v>
      </c>
      <c r="F129" s="443" t="s">
        <v>833</v>
      </c>
      <c r="G129" s="203">
        <v>1166474.2386249993</v>
      </c>
      <c r="H129" s="457" t="s">
        <v>2509</v>
      </c>
      <c r="K129" s="431">
        <v>123</v>
      </c>
      <c r="L129" s="431">
        <v>8</v>
      </c>
      <c r="M129" s="431" t="s">
        <v>2596</v>
      </c>
      <c r="N129" s="561" t="s">
        <v>177</v>
      </c>
      <c r="O129" s="565" t="s">
        <v>2074</v>
      </c>
      <c r="P129" s="563">
        <v>14149279.66</v>
      </c>
      <c r="Q129" s="566">
        <v>4441942.4400000004</v>
      </c>
      <c r="R129" s="566">
        <v>6414602.9100000001</v>
      </c>
      <c r="S129" s="566">
        <v>310801.49</v>
      </c>
      <c r="T129" s="567">
        <v>896113.35</v>
      </c>
      <c r="U129" s="567">
        <v>33249.160000000003</v>
      </c>
      <c r="V129" s="567">
        <v>-59866.5</v>
      </c>
      <c r="W129" s="568">
        <v>945962.57137499994</v>
      </c>
      <c r="X129" s="564">
        <v>12036842.850000001</v>
      </c>
      <c r="Y129" s="203">
        <v>12982805.421375001</v>
      </c>
      <c r="Z129" s="203">
        <v>1166474.2386249993</v>
      </c>
      <c r="AA129" s="383">
        <f t="shared" si="1"/>
        <v>0</v>
      </c>
    </row>
    <row r="130" spans="3:27" ht="15">
      <c r="C130" s="431">
        <v>124</v>
      </c>
      <c r="D130" s="431">
        <v>114</v>
      </c>
      <c r="E130" s="443" t="s">
        <v>370</v>
      </c>
      <c r="F130" s="443" t="s">
        <v>923</v>
      </c>
      <c r="G130" s="203">
        <v>-516938.01674799807</v>
      </c>
      <c r="H130" s="457" t="s">
        <v>2509</v>
      </c>
      <c r="K130" s="431">
        <v>124</v>
      </c>
      <c r="L130" s="431">
        <v>114</v>
      </c>
      <c r="M130" s="431"/>
      <c r="N130" s="561" t="s">
        <v>370</v>
      </c>
      <c r="O130" s="565" t="s">
        <v>2171</v>
      </c>
      <c r="P130" s="563">
        <v>14048702.380000001</v>
      </c>
      <c r="Q130" s="203">
        <v>5451818</v>
      </c>
      <c r="R130" s="203">
        <v>6987810.0800000001</v>
      </c>
      <c r="S130" s="203">
        <v>695715.37</v>
      </c>
      <c r="T130" s="203">
        <v>373419.44</v>
      </c>
      <c r="U130" s="203">
        <v>0</v>
      </c>
      <c r="V130" s="203">
        <v>-190707.71</v>
      </c>
      <c r="W130" s="529">
        <v>1247585.2167480001</v>
      </c>
      <c r="X130" s="564">
        <v>13318055.179999998</v>
      </c>
      <c r="Y130" s="203">
        <v>14565640.396747999</v>
      </c>
      <c r="Z130" s="203">
        <v>-516938.01674799807</v>
      </c>
      <c r="AA130" s="383">
        <f t="shared" si="1"/>
        <v>0</v>
      </c>
    </row>
    <row r="131" spans="3:27" ht="15">
      <c r="C131" s="431">
        <v>125</v>
      </c>
      <c r="D131" s="431">
        <v>273</v>
      </c>
      <c r="E131" s="443" t="s">
        <v>638</v>
      </c>
      <c r="F131" s="443" t="s">
        <v>1036</v>
      </c>
      <c r="G131" s="203">
        <v>-120336.1192529999</v>
      </c>
      <c r="H131" s="457" t="s">
        <v>2509</v>
      </c>
      <c r="K131" s="431">
        <v>125</v>
      </c>
      <c r="L131" s="431">
        <v>273</v>
      </c>
      <c r="M131" s="431"/>
      <c r="N131" s="561" t="s">
        <v>638</v>
      </c>
      <c r="O131" s="582" t="s">
        <v>2306</v>
      </c>
      <c r="P131" s="563">
        <v>619610.18000000005</v>
      </c>
      <c r="Q131" s="203">
        <v>366650.02</v>
      </c>
      <c r="R131" s="203">
        <v>270909.69</v>
      </c>
      <c r="S131" s="203">
        <v>15161.11</v>
      </c>
      <c r="T131" s="203">
        <v>9515.77</v>
      </c>
      <c r="U131" s="203">
        <v>0</v>
      </c>
      <c r="V131" s="203">
        <v>0</v>
      </c>
      <c r="W131" s="529">
        <v>77709.709253000008</v>
      </c>
      <c r="X131" s="564">
        <v>662236.59</v>
      </c>
      <c r="Y131" s="203">
        <v>739946.29925299995</v>
      </c>
      <c r="Z131" s="203">
        <v>-120336.1192529999</v>
      </c>
      <c r="AA131" s="383">
        <f t="shared" si="1"/>
        <v>0</v>
      </c>
    </row>
    <row r="132" spans="3:27" ht="15">
      <c r="C132" s="431">
        <v>126</v>
      </c>
      <c r="D132" s="431">
        <v>10</v>
      </c>
      <c r="E132" s="443" t="s">
        <v>181</v>
      </c>
      <c r="F132" s="443" t="s">
        <v>1662</v>
      </c>
      <c r="G132" s="203">
        <v>-184574.40208000026</v>
      </c>
      <c r="H132" s="457" t="s">
        <v>2509</v>
      </c>
      <c r="K132" s="431">
        <v>126</v>
      </c>
      <c r="L132" s="431">
        <v>10</v>
      </c>
      <c r="M132" s="431"/>
      <c r="N132" s="561" t="s">
        <v>181</v>
      </c>
      <c r="O132" s="565" t="s">
        <v>2076</v>
      </c>
      <c r="P132" s="563">
        <v>1017936.2599999999</v>
      </c>
      <c r="Q132" s="203">
        <v>494371.59</v>
      </c>
      <c r="R132" s="203">
        <v>557969.82000000007</v>
      </c>
      <c r="S132" s="203">
        <v>28938.21</v>
      </c>
      <c r="T132" s="203">
        <v>3798.5699999999997</v>
      </c>
      <c r="U132" s="203">
        <v>0</v>
      </c>
      <c r="V132" s="203">
        <v>0</v>
      </c>
      <c r="W132" s="529">
        <v>117432.47207999999</v>
      </c>
      <c r="X132" s="564">
        <v>1085078.1900000002</v>
      </c>
      <c r="Y132" s="203">
        <v>1202510.6620800002</v>
      </c>
      <c r="Z132" s="203">
        <v>-184574.40208000026</v>
      </c>
      <c r="AA132" s="383">
        <f t="shared" si="1"/>
        <v>0</v>
      </c>
    </row>
    <row r="133" spans="3:27" ht="15">
      <c r="C133" s="431">
        <v>127</v>
      </c>
      <c r="D133" s="431">
        <v>138</v>
      </c>
      <c r="E133" s="443" t="s">
        <v>392</v>
      </c>
      <c r="F133" s="443" t="s">
        <v>932</v>
      </c>
      <c r="G133" s="203">
        <v>-151439.62629499997</v>
      </c>
      <c r="H133" s="457" t="s">
        <v>2509</v>
      </c>
      <c r="K133" s="431">
        <v>127</v>
      </c>
      <c r="L133" s="431">
        <v>138</v>
      </c>
      <c r="M133" s="431"/>
      <c r="N133" s="561" t="s">
        <v>392</v>
      </c>
      <c r="O133" s="565" t="s">
        <v>2185</v>
      </c>
      <c r="P133" s="563">
        <v>336261.02</v>
      </c>
      <c r="Q133" s="203">
        <v>157974.32</v>
      </c>
      <c r="R133" s="203">
        <v>164397.15</v>
      </c>
      <c r="S133" s="203">
        <v>10239.9</v>
      </c>
      <c r="T133" s="203">
        <v>2835</v>
      </c>
      <c r="U133" s="203">
        <v>104354.57</v>
      </c>
      <c r="V133" s="203">
        <v>0</v>
      </c>
      <c r="W133" s="529">
        <v>47899.706294999989</v>
      </c>
      <c r="X133" s="564">
        <v>439800.94</v>
      </c>
      <c r="Y133" s="203">
        <v>487700.64629499998</v>
      </c>
      <c r="Z133" s="203">
        <v>-151439.62629499997</v>
      </c>
      <c r="AA133" s="383">
        <f t="shared" si="1"/>
        <v>0</v>
      </c>
    </row>
    <row r="134" spans="3:27" ht="15">
      <c r="C134" s="431">
        <v>128</v>
      </c>
      <c r="D134" s="431">
        <v>145</v>
      </c>
      <c r="E134" s="443" t="s">
        <v>406</v>
      </c>
      <c r="F134" s="443" t="s">
        <v>407</v>
      </c>
      <c r="G134" s="203">
        <v>-47835.834713000033</v>
      </c>
      <c r="H134" s="457" t="s">
        <v>2509</v>
      </c>
      <c r="K134" s="431">
        <v>128</v>
      </c>
      <c r="L134" s="431">
        <v>145</v>
      </c>
      <c r="M134" s="431"/>
      <c r="N134" s="561" t="s">
        <v>406</v>
      </c>
      <c r="O134" s="565" t="s">
        <v>2190</v>
      </c>
      <c r="P134" s="563">
        <v>107696.17</v>
      </c>
      <c r="Q134" s="203">
        <v>43531.41</v>
      </c>
      <c r="R134" s="203">
        <v>79211.88</v>
      </c>
      <c r="S134" s="203">
        <v>1746.72</v>
      </c>
      <c r="T134" s="203">
        <v>14207.17</v>
      </c>
      <c r="U134" s="203">
        <v>0</v>
      </c>
      <c r="V134" s="203">
        <v>0</v>
      </c>
      <c r="W134" s="529">
        <v>16834.824713000002</v>
      </c>
      <c r="X134" s="564">
        <v>138697.18000000002</v>
      </c>
      <c r="Y134" s="203">
        <v>155532.00471300003</v>
      </c>
      <c r="Z134" s="203">
        <v>-47835.834713000033</v>
      </c>
      <c r="AA134" s="383">
        <f t="shared" si="1"/>
        <v>0</v>
      </c>
    </row>
    <row r="135" spans="3:27" ht="15">
      <c r="C135" s="431">
        <v>129</v>
      </c>
      <c r="D135" s="431">
        <v>222</v>
      </c>
      <c r="E135" s="443" t="s">
        <v>550</v>
      </c>
      <c r="F135" s="443" t="s">
        <v>1000</v>
      </c>
      <c r="G135" s="203">
        <v>-133906.41420799989</v>
      </c>
      <c r="H135" s="457" t="s">
        <v>2509</v>
      </c>
      <c r="K135" s="431">
        <v>129</v>
      </c>
      <c r="L135" s="431">
        <v>222</v>
      </c>
      <c r="M135" s="431"/>
      <c r="N135" s="561" t="s">
        <v>550</v>
      </c>
      <c r="O135" s="565" t="s">
        <v>2260</v>
      </c>
      <c r="P135" s="563">
        <v>424531.67</v>
      </c>
      <c r="Q135" s="203">
        <v>170539.72</v>
      </c>
      <c r="R135" s="203">
        <v>290743.36</v>
      </c>
      <c r="S135" s="203">
        <v>17670.57</v>
      </c>
      <c r="T135" s="203">
        <v>4188.79</v>
      </c>
      <c r="U135" s="203">
        <v>13900.47</v>
      </c>
      <c r="V135" s="203">
        <v>0</v>
      </c>
      <c r="W135" s="529">
        <v>61395.174207999989</v>
      </c>
      <c r="X135" s="564">
        <v>497042.90999999992</v>
      </c>
      <c r="Y135" s="203">
        <v>558438.08420799987</v>
      </c>
      <c r="Z135" s="203">
        <v>-133906.41420799989</v>
      </c>
      <c r="AA135" s="383">
        <f t="shared" si="1"/>
        <v>0</v>
      </c>
    </row>
    <row r="136" spans="3:27" ht="15">
      <c r="C136" s="431">
        <v>130</v>
      </c>
      <c r="D136" s="431">
        <v>31</v>
      </c>
      <c r="E136" s="443" t="s">
        <v>217</v>
      </c>
      <c r="F136" s="443" t="s">
        <v>1599</v>
      </c>
      <c r="G136" s="203">
        <v>-135661.51593599992</v>
      </c>
      <c r="H136" s="457" t="s">
        <v>2509</v>
      </c>
      <c r="K136" s="431">
        <v>130</v>
      </c>
      <c r="L136" s="431">
        <v>31</v>
      </c>
      <c r="M136" s="431"/>
      <c r="N136" s="561" t="s">
        <v>217</v>
      </c>
      <c r="O136" s="565" t="s">
        <v>2094</v>
      </c>
      <c r="P136" s="563">
        <v>626289.99</v>
      </c>
      <c r="Q136" s="203">
        <v>258304.03</v>
      </c>
      <c r="R136" s="203">
        <v>400376.64999999997</v>
      </c>
      <c r="S136" s="203">
        <v>14480.87</v>
      </c>
      <c r="T136" s="203">
        <v>13123</v>
      </c>
      <c r="U136" s="203">
        <v>0</v>
      </c>
      <c r="V136" s="203">
        <v>0</v>
      </c>
      <c r="W136" s="529">
        <v>75666.955935999998</v>
      </c>
      <c r="X136" s="564">
        <v>686284.54999999993</v>
      </c>
      <c r="Y136" s="203">
        <v>761951.50593599991</v>
      </c>
      <c r="Z136" s="203">
        <v>-135661.51593599992</v>
      </c>
      <c r="AA136" s="383">
        <f t="shared" ref="AA136:AA199" si="2">+G136-Z136</f>
        <v>0</v>
      </c>
    </row>
    <row r="137" spans="3:27" ht="15">
      <c r="C137" s="431">
        <v>131</v>
      </c>
      <c r="D137" s="431">
        <v>301</v>
      </c>
      <c r="E137" s="443" t="s">
        <v>685</v>
      </c>
      <c r="F137" s="443" t="s">
        <v>2499</v>
      </c>
      <c r="G137" s="203">
        <v>-131497.41867799999</v>
      </c>
      <c r="H137" s="457" t="s">
        <v>2509</v>
      </c>
      <c r="K137" s="431">
        <v>131</v>
      </c>
      <c r="L137" s="431">
        <v>301</v>
      </c>
      <c r="M137" s="431"/>
      <c r="N137" s="561" t="s">
        <v>685</v>
      </c>
      <c r="O137" s="582" t="s">
        <v>2385</v>
      </c>
      <c r="P137" s="563">
        <v>18281.34</v>
      </c>
      <c r="Q137" s="203">
        <v>34262.68</v>
      </c>
      <c r="R137" s="203">
        <v>84345.9</v>
      </c>
      <c r="S137" s="203">
        <v>4904.37</v>
      </c>
      <c r="T137" s="203">
        <v>200</v>
      </c>
      <c r="U137" s="203">
        <v>0</v>
      </c>
      <c r="V137" s="203">
        <v>0</v>
      </c>
      <c r="W137" s="529">
        <v>26065.808677999998</v>
      </c>
      <c r="X137" s="564">
        <v>123712.94999999998</v>
      </c>
      <c r="Y137" s="203">
        <v>149778.75867799998</v>
      </c>
      <c r="Z137" s="203">
        <v>-131497.41867799999</v>
      </c>
      <c r="AA137" s="383">
        <f t="shared" si="2"/>
        <v>0</v>
      </c>
    </row>
    <row r="138" spans="3:27" ht="15">
      <c r="C138" s="431">
        <v>132</v>
      </c>
      <c r="D138" s="431">
        <v>17</v>
      </c>
      <c r="E138" s="443" t="s">
        <v>195</v>
      </c>
      <c r="F138" s="443" t="s">
        <v>840</v>
      </c>
      <c r="G138" s="203">
        <v>-171193.85223800002</v>
      </c>
      <c r="H138" s="457" t="s">
        <v>2509</v>
      </c>
      <c r="K138" s="431">
        <v>132</v>
      </c>
      <c r="L138" s="431">
        <v>17</v>
      </c>
      <c r="M138" s="431"/>
      <c r="N138" s="561" t="s">
        <v>195</v>
      </c>
      <c r="O138" s="565" t="s">
        <v>2082</v>
      </c>
      <c r="P138" s="563">
        <v>1005679.0599999999</v>
      </c>
      <c r="Q138" s="203">
        <v>458104.89999999997</v>
      </c>
      <c r="R138" s="203">
        <v>588034.3899999999</v>
      </c>
      <c r="S138" s="203">
        <v>15671.11</v>
      </c>
      <c r="T138" s="203">
        <v>8846.07</v>
      </c>
      <c r="U138" s="203">
        <v>0</v>
      </c>
      <c r="V138" s="203">
        <v>0</v>
      </c>
      <c r="W138" s="529">
        <v>106216.44223799997</v>
      </c>
      <c r="X138" s="564">
        <v>1070656.47</v>
      </c>
      <c r="Y138" s="203">
        <v>1176872.912238</v>
      </c>
      <c r="Z138" s="203">
        <v>-171193.85223800002</v>
      </c>
      <c r="AA138" s="383">
        <f t="shared" si="2"/>
        <v>0</v>
      </c>
    </row>
    <row r="139" spans="3:27" ht="15">
      <c r="C139" s="431">
        <v>133</v>
      </c>
      <c r="D139" s="431">
        <v>231</v>
      </c>
      <c r="E139" s="443" t="s">
        <v>566</v>
      </c>
      <c r="F139" s="449" t="s">
        <v>1005</v>
      </c>
      <c r="G139" s="203">
        <v>-1052685.1116050007</v>
      </c>
      <c r="H139" s="457" t="s">
        <v>2509</v>
      </c>
      <c r="K139" s="431">
        <v>133</v>
      </c>
      <c r="L139" s="431">
        <v>231</v>
      </c>
      <c r="M139" s="431"/>
      <c r="N139" s="561" t="s">
        <v>566</v>
      </c>
      <c r="O139" s="565" t="s">
        <v>2267</v>
      </c>
      <c r="P139" s="563">
        <v>4436587.41</v>
      </c>
      <c r="Q139" s="203">
        <v>2089729.56</v>
      </c>
      <c r="R139" s="203">
        <v>2850661.25</v>
      </c>
      <c r="S139" s="203">
        <v>112718.26000000001</v>
      </c>
      <c r="T139" s="203">
        <v>27974.089999999997</v>
      </c>
      <c r="U139" s="203">
        <v>31649.57</v>
      </c>
      <c r="V139" s="203">
        <v>-24830.75</v>
      </c>
      <c r="W139" s="529">
        <v>401370.54160499998</v>
      </c>
      <c r="X139" s="564">
        <v>5087901.9800000004</v>
      </c>
      <c r="Y139" s="203">
        <v>5489272.5216050008</v>
      </c>
      <c r="Z139" s="203">
        <v>-1052685.1116050007</v>
      </c>
      <c r="AA139" s="383">
        <f t="shared" si="2"/>
        <v>0</v>
      </c>
    </row>
    <row r="140" spans="3:27" ht="15">
      <c r="C140" s="431">
        <v>134</v>
      </c>
      <c r="D140" s="431">
        <v>113</v>
      </c>
      <c r="E140" s="443" t="s">
        <v>368</v>
      </c>
      <c r="F140" s="449" t="s">
        <v>922</v>
      </c>
      <c r="G140" s="203">
        <v>-533419.21506099962</v>
      </c>
      <c r="H140" s="457" t="s">
        <v>2509</v>
      </c>
      <c r="K140" s="431">
        <v>134</v>
      </c>
      <c r="L140" s="431">
        <v>113</v>
      </c>
      <c r="M140" s="431" t="s">
        <v>2596</v>
      </c>
      <c r="N140" s="561" t="s">
        <v>368</v>
      </c>
      <c r="O140" s="565" t="s">
        <v>2170</v>
      </c>
      <c r="P140" s="563">
        <v>9185796.790000001</v>
      </c>
      <c r="Q140" s="566">
        <v>3379822.06</v>
      </c>
      <c r="R140" s="566">
        <v>611999.71</v>
      </c>
      <c r="S140" s="566">
        <v>639346.42000000004</v>
      </c>
      <c r="T140" s="570">
        <v>4621456.1100000003</v>
      </c>
      <c r="U140" s="567">
        <v>87397.32</v>
      </c>
      <c r="V140" s="567">
        <v>-262107.97</v>
      </c>
      <c r="W140" s="568">
        <v>641302.3550610001</v>
      </c>
      <c r="X140" s="564">
        <v>9077913.6500000004</v>
      </c>
      <c r="Y140" s="203">
        <v>9719216.0050610006</v>
      </c>
      <c r="Z140" s="203">
        <v>-533419.21506099962</v>
      </c>
      <c r="AA140" s="383">
        <f t="shared" si="2"/>
        <v>0</v>
      </c>
    </row>
    <row r="141" spans="3:27" ht="15">
      <c r="C141" s="431">
        <v>135</v>
      </c>
      <c r="D141" s="431">
        <v>239</v>
      </c>
      <c r="E141" s="443" t="s">
        <v>582</v>
      </c>
      <c r="F141" s="443" t="s">
        <v>1013</v>
      </c>
      <c r="G141" s="203">
        <v>-227658.07767700031</v>
      </c>
      <c r="H141" s="457" t="s">
        <v>2509</v>
      </c>
      <c r="K141" s="431">
        <v>135</v>
      </c>
      <c r="L141" s="431">
        <v>239</v>
      </c>
      <c r="M141" s="431" t="s">
        <v>2596</v>
      </c>
      <c r="N141" s="561" t="s">
        <v>582</v>
      </c>
      <c r="O141" s="565" t="s">
        <v>2605</v>
      </c>
      <c r="P141" s="563">
        <v>1397642.8</v>
      </c>
      <c r="Q141" s="566">
        <v>468155.67000000004</v>
      </c>
      <c r="R141" s="566">
        <v>935808.34000000008</v>
      </c>
      <c r="S141" s="566">
        <v>23844.13</v>
      </c>
      <c r="T141" s="566">
        <v>17513.140000000025</v>
      </c>
      <c r="U141" s="566">
        <v>8291.6</v>
      </c>
      <c r="V141" s="566"/>
      <c r="W141" s="568">
        <v>171687.99767700001</v>
      </c>
      <c r="X141" s="564">
        <v>1453612.8800000004</v>
      </c>
      <c r="Y141" s="203">
        <v>1625300.8776770004</v>
      </c>
      <c r="Z141" s="203">
        <v>-227658.07767700031</v>
      </c>
      <c r="AA141" s="383">
        <f t="shared" si="2"/>
        <v>0</v>
      </c>
    </row>
    <row r="142" spans="3:27" ht="15">
      <c r="C142" s="431">
        <v>136</v>
      </c>
      <c r="D142" s="431">
        <v>302</v>
      </c>
      <c r="E142" s="443" t="s">
        <v>687</v>
      </c>
      <c r="F142" s="443" t="s">
        <v>1059</v>
      </c>
      <c r="G142" s="203">
        <v>-21493.423645999996</v>
      </c>
      <c r="H142" s="457" t="s">
        <v>2509</v>
      </c>
      <c r="K142" s="431">
        <v>136</v>
      </c>
      <c r="L142" s="431">
        <v>302</v>
      </c>
      <c r="M142" s="431" t="s">
        <v>2596</v>
      </c>
      <c r="N142" s="561" t="s">
        <v>687</v>
      </c>
      <c r="O142" s="565" t="s">
        <v>2331</v>
      </c>
      <c r="P142" s="563">
        <v>42336.4</v>
      </c>
      <c r="Q142" s="566">
        <v>24205.72</v>
      </c>
      <c r="R142" s="566">
        <v>26684.03</v>
      </c>
      <c r="S142" s="566">
        <v>568.70000000000005</v>
      </c>
      <c r="T142" s="566">
        <v>4340.3999999999996</v>
      </c>
      <c r="U142" s="566">
        <v>0</v>
      </c>
      <c r="V142" s="566"/>
      <c r="W142" s="568">
        <v>8030.9736459999986</v>
      </c>
      <c r="X142" s="564">
        <v>55798.85</v>
      </c>
      <c r="Y142" s="203">
        <v>63829.823645999997</v>
      </c>
      <c r="Z142" s="203">
        <v>-21493.423645999996</v>
      </c>
      <c r="AA142" s="383">
        <f t="shared" si="2"/>
        <v>0</v>
      </c>
    </row>
    <row r="143" spans="3:27" ht="15">
      <c r="C143" s="431">
        <v>137</v>
      </c>
      <c r="D143" s="431">
        <v>254</v>
      </c>
      <c r="E143" s="443" t="s">
        <v>611</v>
      </c>
      <c r="F143" s="443" t="s">
        <v>1024</v>
      </c>
      <c r="G143" s="203">
        <v>-79187.535976000072</v>
      </c>
      <c r="H143" s="457" t="s">
        <v>2509</v>
      </c>
      <c r="K143" s="431">
        <v>137</v>
      </c>
      <c r="L143" s="431">
        <v>254</v>
      </c>
      <c r="M143" s="431"/>
      <c r="N143" s="561" t="s">
        <v>611</v>
      </c>
      <c r="O143" s="565" t="s">
        <v>2289</v>
      </c>
      <c r="P143" s="563">
        <v>346563.06999999995</v>
      </c>
      <c r="Q143" s="203">
        <v>169924</v>
      </c>
      <c r="R143" s="203">
        <v>193171.66000000003</v>
      </c>
      <c r="S143" s="203">
        <v>4711.41</v>
      </c>
      <c r="T143" s="203">
        <v>9163.39</v>
      </c>
      <c r="U143" s="203">
        <v>0</v>
      </c>
      <c r="V143" s="203">
        <v>0</v>
      </c>
      <c r="W143" s="529">
        <v>48780.145976000007</v>
      </c>
      <c r="X143" s="564">
        <v>376970.46</v>
      </c>
      <c r="Y143" s="203">
        <v>425750.60597600002</v>
      </c>
      <c r="Z143" s="203">
        <v>-79187.535976000072</v>
      </c>
      <c r="AA143" s="383">
        <f t="shared" si="2"/>
        <v>0</v>
      </c>
    </row>
    <row r="144" spans="3:27" ht="15">
      <c r="C144" s="431">
        <v>138</v>
      </c>
      <c r="D144" s="431">
        <v>4</v>
      </c>
      <c r="E144" s="443" t="s">
        <v>169</v>
      </c>
      <c r="F144" s="443" t="s">
        <v>830</v>
      </c>
      <c r="G144" s="203">
        <v>-94830.976801999961</v>
      </c>
      <c r="H144" s="457" t="s">
        <v>2509</v>
      </c>
      <c r="K144" s="431">
        <v>138</v>
      </c>
      <c r="L144" s="431">
        <v>4</v>
      </c>
      <c r="M144" s="431"/>
      <c r="N144" s="561" t="s">
        <v>169</v>
      </c>
      <c r="O144" s="565" t="s">
        <v>2070</v>
      </c>
      <c r="P144" s="563">
        <v>171478.21000000002</v>
      </c>
      <c r="Q144" s="203">
        <v>100731.84</v>
      </c>
      <c r="R144" s="203">
        <v>124925.04999999999</v>
      </c>
      <c r="S144" s="203">
        <v>7830.81</v>
      </c>
      <c r="T144" s="203">
        <v>3420.92</v>
      </c>
      <c r="U144" s="203">
        <v>0</v>
      </c>
      <c r="V144" s="203">
        <v>0</v>
      </c>
      <c r="W144" s="529">
        <v>29400.566802000001</v>
      </c>
      <c r="X144" s="564">
        <v>236908.62</v>
      </c>
      <c r="Y144" s="203">
        <v>266309.18680199998</v>
      </c>
      <c r="Z144" s="203">
        <v>-94830.976801999961</v>
      </c>
      <c r="AA144" s="383">
        <f t="shared" si="2"/>
        <v>0</v>
      </c>
    </row>
    <row r="145" spans="3:27" ht="15">
      <c r="C145" s="431">
        <v>139</v>
      </c>
      <c r="D145" s="431">
        <v>43</v>
      </c>
      <c r="E145" s="443" t="s">
        <v>233</v>
      </c>
      <c r="F145" s="443" t="s">
        <v>857</v>
      </c>
      <c r="G145" s="203">
        <v>-932847.63610200025</v>
      </c>
      <c r="H145" s="457" t="s">
        <v>2509</v>
      </c>
      <c r="K145" s="431">
        <v>139</v>
      </c>
      <c r="L145" s="431">
        <v>43</v>
      </c>
      <c r="M145" s="431"/>
      <c r="N145" s="561" t="s">
        <v>233</v>
      </c>
      <c r="O145" s="565" t="s">
        <v>2103</v>
      </c>
      <c r="P145" s="563">
        <v>4149144.3200000003</v>
      </c>
      <c r="Q145" s="203">
        <v>1615503.35</v>
      </c>
      <c r="R145" s="203">
        <v>2061980.1300000001</v>
      </c>
      <c r="S145" s="203">
        <v>187119.12</v>
      </c>
      <c r="T145" s="203">
        <v>38714.15</v>
      </c>
      <c r="U145" s="203">
        <v>906024.67</v>
      </c>
      <c r="V145" s="203">
        <v>-73453.86</v>
      </c>
      <c r="W145" s="529">
        <v>346104.39610199997</v>
      </c>
      <c r="X145" s="564">
        <v>4735887.5600000005</v>
      </c>
      <c r="Y145" s="203">
        <v>5081991.9561020005</v>
      </c>
      <c r="Z145" s="203">
        <v>-932847.63610200025</v>
      </c>
      <c r="AA145" s="383">
        <f t="shared" si="2"/>
        <v>0</v>
      </c>
    </row>
    <row r="146" spans="3:27" ht="15">
      <c r="C146" s="431">
        <v>140</v>
      </c>
      <c r="D146" s="431">
        <v>267</v>
      </c>
      <c r="E146" s="443" t="s">
        <v>628</v>
      </c>
      <c r="F146" s="443" t="s">
        <v>1032</v>
      </c>
      <c r="G146" s="203">
        <v>-179615.93544999996</v>
      </c>
      <c r="H146" s="457" t="s">
        <v>2509</v>
      </c>
      <c r="K146" s="431">
        <v>140</v>
      </c>
      <c r="L146" s="431">
        <v>267</v>
      </c>
      <c r="M146" s="431"/>
      <c r="N146" s="561" t="s">
        <v>628</v>
      </c>
      <c r="O146" s="565" t="s">
        <v>2300</v>
      </c>
      <c r="P146" s="563">
        <v>180903.11000000002</v>
      </c>
      <c r="Q146" s="203">
        <v>98661.43</v>
      </c>
      <c r="R146" s="203">
        <v>149484.99</v>
      </c>
      <c r="S146" s="203">
        <v>6148.15</v>
      </c>
      <c r="T146" s="203">
        <v>8758.36</v>
      </c>
      <c r="U146" s="203">
        <v>49414.48</v>
      </c>
      <c r="V146" s="203">
        <v>0</v>
      </c>
      <c r="W146" s="529">
        <v>48051.635450000002</v>
      </c>
      <c r="X146" s="564">
        <v>312467.40999999997</v>
      </c>
      <c r="Y146" s="203">
        <v>360519.04544999998</v>
      </c>
      <c r="Z146" s="203">
        <v>-179615.93544999996</v>
      </c>
      <c r="AA146" s="383">
        <f t="shared" si="2"/>
        <v>0</v>
      </c>
    </row>
    <row r="147" spans="3:27" ht="15">
      <c r="C147" s="431">
        <v>141</v>
      </c>
      <c r="D147" s="431">
        <v>216</v>
      </c>
      <c r="E147" s="443" t="s">
        <v>539</v>
      </c>
      <c r="F147" s="443" t="s">
        <v>540</v>
      </c>
      <c r="G147" s="203">
        <v>-152522.49765000003</v>
      </c>
      <c r="H147" s="457" t="s">
        <v>2509</v>
      </c>
      <c r="K147" s="431">
        <v>141</v>
      </c>
      <c r="L147" s="431">
        <v>216</v>
      </c>
      <c r="M147" s="431"/>
      <c r="N147" s="561" t="s">
        <v>539</v>
      </c>
      <c r="O147" s="582" t="s">
        <v>2254</v>
      </c>
      <c r="P147" s="563">
        <v>157164.04999999999</v>
      </c>
      <c r="Q147" s="203">
        <v>60846.66</v>
      </c>
      <c r="R147" s="203">
        <v>187485.93</v>
      </c>
      <c r="S147" s="203">
        <v>951.85</v>
      </c>
      <c r="T147" s="203">
        <v>435</v>
      </c>
      <c r="U147" s="203">
        <v>0</v>
      </c>
      <c r="V147" s="203">
        <v>0</v>
      </c>
      <c r="W147" s="529">
        <v>59967.107649999998</v>
      </c>
      <c r="X147" s="564">
        <v>249719.44</v>
      </c>
      <c r="Y147" s="203">
        <v>309686.54765000002</v>
      </c>
      <c r="Z147" s="203">
        <v>-152522.49765000003</v>
      </c>
      <c r="AA147" s="383">
        <f t="shared" si="2"/>
        <v>0</v>
      </c>
    </row>
    <row r="148" spans="3:27" ht="15">
      <c r="C148" s="431">
        <v>142</v>
      </c>
      <c r="D148" s="431">
        <v>260</v>
      </c>
      <c r="E148" s="443" t="s">
        <v>1627</v>
      </c>
      <c r="F148" s="443" t="s">
        <v>1679</v>
      </c>
      <c r="G148" s="203">
        <v>-28152.757368000021</v>
      </c>
      <c r="H148" s="457" t="s">
        <v>2509</v>
      </c>
      <c r="K148" s="431">
        <v>142</v>
      </c>
      <c r="L148" s="431">
        <v>260</v>
      </c>
      <c r="M148" s="431"/>
      <c r="N148" s="561" t="s">
        <v>1627</v>
      </c>
      <c r="O148" s="565" t="s">
        <v>2294</v>
      </c>
      <c r="P148" s="563">
        <v>78211.839999999997</v>
      </c>
      <c r="Q148" s="203">
        <v>48194.05</v>
      </c>
      <c r="R148" s="203">
        <v>42130.43</v>
      </c>
      <c r="S148" s="203">
        <v>1962.71</v>
      </c>
      <c r="T148" s="203">
        <v>6880</v>
      </c>
      <c r="U148" s="203">
        <v>0</v>
      </c>
      <c r="V148" s="203">
        <v>0</v>
      </c>
      <c r="W148" s="529">
        <v>7197.4073679999992</v>
      </c>
      <c r="X148" s="564">
        <v>99167.190000000017</v>
      </c>
      <c r="Y148" s="203">
        <v>106364.59736800002</v>
      </c>
      <c r="Z148" s="203">
        <v>-28152.757368000021</v>
      </c>
      <c r="AA148" s="383">
        <f t="shared" si="2"/>
        <v>0</v>
      </c>
    </row>
    <row r="149" spans="3:27" ht="15">
      <c r="C149" s="431">
        <v>143</v>
      </c>
      <c r="D149" s="431">
        <v>300</v>
      </c>
      <c r="E149" s="443" t="s">
        <v>1179</v>
      </c>
      <c r="F149" s="443" t="s">
        <v>1591</v>
      </c>
      <c r="G149" s="203">
        <v>0</v>
      </c>
      <c r="H149" s="457" t="s">
        <v>2509</v>
      </c>
      <c r="K149" s="431">
        <v>143</v>
      </c>
      <c r="L149" s="431">
        <v>300</v>
      </c>
      <c r="M149" s="431"/>
      <c r="N149" s="561" t="s">
        <v>1179</v>
      </c>
      <c r="O149" s="582" t="s">
        <v>1538</v>
      </c>
      <c r="P149" s="563">
        <v>157039.06999999998</v>
      </c>
      <c r="Q149" s="203">
        <v>0</v>
      </c>
      <c r="R149" s="203">
        <v>13657.77</v>
      </c>
      <c r="S149" s="203">
        <v>143381.29999999999</v>
      </c>
      <c r="T149" s="203">
        <v>0</v>
      </c>
      <c r="U149" s="203">
        <v>0</v>
      </c>
      <c r="V149" s="203">
        <v>0</v>
      </c>
      <c r="W149" s="529">
        <v>0</v>
      </c>
      <c r="X149" s="564">
        <v>157039.06999999998</v>
      </c>
      <c r="Y149" s="203">
        <v>157039.06999999998</v>
      </c>
      <c r="Z149" s="203">
        <v>0</v>
      </c>
      <c r="AA149" s="383">
        <f t="shared" si="2"/>
        <v>0</v>
      </c>
    </row>
    <row r="150" spans="3:27" ht="15">
      <c r="C150" s="431">
        <v>144</v>
      </c>
      <c r="D150" s="431">
        <v>149</v>
      </c>
      <c r="E150" s="443" t="s">
        <v>414</v>
      </c>
      <c r="F150" s="443" t="s">
        <v>938</v>
      </c>
      <c r="G150" s="203">
        <v>-104129.38619999998</v>
      </c>
      <c r="H150" s="457" t="s">
        <v>2509</v>
      </c>
      <c r="K150" s="431">
        <v>144</v>
      </c>
      <c r="L150" s="431">
        <v>149</v>
      </c>
      <c r="M150" s="431"/>
      <c r="N150" s="561" t="s">
        <v>414</v>
      </c>
      <c r="O150" s="565" t="s">
        <v>2379</v>
      </c>
      <c r="P150" s="563">
        <v>135484.32999999999</v>
      </c>
      <c r="Q150" s="203">
        <v>85578.55</v>
      </c>
      <c r="R150" s="203">
        <v>132849.62</v>
      </c>
      <c r="S150" s="203">
        <v>1287.75</v>
      </c>
      <c r="T150" s="203">
        <v>4633.0499999999993</v>
      </c>
      <c r="U150" s="203">
        <v>0</v>
      </c>
      <c r="V150" s="203">
        <v>0</v>
      </c>
      <c r="W150" s="529">
        <v>15264.746199999998</v>
      </c>
      <c r="X150" s="564">
        <v>224348.96999999997</v>
      </c>
      <c r="Y150" s="203">
        <v>239613.71619999997</v>
      </c>
      <c r="Z150" s="203">
        <v>-104129.38619999998</v>
      </c>
      <c r="AA150" s="383">
        <f t="shared" si="2"/>
        <v>0</v>
      </c>
    </row>
    <row r="151" spans="3:27" ht="15">
      <c r="C151" s="431">
        <v>145</v>
      </c>
      <c r="D151" s="431">
        <v>295</v>
      </c>
      <c r="E151" s="443" t="s">
        <v>677</v>
      </c>
      <c r="F151" s="443" t="s">
        <v>1055</v>
      </c>
      <c r="G151" s="203">
        <v>13287.028187999735</v>
      </c>
      <c r="H151" s="457" t="s">
        <v>2509</v>
      </c>
      <c r="K151" s="431">
        <v>145</v>
      </c>
      <c r="L151" s="431">
        <v>295</v>
      </c>
      <c r="M151" s="431"/>
      <c r="N151" s="561" t="s">
        <v>677</v>
      </c>
      <c r="O151" s="565" t="s">
        <v>2327</v>
      </c>
      <c r="P151" s="563">
        <v>1672830.8599999999</v>
      </c>
      <c r="Q151" s="203">
        <v>581451.06000000006</v>
      </c>
      <c r="R151" s="203">
        <v>734626.93</v>
      </c>
      <c r="S151" s="203">
        <v>55096.67</v>
      </c>
      <c r="T151" s="203">
        <v>115874.97</v>
      </c>
      <c r="U151" s="203">
        <v>53317.43</v>
      </c>
      <c r="V151" s="203">
        <v>0</v>
      </c>
      <c r="W151" s="529">
        <v>119176.77181200001</v>
      </c>
      <c r="X151" s="564">
        <v>1540367.06</v>
      </c>
      <c r="Y151" s="203">
        <v>1659543.8318120001</v>
      </c>
      <c r="Z151" s="203">
        <v>13287.028187999735</v>
      </c>
      <c r="AA151" s="383">
        <f t="shared" si="2"/>
        <v>0</v>
      </c>
    </row>
    <row r="152" spans="3:27" ht="15">
      <c r="C152" s="431">
        <v>146</v>
      </c>
      <c r="D152" s="431">
        <v>319</v>
      </c>
      <c r="E152" s="443" t="s">
        <v>720</v>
      </c>
      <c r="F152" s="449" t="s">
        <v>1072</v>
      </c>
      <c r="G152" s="203">
        <v>-83271.908752000076</v>
      </c>
      <c r="H152" s="457" t="s">
        <v>2509</v>
      </c>
      <c r="K152" s="431">
        <v>146</v>
      </c>
      <c r="L152" s="431">
        <v>319</v>
      </c>
      <c r="M152" s="431" t="s">
        <v>2596</v>
      </c>
      <c r="N152" s="561" t="s">
        <v>720</v>
      </c>
      <c r="O152" s="565" t="s">
        <v>2346</v>
      </c>
      <c r="P152" s="563">
        <v>581743.55999999994</v>
      </c>
      <c r="Q152" s="566">
        <v>285705.09000000003</v>
      </c>
      <c r="R152" s="566">
        <v>316475.38</v>
      </c>
      <c r="S152" s="566">
        <v>6796.16</v>
      </c>
      <c r="T152" s="566">
        <v>9690.52</v>
      </c>
      <c r="U152" s="566">
        <v>0</v>
      </c>
      <c r="V152" s="566"/>
      <c r="W152" s="568">
        <v>46348.318751999999</v>
      </c>
      <c r="X152" s="564">
        <v>618667.15</v>
      </c>
      <c r="Y152" s="203">
        <v>665015.46875200002</v>
      </c>
      <c r="Z152" s="203">
        <v>-83271.908752000076</v>
      </c>
      <c r="AA152" s="383">
        <f t="shared" si="2"/>
        <v>0</v>
      </c>
    </row>
    <row r="153" spans="3:27" ht="15">
      <c r="C153" s="431">
        <v>147</v>
      </c>
      <c r="D153" s="431">
        <v>53</v>
      </c>
      <c r="E153" s="443" t="s">
        <v>253</v>
      </c>
      <c r="F153" s="443" t="s">
        <v>867</v>
      </c>
      <c r="G153" s="203">
        <v>-89033.139156000019</v>
      </c>
      <c r="H153" s="457" t="s">
        <v>2509</v>
      </c>
      <c r="K153" s="431">
        <v>147</v>
      </c>
      <c r="L153" s="431">
        <v>53</v>
      </c>
      <c r="M153" s="431"/>
      <c r="N153" s="561" t="s">
        <v>253</v>
      </c>
      <c r="O153" s="565" t="s">
        <v>2112</v>
      </c>
      <c r="P153" s="563">
        <v>113843.26999999999</v>
      </c>
      <c r="Q153" s="203">
        <v>51481.919999999998</v>
      </c>
      <c r="R153" s="203">
        <v>84371.69</v>
      </c>
      <c r="S153" s="203">
        <v>3840.04</v>
      </c>
      <c r="T153" s="203">
        <v>1080.96</v>
      </c>
      <c r="U153" s="203">
        <v>23491.64</v>
      </c>
      <c r="V153" s="203">
        <v>0</v>
      </c>
      <c r="W153" s="529">
        <v>38610.159156000002</v>
      </c>
      <c r="X153" s="564">
        <v>164266.25</v>
      </c>
      <c r="Y153" s="203">
        <v>202876.40915600001</v>
      </c>
      <c r="Z153" s="203">
        <v>-89033.139156000019</v>
      </c>
      <c r="AA153" s="383">
        <f t="shared" si="2"/>
        <v>0</v>
      </c>
    </row>
    <row r="154" spans="3:27" ht="15">
      <c r="C154" s="431">
        <v>148</v>
      </c>
      <c r="D154" s="431">
        <v>14</v>
      </c>
      <c r="E154" s="443" t="s">
        <v>189</v>
      </c>
      <c r="F154" s="443" t="s">
        <v>838</v>
      </c>
      <c r="G154" s="203">
        <v>-94167.143662000075</v>
      </c>
      <c r="H154" s="457" t="s">
        <v>2509</v>
      </c>
      <c r="K154" s="431">
        <v>148</v>
      </c>
      <c r="L154" s="431">
        <v>14</v>
      </c>
      <c r="M154" s="431"/>
      <c r="N154" s="561" t="s">
        <v>189</v>
      </c>
      <c r="O154" s="565" t="s">
        <v>2080</v>
      </c>
      <c r="P154" s="563">
        <v>534827.48</v>
      </c>
      <c r="Q154" s="203">
        <v>282873.38</v>
      </c>
      <c r="R154" s="203">
        <v>295098.02</v>
      </c>
      <c r="S154" s="203">
        <v>19549.52</v>
      </c>
      <c r="T154" s="203">
        <v>1190</v>
      </c>
      <c r="U154" s="203">
        <v>11238.7</v>
      </c>
      <c r="V154" s="203">
        <v>0</v>
      </c>
      <c r="W154" s="529">
        <v>19045.003662000003</v>
      </c>
      <c r="X154" s="564">
        <v>609949.62</v>
      </c>
      <c r="Y154" s="203">
        <v>628994.62366200006</v>
      </c>
      <c r="Z154" s="203">
        <v>-94167.143662000075</v>
      </c>
      <c r="AA154" s="383">
        <f t="shared" si="2"/>
        <v>0</v>
      </c>
    </row>
    <row r="155" spans="3:27" ht="15">
      <c r="C155" s="431">
        <v>149</v>
      </c>
      <c r="D155" s="431">
        <v>174</v>
      </c>
      <c r="E155" s="443" t="s">
        <v>464</v>
      </c>
      <c r="F155" s="443" t="s">
        <v>961</v>
      </c>
      <c r="G155" s="203">
        <v>-45372.239059999964</v>
      </c>
      <c r="H155" s="457" t="s">
        <v>2509</v>
      </c>
      <c r="K155" s="431">
        <v>149</v>
      </c>
      <c r="L155" s="431">
        <v>174</v>
      </c>
      <c r="M155" s="431"/>
      <c r="N155" s="561" t="s">
        <v>464</v>
      </c>
      <c r="O155" s="565" t="s">
        <v>2216</v>
      </c>
      <c r="P155" s="563">
        <v>177966.83000000002</v>
      </c>
      <c r="Q155" s="203">
        <v>103022.12</v>
      </c>
      <c r="R155" s="203">
        <v>105018.26000000001</v>
      </c>
      <c r="S155" s="203">
        <v>2085.21</v>
      </c>
      <c r="T155" s="203">
        <v>4507.8</v>
      </c>
      <c r="U155" s="203">
        <v>0</v>
      </c>
      <c r="V155" s="203">
        <v>0</v>
      </c>
      <c r="W155" s="529">
        <v>8705.6790600000022</v>
      </c>
      <c r="X155" s="564">
        <v>214633.38999999998</v>
      </c>
      <c r="Y155" s="203">
        <v>223339.06905999998</v>
      </c>
      <c r="Z155" s="203">
        <v>-45372.239059999964</v>
      </c>
      <c r="AA155" s="383">
        <f t="shared" si="2"/>
        <v>0</v>
      </c>
    </row>
    <row r="156" spans="3:27" ht="15">
      <c r="C156" s="431">
        <v>150</v>
      </c>
      <c r="D156" s="431">
        <v>271</v>
      </c>
      <c r="E156" s="443" t="s">
        <v>634</v>
      </c>
      <c r="F156" s="443" t="s">
        <v>1034</v>
      </c>
      <c r="G156" s="203">
        <v>25616.55359200004</v>
      </c>
      <c r="H156" s="457" t="s">
        <v>2509</v>
      </c>
      <c r="K156" s="431">
        <v>150</v>
      </c>
      <c r="L156" s="431">
        <v>271</v>
      </c>
      <c r="M156" s="431"/>
      <c r="N156" s="561" t="s">
        <v>634</v>
      </c>
      <c r="O156" s="565" t="s">
        <v>2304</v>
      </c>
      <c r="P156" s="563">
        <v>390292.94</v>
      </c>
      <c r="Q156" s="203">
        <v>173759.11</v>
      </c>
      <c r="R156" s="203">
        <v>104808.98000000001</v>
      </c>
      <c r="S156" s="203">
        <v>40469.11</v>
      </c>
      <c r="T156" s="203">
        <v>13502.08</v>
      </c>
      <c r="U156" s="203">
        <v>0</v>
      </c>
      <c r="V156" s="203">
        <v>0</v>
      </c>
      <c r="W156" s="529">
        <v>32137.106408000003</v>
      </c>
      <c r="X156" s="564">
        <v>332539.27999999997</v>
      </c>
      <c r="Y156" s="203">
        <v>364676.38640799996</v>
      </c>
      <c r="Z156" s="203">
        <v>25616.55359200004</v>
      </c>
      <c r="AA156" s="383">
        <f t="shared" si="2"/>
        <v>0</v>
      </c>
    </row>
    <row r="157" spans="3:27" ht="15">
      <c r="C157" s="431">
        <v>151</v>
      </c>
      <c r="D157" s="431">
        <v>235</v>
      </c>
      <c r="E157" s="443" t="s">
        <v>574</v>
      </c>
      <c r="F157" s="449" t="s">
        <v>1009</v>
      </c>
      <c r="G157" s="203">
        <v>-558821.29720000084</v>
      </c>
      <c r="H157" s="457" t="s">
        <v>2509</v>
      </c>
      <c r="K157" s="431">
        <v>151</v>
      </c>
      <c r="L157" s="431">
        <v>235</v>
      </c>
      <c r="M157" s="431"/>
      <c r="N157" s="561" t="s">
        <v>574</v>
      </c>
      <c r="O157" s="565" t="s">
        <v>2271</v>
      </c>
      <c r="P157" s="563">
        <v>5932565.46</v>
      </c>
      <c r="Q157" s="203">
        <v>2770327.56</v>
      </c>
      <c r="R157" s="203">
        <v>3263400.6</v>
      </c>
      <c r="S157" s="203">
        <v>2768.94</v>
      </c>
      <c r="T157" s="203">
        <v>27308.46</v>
      </c>
      <c r="U157" s="203">
        <v>0</v>
      </c>
      <c r="V157" s="203">
        <v>-4580</v>
      </c>
      <c r="W157" s="529">
        <v>432161.19719999994</v>
      </c>
      <c r="X157" s="564">
        <v>6059225.5600000005</v>
      </c>
      <c r="Y157" s="203">
        <v>6491386.7572000008</v>
      </c>
      <c r="Z157" s="203">
        <v>-558821.29720000084</v>
      </c>
      <c r="AA157" s="383">
        <f t="shared" si="2"/>
        <v>0</v>
      </c>
    </row>
    <row r="158" spans="3:27" ht="15">
      <c r="C158" s="431">
        <v>152</v>
      </c>
      <c r="D158" s="431">
        <v>79</v>
      </c>
      <c r="E158" s="443" t="s">
        <v>303</v>
      </c>
      <c r="F158" s="443" t="s">
        <v>1665</v>
      </c>
      <c r="G158" s="203">
        <v>-81800.349408000009</v>
      </c>
      <c r="H158" s="457" t="s">
        <v>2509</v>
      </c>
      <c r="K158" s="431">
        <v>152</v>
      </c>
      <c r="L158" s="431">
        <v>79</v>
      </c>
      <c r="M158" s="431"/>
      <c r="N158" s="561" t="s">
        <v>303</v>
      </c>
      <c r="O158" s="565" t="s">
        <v>2136</v>
      </c>
      <c r="P158" s="563">
        <v>229746.49</v>
      </c>
      <c r="Q158" s="203">
        <v>117339.64</v>
      </c>
      <c r="R158" s="203">
        <v>142154.70000000001</v>
      </c>
      <c r="S158" s="203">
        <v>9598.1200000000008</v>
      </c>
      <c r="T158" s="203">
        <v>2086.85</v>
      </c>
      <c r="U158" s="203">
        <v>0</v>
      </c>
      <c r="V158" s="203">
        <v>0</v>
      </c>
      <c r="W158" s="529">
        <v>40367.529408000009</v>
      </c>
      <c r="X158" s="564">
        <v>271179.31</v>
      </c>
      <c r="Y158" s="203">
        <v>311546.839408</v>
      </c>
      <c r="Z158" s="203">
        <v>-81800.349408000009</v>
      </c>
      <c r="AA158" s="383">
        <f t="shared" si="2"/>
        <v>0</v>
      </c>
    </row>
    <row r="159" spans="3:27" ht="15">
      <c r="C159" s="431">
        <v>153</v>
      </c>
      <c r="D159" s="431">
        <v>249</v>
      </c>
      <c r="E159" s="443" t="s">
        <v>602</v>
      </c>
      <c r="F159" s="443" t="s">
        <v>1020</v>
      </c>
      <c r="G159" s="203">
        <v>-289295.614604</v>
      </c>
      <c r="H159" s="457" t="s">
        <v>2509</v>
      </c>
      <c r="K159" s="431">
        <v>153</v>
      </c>
      <c r="L159" s="431">
        <v>249</v>
      </c>
      <c r="M159" s="431"/>
      <c r="N159" s="561" t="s">
        <v>602</v>
      </c>
      <c r="O159" s="565" t="s">
        <v>2284</v>
      </c>
      <c r="P159" s="563">
        <v>5272887.82</v>
      </c>
      <c r="Q159" s="203">
        <v>2093007.77</v>
      </c>
      <c r="R159" s="203">
        <v>2279400.12</v>
      </c>
      <c r="S159" s="203">
        <v>174245.36000000002</v>
      </c>
      <c r="T159" s="203">
        <v>52074.630000000005</v>
      </c>
      <c r="U159" s="203">
        <v>640519.09</v>
      </c>
      <c r="V159" s="203">
        <v>-7348.29</v>
      </c>
      <c r="W159" s="529">
        <v>330284.75460400002</v>
      </c>
      <c r="X159" s="564">
        <v>5231898.6800000006</v>
      </c>
      <c r="Y159" s="203">
        <v>5562183.4346040003</v>
      </c>
      <c r="Z159" s="203">
        <v>-289295.614604</v>
      </c>
      <c r="AA159" s="383">
        <f t="shared" si="2"/>
        <v>0</v>
      </c>
    </row>
    <row r="160" spans="3:27" ht="15">
      <c r="C160" s="431">
        <v>154</v>
      </c>
      <c r="D160" s="431">
        <v>248</v>
      </c>
      <c r="E160" s="443" t="s">
        <v>600</v>
      </c>
      <c r="F160" s="443" t="s">
        <v>1019</v>
      </c>
      <c r="G160" s="203">
        <v>-548041.23189999978</v>
      </c>
      <c r="H160" s="457" t="s">
        <v>2509</v>
      </c>
      <c r="K160" s="431">
        <v>154</v>
      </c>
      <c r="L160" s="431">
        <v>248</v>
      </c>
      <c r="M160" s="431"/>
      <c r="N160" s="561" t="s">
        <v>600</v>
      </c>
      <c r="O160" s="565" t="s">
        <v>2283</v>
      </c>
      <c r="P160" s="563">
        <v>977805.3600000001</v>
      </c>
      <c r="Q160" s="203">
        <v>631200.52</v>
      </c>
      <c r="R160" s="203">
        <v>702646.4</v>
      </c>
      <c r="S160" s="203">
        <v>60862.71</v>
      </c>
      <c r="T160" s="203">
        <v>4823.1400000000003</v>
      </c>
      <c r="U160" s="203">
        <v>0</v>
      </c>
      <c r="V160" s="203">
        <v>0</v>
      </c>
      <c r="W160" s="529">
        <v>126313.8219</v>
      </c>
      <c r="X160" s="564">
        <v>1399532.7699999998</v>
      </c>
      <c r="Y160" s="203">
        <v>1525846.5918999999</v>
      </c>
      <c r="Z160" s="203">
        <v>-548041.23189999978</v>
      </c>
      <c r="AA160" s="383">
        <f t="shared" si="2"/>
        <v>0</v>
      </c>
    </row>
    <row r="161" spans="3:27" ht="15">
      <c r="C161" s="431">
        <v>155</v>
      </c>
      <c r="D161" s="431">
        <v>100</v>
      </c>
      <c r="E161" s="443" t="s">
        <v>344</v>
      </c>
      <c r="F161" s="443" t="s">
        <v>909</v>
      </c>
      <c r="G161" s="203">
        <v>-40773.316009999719</v>
      </c>
      <c r="H161" s="457" t="s">
        <v>2509</v>
      </c>
      <c r="K161" s="431">
        <v>155</v>
      </c>
      <c r="L161" s="431">
        <v>100</v>
      </c>
      <c r="M161" s="431" t="s">
        <v>2596</v>
      </c>
      <c r="N161" s="561" t="s">
        <v>344</v>
      </c>
      <c r="O161" s="565" t="s">
        <v>2157</v>
      </c>
      <c r="P161" s="563">
        <v>2159498.8000000003</v>
      </c>
      <c r="Q161" s="566">
        <v>768567.44</v>
      </c>
      <c r="R161" s="566">
        <v>969329.85</v>
      </c>
      <c r="S161" s="566">
        <v>49918.58</v>
      </c>
      <c r="T161" s="567">
        <v>262147.63</v>
      </c>
      <c r="U161" s="566">
        <v>0</v>
      </c>
      <c r="V161" s="567">
        <v>-26615.45</v>
      </c>
      <c r="W161" s="568">
        <v>176924.06601000001</v>
      </c>
      <c r="X161" s="564">
        <v>2023348.05</v>
      </c>
      <c r="Y161" s="203">
        <v>2200272.11601</v>
      </c>
      <c r="Z161" s="203">
        <v>-40773.316009999719</v>
      </c>
      <c r="AA161" s="383">
        <f t="shared" si="2"/>
        <v>0</v>
      </c>
    </row>
    <row r="162" spans="3:27" ht="15">
      <c r="C162" s="431">
        <v>156</v>
      </c>
      <c r="D162" s="431">
        <v>296</v>
      </c>
      <c r="E162" s="443" t="s">
        <v>679</v>
      </c>
      <c r="F162" s="443" t="s">
        <v>1056</v>
      </c>
      <c r="G162" s="203">
        <v>-54174.097424999927</v>
      </c>
      <c r="H162" s="457" t="s">
        <v>2509</v>
      </c>
      <c r="K162" s="431">
        <v>156</v>
      </c>
      <c r="L162" s="431">
        <v>296</v>
      </c>
      <c r="M162" s="431"/>
      <c r="N162" s="561" t="s">
        <v>679</v>
      </c>
      <c r="O162" s="565" t="s">
        <v>2328</v>
      </c>
      <c r="P162" s="563">
        <v>835762.66</v>
      </c>
      <c r="Q162" s="203">
        <v>250351.11</v>
      </c>
      <c r="R162" s="203">
        <v>447124.89999999997</v>
      </c>
      <c r="S162" s="203">
        <v>24837.27</v>
      </c>
      <c r="T162" s="203">
        <v>32960.58</v>
      </c>
      <c r="U162" s="203">
        <v>0</v>
      </c>
      <c r="V162" s="203">
        <v>0</v>
      </c>
      <c r="W162" s="529">
        <v>134662.897425</v>
      </c>
      <c r="X162" s="564">
        <v>755273.86</v>
      </c>
      <c r="Y162" s="203">
        <v>889936.75742499996</v>
      </c>
      <c r="Z162" s="203">
        <v>-54174.097424999927</v>
      </c>
      <c r="AA162" s="383">
        <f t="shared" si="2"/>
        <v>0</v>
      </c>
    </row>
    <row r="163" spans="3:27" ht="15">
      <c r="C163" s="431">
        <v>157</v>
      </c>
      <c r="D163" s="431">
        <v>183</v>
      </c>
      <c r="E163" s="443" t="s">
        <v>482</v>
      </c>
      <c r="F163" s="443" t="s">
        <v>970</v>
      </c>
      <c r="G163" s="203">
        <v>-148551.26988999994</v>
      </c>
      <c r="H163" s="457" t="s">
        <v>2509</v>
      </c>
      <c r="K163" s="431">
        <v>157</v>
      </c>
      <c r="L163" s="431">
        <v>183</v>
      </c>
      <c r="M163" s="431"/>
      <c r="N163" s="561" t="s">
        <v>482</v>
      </c>
      <c r="O163" s="565" t="s">
        <v>2225</v>
      </c>
      <c r="P163" s="563">
        <v>403432.54</v>
      </c>
      <c r="Q163" s="203">
        <v>216003.34</v>
      </c>
      <c r="R163" s="203">
        <v>271647.12</v>
      </c>
      <c r="S163" s="203">
        <v>12741.82</v>
      </c>
      <c r="T163" s="203">
        <v>1187.32</v>
      </c>
      <c r="U163" s="203">
        <v>0</v>
      </c>
      <c r="V163" s="203">
        <v>0</v>
      </c>
      <c r="W163" s="529">
        <v>50404.209889999998</v>
      </c>
      <c r="X163" s="564">
        <v>501579.6</v>
      </c>
      <c r="Y163" s="203">
        <v>551983.80988999992</v>
      </c>
      <c r="Z163" s="203">
        <v>-148551.26988999994</v>
      </c>
      <c r="AA163" s="383">
        <f t="shared" si="2"/>
        <v>0</v>
      </c>
    </row>
    <row r="164" spans="3:27" ht="15">
      <c r="C164" s="431">
        <v>158</v>
      </c>
      <c r="D164" s="431">
        <v>228</v>
      </c>
      <c r="E164" s="443" t="s">
        <v>560</v>
      </c>
      <c r="F164" s="443" t="s">
        <v>1003</v>
      </c>
      <c r="G164" s="203">
        <v>-53482.505056000002</v>
      </c>
      <c r="H164" s="457" t="s">
        <v>2509</v>
      </c>
      <c r="K164" s="431">
        <v>158</v>
      </c>
      <c r="L164" s="431">
        <v>228</v>
      </c>
      <c r="M164" s="431"/>
      <c r="N164" s="561" t="s">
        <v>560</v>
      </c>
      <c r="O164" s="565" t="s">
        <v>2264</v>
      </c>
      <c r="P164" s="563">
        <v>64396.57</v>
      </c>
      <c r="Q164" s="203">
        <v>43360.4</v>
      </c>
      <c r="R164" s="203">
        <v>58013.7</v>
      </c>
      <c r="S164" s="203">
        <v>1562.93</v>
      </c>
      <c r="T164" s="203">
        <v>850.44999999999993</v>
      </c>
      <c r="U164" s="203">
        <v>0</v>
      </c>
      <c r="V164" s="203">
        <v>0</v>
      </c>
      <c r="W164" s="529">
        <v>14091.595055999998</v>
      </c>
      <c r="X164" s="564">
        <v>103787.48</v>
      </c>
      <c r="Y164" s="203">
        <v>117879.075056</v>
      </c>
      <c r="Z164" s="203">
        <v>-53482.505056000002</v>
      </c>
      <c r="AA164" s="383">
        <f t="shared" si="2"/>
        <v>0</v>
      </c>
    </row>
    <row r="165" spans="3:27" ht="15">
      <c r="C165" s="431">
        <v>159</v>
      </c>
      <c r="D165" s="431">
        <v>237</v>
      </c>
      <c r="E165" s="443" t="s">
        <v>578</v>
      </c>
      <c r="F165" s="443" t="s">
        <v>1011</v>
      </c>
      <c r="G165" s="203">
        <v>-100425.23822999978</v>
      </c>
      <c r="H165" s="457" t="s">
        <v>2509</v>
      </c>
      <c r="K165" s="431">
        <v>159</v>
      </c>
      <c r="L165" s="431">
        <v>237</v>
      </c>
      <c r="M165" s="431" t="s">
        <v>2596</v>
      </c>
      <c r="N165" s="561" t="s">
        <v>578</v>
      </c>
      <c r="O165" s="565" t="s">
        <v>2273</v>
      </c>
      <c r="P165" s="563">
        <v>2113860.89</v>
      </c>
      <c r="Q165" s="566">
        <v>797358.78999999992</v>
      </c>
      <c r="R165" s="566">
        <v>1056086.5200000003</v>
      </c>
      <c r="S165" s="566">
        <v>63960.98</v>
      </c>
      <c r="T165" s="566">
        <v>98290.710000000079</v>
      </c>
      <c r="U165" s="566">
        <v>0</v>
      </c>
      <c r="V165" s="566"/>
      <c r="W165" s="568">
        <v>198589.12823000009</v>
      </c>
      <c r="X165" s="564">
        <v>2015697</v>
      </c>
      <c r="Y165" s="203">
        <v>2214286.1282299999</v>
      </c>
      <c r="Z165" s="203">
        <v>-100425.23822999978</v>
      </c>
      <c r="AA165" s="383">
        <f t="shared" si="2"/>
        <v>0</v>
      </c>
    </row>
    <row r="166" spans="3:27" ht="15">
      <c r="C166" s="431">
        <v>160</v>
      </c>
      <c r="D166" s="431">
        <v>80</v>
      </c>
      <c r="E166" s="443" t="s">
        <v>305</v>
      </c>
      <c r="F166" s="443" t="s">
        <v>890</v>
      </c>
      <c r="G166" s="203">
        <v>-132125.85943000007</v>
      </c>
      <c r="H166" s="457" t="s">
        <v>2509</v>
      </c>
      <c r="K166" s="431">
        <v>160</v>
      </c>
      <c r="L166" s="431">
        <v>80</v>
      </c>
      <c r="M166" s="431" t="s">
        <v>2596</v>
      </c>
      <c r="N166" s="561" t="s">
        <v>305</v>
      </c>
      <c r="O166" s="565" t="s">
        <v>2137</v>
      </c>
      <c r="P166" s="563">
        <v>617511.99</v>
      </c>
      <c r="Q166" s="566">
        <v>211350.61</v>
      </c>
      <c r="R166" s="566">
        <v>400964.85</v>
      </c>
      <c r="S166" s="566">
        <v>12527.57</v>
      </c>
      <c r="T166" s="566">
        <v>55930.48000000004</v>
      </c>
      <c r="U166" s="566">
        <v>0</v>
      </c>
      <c r="V166" s="566"/>
      <c r="W166" s="568">
        <v>68864.339430000007</v>
      </c>
      <c r="X166" s="564">
        <v>680773.51</v>
      </c>
      <c r="Y166" s="203">
        <v>749637.84943000006</v>
      </c>
      <c r="Z166" s="203">
        <v>-132125.85943000007</v>
      </c>
      <c r="AA166" s="383">
        <f t="shared" si="2"/>
        <v>0</v>
      </c>
    </row>
    <row r="167" spans="3:27" ht="15">
      <c r="C167" s="431">
        <v>161</v>
      </c>
      <c r="D167" s="431">
        <v>153</v>
      </c>
      <c r="E167" s="443" t="s">
        <v>422</v>
      </c>
      <c r="F167" s="443" t="s">
        <v>941</v>
      </c>
      <c r="G167" s="203">
        <v>-25064.243828000035</v>
      </c>
      <c r="H167" s="457" t="s">
        <v>2509</v>
      </c>
      <c r="K167" s="431">
        <v>161</v>
      </c>
      <c r="L167" s="431">
        <v>153</v>
      </c>
      <c r="M167" s="431"/>
      <c r="N167" s="561" t="s">
        <v>422</v>
      </c>
      <c r="O167" s="565" t="s">
        <v>2195</v>
      </c>
      <c r="P167" s="563">
        <v>315847.64</v>
      </c>
      <c r="Q167" s="203">
        <v>163215.94</v>
      </c>
      <c r="R167" s="203">
        <v>141861.09</v>
      </c>
      <c r="S167" s="203">
        <v>4888.59</v>
      </c>
      <c r="T167" s="203">
        <v>1689</v>
      </c>
      <c r="U167" s="203">
        <v>0</v>
      </c>
      <c r="V167" s="203">
        <v>0</v>
      </c>
      <c r="W167" s="529">
        <v>29257.263827999999</v>
      </c>
      <c r="X167" s="564">
        <v>311654.62000000005</v>
      </c>
      <c r="Y167" s="203">
        <v>340911.88382800005</v>
      </c>
      <c r="Z167" s="203">
        <v>-25064.243828000035</v>
      </c>
      <c r="AA167" s="383">
        <f t="shared" si="2"/>
        <v>0</v>
      </c>
    </row>
    <row r="168" spans="3:27" ht="15">
      <c r="C168" s="431">
        <v>162</v>
      </c>
      <c r="D168" s="431">
        <v>72</v>
      </c>
      <c r="E168" s="443" t="s">
        <v>289</v>
      </c>
      <c r="F168" s="443" t="s">
        <v>883</v>
      </c>
      <c r="G168" s="203">
        <v>-220077.29082099907</v>
      </c>
      <c r="H168" s="457" t="s">
        <v>2509</v>
      </c>
      <c r="K168" s="431">
        <v>162</v>
      </c>
      <c r="L168" s="431">
        <v>72</v>
      </c>
      <c r="M168" s="431" t="s">
        <v>2596</v>
      </c>
      <c r="N168" s="561" t="s">
        <v>289</v>
      </c>
      <c r="O168" s="565" t="s">
        <v>2129</v>
      </c>
      <c r="P168" s="563">
        <v>5725397.6900000004</v>
      </c>
      <c r="Q168" s="566">
        <v>2197516.7800000003</v>
      </c>
      <c r="R168" s="566">
        <v>3379501.48</v>
      </c>
      <c r="S168" s="566">
        <v>160826.70000000001</v>
      </c>
      <c r="T168" s="566">
        <v>-330635.4499999999</v>
      </c>
      <c r="U168" s="566">
        <v>0</v>
      </c>
      <c r="V168" s="566"/>
      <c r="W168" s="568">
        <v>538265.47082100005</v>
      </c>
      <c r="X168" s="564">
        <v>5407209.5099999998</v>
      </c>
      <c r="Y168" s="203">
        <v>5945474.9808209995</v>
      </c>
      <c r="Z168" s="203">
        <v>-220077.29082099907</v>
      </c>
      <c r="AA168" s="383">
        <f t="shared" si="2"/>
        <v>0</v>
      </c>
    </row>
    <row r="169" spans="3:27" ht="15">
      <c r="C169" s="431">
        <v>163</v>
      </c>
      <c r="D169" s="431">
        <v>152</v>
      </c>
      <c r="E169" s="443" t="s">
        <v>420</v>
      </c>
      <c r="F169" s="443" t="s">
        <v>940</v>
      </c>
      <c r="G169" s="203">
        <v>-16012.556749999989</v>
      </c>
      <c r="H169" s="457" t="s">
        <v>2509</v>
      </c>
      <c r="K169" s="431">
        <v>163</v>
      </c>
      <c r="L169" s="431">
        <v>152</v>
      </c>
      <c r="M169" s="431"/>
      <c r="N169" s="561" t="s">
        <v>420</v>
      </c>
      <c r="O169" s="565" t="s">
        <v>2194</v>
      </c>
      <c r="P169" s="563">
        <v>528537.14</v>
      </c>
      <c r="Q169" s="203">
        <v>239320.3</v>
      </c>
      <c r="R169" s="203">
        <v>187851.55000000002</v>
      </c>
      <c r="S169" s="203">
        <v>27841.91</v>
      </c>
      <c r="T169" s="203">
        <v>41884.090000000004</v>
      </c>
      <c r="U169" s="203">
        <v>0</v>
      </c>
      <c r="V169" s="203">
        <v>0</v>
      </c>
      <c r="W169" s="529">
        <v>47651.846750000004</v>
      </c>
      <c r="X169" s="564">
        <v>496897.85</v>
      </c>
      <c r="Y169" s="203">
        <v>544549.69675</v>
      </c>
      <c r="Z169" s="203">
        <v>-16012.556749999989</v>
      </c>
      <c r="AA169" s="383">
        <f t="shared" si="2"/>
        <v>0</v>
      </c>
    </row>
    <row r="170" spans="3:27" ht="15">
      <c r="C170" s="431">
        <v>164</v>
      </c>
      <c r="D170" s="431">
        <v>328</v>
      </c>
      <c r="E170" s="443" t="s">
        <v>737</v>
      </c>
      <c r="F170" s="443" t="s">
        <v>1080</v>
      </c>
      <c r="G170" s="203">
        <v>-270449.57638099988</v>
      </c>
      <c r="H170" s="457" t="s">
        <v>2509</v>
      </c>
      <c r="K170" s="431">
        <v>164</v>
      </c>
      <c r="L170" s="431">
        <v>328</v>
      </c>
      <c r="M170" s="431" t="s">
        <v>2596</v>
      </c>
      <c r="N170" s="561" t="s">
        <v>737</v>
      </c>
      <c r="O170" s="565" t="s">
        <v>2355</v>
      </c>
      <c r="P170" s="563">
        <v>762514.8600000001</v>
      </c>
      <c r="Q170" s="566">
        <v>396014.66000000003</v>
      </c>
      <c r="R170" s="566">
        <v>357419.61</v>
      </c>
      <c r="S170" s="566">
        <v>51049.81</v>
      </c>
      <c r="T170" s="566">
        <v>92710.669999999984</v>
      </c>
      <c r="U170" s="566">
        <v>0</v>
      </c>
      <c r="V170" s="566"/>
      <c r="W170" s="568">
        <v>135769.68638099998</v>
      </c>
      <c r="X170" s="564">
        <v>897194.75</v>
      </c>
      <c r="Y170" s="203">
        <v>1032964.436381</v>
      </c>
      <c r="Z170" s="203">
        <v>-270449.57638099988</v>
      </c>
      <c r="AA170" s="383">
        <f t="shared" si="2"/>
        <v>0</v>
      </c>
    </row>
    <row r="171" spans="3:27" ht="15">
      <c r="C171" s="431">
        <v>165</v>
      </c>
      <c r="D171" s="431">
        <v>298</v>
      </c>
      <c r="E171" s="443" t="s">
        <v>683</v>
      </c>
      <c r="F171" s="443" t="s">
        <v>1058</v>
      </c>
      <c r="G171" s="203">
        <v>-20780.614000000525</v>
      </c>
      <c r="H171" s="457" t="s">
        <v>2509</v>
      </c>
      <c r="K171" s="431">
        <v>165</v>
      </c>
      <c r="L171" s="431">
        <v>298</v>
      </c>
      <c r="M171" s="431"/>
      <c r="N171" s="561" t="s">
        <v>683</v>
      </c>
      <c r="O171" s="565" t="s">
        <v>2330</v>
      </c>
      <c r="P171" s="563">
        <v>1391008.3299999998</v>
      </c>
      <c r="Q171" s="203">
        <v>327143.24</v>
      </c>
      <c r="R171" s="203">
        <v>788876.4800000001</v>
      </c>
      <c r="S171" s="203">
        <v>174029.08</v>
      </c>
      <c r="T171" s="203">
        <v>18655.68</v>
      </c>
      <c r="U171" s="203">
        <v>4928.34</v>
      </c>
      <c r="V171" s="203">
        <v>0</v>
      </c>
      <c r="W171" s="529">
        <v>98156.124000000011</v>
      </c>
      <c r="X171" s="564">
        <v>1313632.8200000003</v>
      </c>
      <c r="Y171" s="203">
        <v>1411788.9440000004</v>
      </c>
      <c r="Z171" s="203">
        <v>-20780.614000000525</v>
      </c>
      <c r="AA171" s="383">
        <f t="shared" si="2"/>
        <v>0</v>
      </c>
    </row>
    <row r="172" spans="3:27" ht="15">
      <c r="C172" s="431">
        <v>166</v>
      </c>
      <c r="D172" s="431">
        <v>227</v>
      </c>
      <c r="E172" s="445" t="s">
        <v>558</v>
      </c>
      <c r="F172" s="446" t="s">
        <v>2383</v>
      </c>
      <c r="G172" s="203">
        <v>-568.27441799999997</v>
      </c>
      <c r="H172" s="457" t="s">
        <v>2509</v>
      </c>
      <c r="K172" s="431">
        <v>166</v>
      </c>
      <c r="L172" s="431">
        <v>227</v>
      </c>
      <c r="M172" s="431"/>
      <c r="N172" s="561" t="s">
        <v>558</v>
      </c>
      <c r="O172" s="565" t="s">
        <v>2383</v>
      </c>
      <c r="P172" s="563">
        <v>1751.5</v>
      </c>
      <c r="Q172" s="203">
        <v>1233.1300000000001</v>
      </c>
      <c r="R172" s="203">
        <v>0</v>
      </c>
      <c r="S172" s="203">
        <v>394.22</v>
      </c>
      <c r="T172" s="203">
        <v>370</v>
      </c>
      <c r="U172" s="203">
        <v>0</v>
      </c>
      <c r="V172" s="203">
        <v>0</v>
      </c>
      <c r="W172" s="529">
        <v>322.424418</v>
      </c>
      <c r="X172" s="564">
        <v>1997.3500000000001</v>
      </c>
      <c r="Y172" s="203">
        <v>2319.774418</v>
      </c>
      <c r="Z172" s="203">
        <v>-568.27441799999997</v>
      </c>
      <c r="AA172" s="383">
        <f t="shared" si="2"/>
        <v>0</v>
      </c>
    </row>
    <row r="173" spans="3:27" ht="15">
      <c r="C173" s="431">
        <v>167</v>
      </c>
      <c r="D173" s="431">
        <v>224</v>
      </c>
      <c r="E173" s="443" t="s">
        <v>554</v>
      </c>
      <c r="F173" s="443" t="s">
        <v>1674</v>
      </c>
      <c r="G173" s="203">
        <v>-195475.04015999939</v>
      </c>
      <c r="H173" s="457" t="s">
        <v>2509</v>
      </c>
      <c r="K173" s="431">
        <v>167</v>
      </c>
      <c r="L173" s="431">
        <v>224</v>
      </c>
      <c r="M173" s="431"/>
      <c r="N173" s="561" t="s">
        <v>554</v>
      </c>
      <c r="O173" s="565" t="s">
        <v>2262</v>
      </c>
      <c r="P173" s="563">
        <v>4587686.9000000004</v>
      </c>
      <c r="Q173" s="203">
        <v>1901675.97</v>
      </c>
      <c r="R173" s="203">
        <v>2503979.16</v>
      </c>
      <c r="S173" s="203">
        <v>71828.53</v>
      </c>
      <c r="T173" s="203">
        <v>90260.010000000009</v>
      </c>
      <c r="U173" s="203">
        <v>0</v>
      </c>
      <c r="V173" s="203">
        <v>0</v>
      </c>
      <c r="W173" s="529">
        <v>215418.27016000001</v>
      </c>
      <c r="X173" s="564">
        <v>4567743.67</v>
      </c>
      <c r="Y173" s="203">
        <v>4783161.9401599998</v>
      </c>
      <c r="Z173" s="203">
        <v>-195475.04015999939</v>
      </c>
      <c r="AA173" s="383">
        <f t="shared" si="2"/>
        <v>0</v>
      </c>
    </row>
    <row r="174" spans="3:27" ht="15">
      <c r="C174" s="431">
        <v>168</v>
      </c>
      <c r="D174" s="431">
        <v>118</v>
      </c>
      <c r="E174" s="443" t="s">
        <v>1177</v>
      </c>
      <c r="F174" s="443" t="s">
        <v>2500</v>
      </c>
      <c r="G174" s="203">
        <v>0</v>
      </c>
      <c r="H174" s="457" t="s">
        <v>2509</v>
      </c>
      <c r="K174" s="431">
        <v>168</v>
      </c>
      <c r="L174" s="431">
        <v>118</v>
      </c>
      <c r="M174" s="431"/>
      <c r="N174" s="561" t="s">
        <v>1177</v>
      </c>
      <c r="O174" s="565" t="s">
        <v>2374</v>
      </c>
      <c r="P174" s="563">
        <v>83747.53</v>
      </c>
      <c r="Q174" s="203">
        <v>83747.53</v>
      </c>
      <c r="R174" s="203">
        <v>0</v>
      </c>
      <c r="S174" s="203">
        <v>0</v>
      </c>
      <c r="T174" s="203">
        <v>0</v>
      </c>
      <c r="U174" s="203">
        <v>0</v>
      </c>
      <c r="V174" s="203">
        <v>0</v>
      </c>
      <c r="W174" s="529">
        <v>0</v>
      </c>
      <c r="X174" s="564">
        <v>83747.53</v>
      </c>
      <c r="Y174" s="203">
        <v>83747.53</v>
      </c>
      <c r="Z174" s="203">
        <v>0</v>
      </c>
      <c r="AA174" s="383">
        <f t="shared" si="2"/>
        <v>0</v>
      </c>
    </row>
    <row r="175" spans="3:27" ht="15">
      <c r="C175" s="431">
        <v>169</v>
      </c>
      <c r="D175" s="431">
        <v>232</v>
      </c>
      <c r="E175" s="443" t="s">
        <v>568</v>
      </c>
      <c r="F175" s="443" t="s">
        <v>1006</v>
      </c>
      <c r="G175" s="203">
        <v>696075.55413400196</v>
      </c>
      <c r="H175" s="457" t="s">
        <v>2509</v>
      </c>
      <c r="K175" s="431">
        <v>169</v>
      </c>
      <c r="L175" s="431">
        <v>232</v>
      </c>
      <c r="M175" s="431" t="s">
        <v>2596</v>
      </c>
      <c r="N175" s="561" t="s">
        <v>568</v>
      </c>
      <c r="O175" s="565" t="s">
        <v>2268</v>
      </c>
      <c r="P175" s="563">
        <v>9342239.5899999999</v>
      </c>
      <c r="Q175" s="566">
        <v>3155500.57</v>
      </c>
      <c r="R175" s="566">
        <v>4142996.3</v>
      </c>
      <c r="S175" s="566">
        <v>351581.42000000004</v>
      </c>
      <c r="T175" s="567">
        <v>308139.21000000002</v>
      </c>
      <c r="U175" s="567">
        <v>39440.68</v>
      </c>
      <c r="V175" s="567">
        <v>-4950</v>
      </c>
      <c r="W175" s="568">
        <v>653455.85586599994</v>
      </c>
      <c r="X175" s="564">
        <v>7992708.1799999988</v>
      </c>
      <c r="Y175" s="203">
        <v>8646164.0358659979</v>
      </c>
      <c r="Z175" s="203">
        <v>696075.55413400196</v>
      </c>
      <c r="AA175" s="383">
        <f t="shared" si="2"/>
        <v>0</v>
      </c>
    </row>
    <row r="176" spans="3:27" ht="15">
      <c r="C176" s="431">
        <v>170</v>
      </c>
      <c r="D176" s="431">
        <v>315</v>
      </c>
      <c r="E176" s="443" t="s">
        <v>713</v>
      </c>
      <c r="F176" s="443" t="s">
        <v>1069</v>
      </c>
      <c r="G176" s="203">
        <v>-248783.96953999996</v>
      </c>
      <c r="H176" s="457" t="s">
        <v>2509</v>
      </c>
      <c r="K176" s="431">
        <v>170</v>
      </c>
      <c r="L176" s="431">
        <v>315</v>
      </c>
      <c r="M176" s="431"/>
      <c r="N176" s="561" t="s">
        <v>713</v>
      </c>
      <c r="O176" s="565" t="s">
        <v>2342</v>
      </c>
      <c r="P176" s="563">
        <v>967307.83000000007</v>
      </c>
      <c r="Q176" s="203">
        <v>460779.03</v>
      </c>
      <c r="R176" s="203">
        <v>572675.59</v>
      </c>
      <c r="S176" s="203">
        <v>56450.55</v>
      </c>
      <c r="T176" s="203">
        <v>10429.849999999999</v>
      </c>
      <c r="U176" s="203">
        <v>0</v>
      </c>
      <c r="V176" s="203">
        <v>-8551.17</v>
      </c>
      <c r="W176" s="529">
        <v>124307.94954</v>
      </c>
      <c r="X176" s="564">
        <v>1091783.8500000001</v>
      </c>
      <c r="Y176" s="203">
        <v>1216091.79954</v>
      </c>
      <c r="Z176" s="203">
        <v>-248783.96953999996</v>
      </c>
      <c r="AA176" s="383">
        <f t="shared" si="2"/>
        <v>0</v>
      </c>
    </row>
    <row r="177" spans="3:27" ht="15">
      <c r="C177" s="431">
        <v>171</v>
      </c>
      <c r="D177" s="431">
        <v>150</v>
      </c>
      <c r="E177" s="443" t="s">
        <v>416</v>
      </c>
      <c r="F177" s="443" t="s">
        <v>939</v>
      </c>
      <c r="G177" s="203">
        <v>-2554.5326350000687</v>
      </c>
      <c r="H177" s="457" t="s">
        <v>2509</v>
      </c>
      <c r="K177" s="431">
        <v>171</v>
      </c>
      <c r="L177" s="431">
        <v>150</v>
      </c>
      <c r="M177" s="431" t="s">
        <v>2596</v>
      </c>
      <c r="N177" s="561" t="s">
        <v>416</v>
      </c>
      <c r="O177" s="565" t="s">
        <v>2193</v>
      </c>
      <c r="P177" s="563">
        <v>354502.69999999995</v>
      </c>
      <c r="Q177" s="566">
        <v>121303.8</v>
      </c>
      <c r="R177" s="566">
        <v>146240.70000000001</v>
      </c>
      <c r="S177" s="566">
        <v>6091.8799999999992</v>
      </c>
      <c r="T177" s="567">
        <v>42483.05</v>
      </c>
      <c r="U177" s="566">
        <v>0</v>
      </c>
      <c r="V177" s="567">
        <v>-700</v>
      </c>
      <c r="W177" s="568">
        <v>41637.802635</v>
      </c>
      <c r="X177" s="564">
        <v>315419.43</v>
      </c>
      <c r="Y177" s="203">
        <v>357057.23263500002</v>
      </c>
      <c r="Z177" s="203">
        <v>-2554.5326350000687</v>
      </c>
      <c r="AA177" s="383">
        <f t="shared" si="2"/>
        <v>0</v>
      </c>
    </row>
    <row r="178" spans="3:27" ht="15">
      <c r="C178" s="431">
        <v>172</v>
      </c>
      <c r="D178" s="431">
        <v>190</v>
      </c>
      <c r="E178" s="443" t="s">
        <v>494</v>
      </c>
      <c r="F178" s="443" t="s">
        <v>1670</v>
      </c>
      <c r="G178" s="203">
        <v>-15181.197451999964</v>
      </c>
      <c r="H178" s="457" t="s">
        <v>2509</v>
      </c>
      <c r="K178" s="431">
        <v>172</v>
      </c>
      <c r="L178" s="431">
        <v>190</v>
      </c>
      <c r="M178" s="431"/>
      <c r="N178" s="561" t="s">
        <v>494</v>
      </c>
      <c r="O178" s="565" t="s">
        <v>2231</v>
      </c>
      <c r="P178" s="563">
        <v>245641.12000000002</v>
      </c>
      <c r="Q178" s="203">
        <v>116651.46</v>
      </c>
      <c r="R178" s="203">
        <v>115784.9</v>
      </c>
      <c r="S178" s="203">
        <v>7839.32</v>
      </c>
      <c r="T178" s="203">
        <v>1166.6199999999999</v>
      </c>
      <c r="U178" s="203">
        <v>0</v>
      </c>
      <c r="V178" s="203">
        <v>0</v>
      </c>
      <c r="W178" s="529">
        <v>19380.017452</v>
      </c>
      <c r="X178" s="564">
        <v>241442.3</v>
      </c>
      <c r="Y178" s="203">
        <v>260822.31745199999</v>
      </c>
      <c r="Z178" s="203">
        <v>-15181.197451999964</v>
      </c>
      <c r="AA178" s="383">
        <f t="shared" si="2"/>
        <v>0</v>
      </c>
    </row>
    <row r="179" spans="3:27" ht="15">
      <c r="C179" s="431">
        <v>173</v>
      </c>
      <c r="D179" s="431">
        <v>178</v>
      </c>
      <c r="E179" s="443" t="s">
        <v>472</v>
      </c>
      <c r="F179" s="443" t="s">
        <v>965</v>
      </c>
      <c r="G179" s="203">
        <v>-138206.25490200002</v>
      </c>
      <c r="H179" s="457" t="s">
        <v>2509</v>
      </c>
      <c r="K179" s="431">
        <v>173</v>
      </c>
      <c r="L179" s="431">
        <v>178</v>
      </c>
      <c r="M179" s="431"/>
      <c r="N179" s="561" t="s">
        <v>472</v>
      </c>
      <c r="O179" s="565" t="s">
        <v>2220</v>
      </c>
      <c r="P179" s="563">
        <v>161088.54999999999</v>
      </c>
      <c r="Q179" s="203">
        <v>88164.41</v>
      </c>
      <c r="R179" s="203">
        <v>151044.79</v>
      </c>
      <c r="S179" s="203">
        <v>9298.7899999999991</v>
      </c>
      <c r="T179" s="203">
        <v>5456.95</v>
      </c>
      <c r="U179" s="203">
        <v>0</v>
      </c>
      <c r="V179" s="203">
        <v>0</v>
      </c>
      <c r="W179" s="529">
        <v>45329.864902000001</v>
      </c>
      <c r="X179" s="564">
        <v>253964.94000000003</v>
      </c>
      <c r="Y179" s="203">
        <v>299294.804902</v>
      </c>
      <c r="Z179" s="203">
        <v>-138206.25490200002</v>
      </c>
      <c r="AA179" s="383">
        <f t="shared" si="2"/>
        <v>0</v>
      </c>
    </row>
    <row r="180" spans="3:27" ht="15">
      <c r="C180" s="431">
        <v>174</v>
      </c>
      <c r="D180" s="431">
        <v>193</v>
      </c>
      <c r="E180" s="443" t="s">
        <v>499</v>
      </c>
      <c r="F180" s="443" t="s">
        <v>979</v>
      </c>
      <c r="G180" s="203">
        <v>-32899.332912000013</v>
      </c>
      <c r="H180" s="457" t="s">
        <v>2509</v>
      </c>
      <c r="K180" s="431">
        <v>174</v>
      </c>
      <c r="L180" s="431">
        <v>193</v>
      </c>
      <c r="M180" s="431"/>
      <c r="N180" s="561" t="s">
        <v>499</v>
      </c>
      <c r="O180" s="565" t="s">
        <v>2234</v>
      </c>
      <c r="P180" s="563">
        <v>1003834.8400000001</v>
      </c>
      <c r="Q180" s="203">
        <v>397566.63</v>
      </c>
      <c r="R180" s="203">
        <v>466050.52</v>
      </c>
      <c r="S180" s="203">
        <v>17784.5</v>
      </c>
      <c r="T180" s="203">
        <v>4494.26</v>
      </c>
      <c r="U180" s="203">
        <v>100589.18</v>
      </c>
      <c r="V180" s="203">
        <v>0</v>
      </c>
      <c r="W180" s="529">
        <v>50249.082912000005</v>
      </c>
      <c r="X180" s="564">
        <v>986485.09000000008</v>
      </c>
      <c r="Y180" s="203">
        <v>1036734.1729120001</v>
      </c>
      <c r="Z180" s="203">
        <v>-32899.332912000013</v>
      </c>
      <c r="AA180" s="383">
        <f t="shared" si="2"/>
        <v>0</v>
      </c>
    </row>
    <row r="181" spans="3:27" ht="15">
      <c r="C181" s="431">
        <v>175</v>
      </c>
      <c r="D181" s="431">
        <v>247</v>
      </c>
      <c r="E181" s="443" t="s">
        <v>598</v>
      </c>
      <c r="F181" s="443" t="s">
        <v>1018</v>
      </c>
      <c r="G181" s="203">
        <v>-168440.54937599995</v>
      </c>
      <c r="H181" s="457" t="s">
        <v>2509</v>
      </c>
      <c r="K181" s="431">
        <v>175</v>
      </c>
      <c r="L181" s="431">
        <v>247</v>
      </c>
      <c r="M181" s="431"/>
      <c r="N181" s="561" t="s">
        <v>598</v>
      </c>
      <c r="O181" s="565" t="s">
        <v>2282</v>
      </c>
      <c r="P181" s="563">
        <v>550343.82000000007</v>
      </c>
      <c r="Q181" s="203">
        <v>200307.76</v>
      </c>
      <c r="R181" s="203">
        <v>413445.47000000003</v>
      </c>
      <c r="S181" s="203">
        <v>25500.959999999999</v>
      </c>
      <c r="T181" s="203">
        <v>11667.98</v>
      </c>
      <c r="U181" s="203">
        <v>0</v>
      </c>
      <c r="V181" s="203">
        <v>-2570.33</v>
      </c>
      <c r="W181" s="529">
        <v>70432.529376000006</v>
      </c>
      <c r="X181" s="564">
        <v>648351.84</v>
      </c>
      <c r="Y181" s="203">
        <v>718784.36937600002</v>
      </c>
      <c r="Z181" s="203">
        <v>-168440.54937599995</v>
      </c>
      <c r="AA181" s="383">
        <f t="shared" si="2"/>
        <v>0</v>
      </c>
    </row>
    <row r="182" spans="3:27" ht="15">
      <c r="C182" s="431">
        <v>176</v>
      </c>
      <c r="D182" s="431">
        <v>297</v>
      </c>
      <c r="E182" s="443" t="s">
        <v>681</v>
      </c>
      <c r="F182" s="443" t="s">
        <v>1057</v>
      </c>
      <c r="G182" s="203">
        <v>-81505.257150000194</v>
      </c>
      <c r="H182" s="457" t="s">
        <v>2509</v>
      </c>
      <c r="K182" s="431">
        <v>176</v>
      </c>
      <c r="L182" s="431">
        <v>297</v>
      </c>
      <c r="M182" s="431"/>
      <c r="N182" s="561" t="s">
        <v>681</v>
      </c>
      <c r="O182" s="565" t="s">
        <v>2329</v>
      </c>
      <c r="P182" s="563">
        <v>1762339.8499999999</v>
      </c>
      <c r="Q182" s="203">
        <v>778146.3</v>
      </c>
      <c r="R182" s="203">
        <v>786782.33</v>
      </c>
      <c r="S182" s="203">
        <v>91438.650000000009</v>
      </c>
      <c r="T182" s="203">
        <v>26856.120000000003</v>
      </c>
      <c r="U182" s="203">
        <v>9926.3700000000008</v>
      </c>
      <c r="V182" s="203">
        <v>0</v>
      </c>
      <c r="W182" s="529">
        <v>150695.33715000001</v>
      </c>
      <c r="X182" s="564">
        <v>1693149.77</v>
      </c>
      <c r="Y182" s="203">
        <v>1843845.1071500001</v>
      </c>
      <c r="Z182" s="203">
        <v>-81505.257150000194</v>
      </c>
      <c r="AA182" s="383">
        <f t="shared" si="2"/>
        <v>0</v>
      </c>
    </row>
    <row r="183" spans="3:27" ht="15">
      <c r="C183" s="431">
        <v>177</v>
      </c>
      <c r="D183" s="431">
        <v>78</v>
      </c>
      <c r="E183" s="443" t="s">
        <v>301</v>
      </c>
      <c r="F183" s="443" t="s">
        <v>889</v>
      </c>
      <c r="G183" s="203">
        <v>-142278.84286200011</v>
      </c>
      <c r="H183" s="457" t="s">
        <v>2509</v>
      </c>
      <c r="K183" s="431">
        <v>177</v>
      </c>
      <c r="L183" s="431">
        <v>78</v>
      </c>
      <c r="M183" s="431"/>
      <c r="N183" s="561" t="s">
        <v>301</v>
      </c>
      <c r="O183" s="565" t="s">
        <v>2135</v>
      </c>
      <c r="P183" s="563">
        <v>480801.22</v>
      </c>
      <c r="Q183" s="203">
        <v>193043.23</v>
      </c>
      <c r="R183" s="203">
        <v>351458.37</v>
      </c>
      <c r="S183" s="203">
        <v>4843.42</v>
      </c>
      <c r="T183" s="203">
        <v>2002.52</v>
      </c>
      <c r="U183" s="203">
        <v>0</v>
      </c>
      <c r="V183" s="203">
        <v>0</v>
      </c>
      <c r="W183" s="529">
        <v>71732.522861999998</v>
      </c>
      <c r="X183" s="564">
        <v>551347.54</v>
      </c>
      <c r="Y183" s="203">
        <v>623080.06286200008</v>
      </c>
      <c r="Z183" s="203">
        <v>-142278.84286200011</v>
      </c>
      <c r="AA183" s="383">
        <f t="shared" si="2"/>
        <v>0</v>
      </c>
    </row>
    <row r="184" spans="3:27" ht="15">
      <c r="C184" s="431">
        <v>178</v>
      </c>
      <c r="D184" s="431">
        <v>61</v>
      </c>
      <c r="E184" s="443" t="s">
        <v>269</v>
      </c>
      <c r="F184" s="443" t="s">
        <v>875</v>
      </c>
      <c r="G184" s="203">
        <v>-121477.2723690006</v>
      </c>
      <c r="H184" s="457" t="s">
        <v>2509</v>
      </c>
      <c r="K184" s="431">
        <v>178</v>
      </c>
      <c r="L184" s="431">
        <v>61</v>
      </c>
      <c r="M184" s="431"/>
      <c r="N184" s="561" t="s">
        <v>269</v>
      </c>
      <c r="O184" s="565" t="s">
        <v>2120</v>
      </c>
      <c r="P184" s="563">
        <v>1437574.7199999997</v>
      </c>
      <c r="Q184" s="203">
        <v>643164.41</v>
      </c>
      <c r="R184" s="203">
        <v>646841.62000000011</v>
      </c>
      <c r="S184" s="203">
        <v>71574.790000000008</v>
      </c>
      <c r="T184" s="203">
        <v>74963.48000000001</v>
      </c>
      <c r="U184" s="203">
        <v>9768.41</v>
      </c>
      <c r="V184" s="203">
        <v>0</v>
      </c>
      <c r="W184" s="529">
        <v>112739.28236900002</v>
      </c>
      <c r="X184" s="564">
        <v>1446312.7100000002</v>
      </c>
      <c r="Y184" s="203">
        <v>1559051.9923690003</v>
      </c>
      <c r="Z184" s="203">
        <v>-121477.2723690006</v>
      </c>
      <c r="AA184" s="383">
        <f t="shared" si="2"/>
        <v>0</v>
      </c>
    </row>
    <row r="185" spans="3:27" ht="15">
      <c r="C185" s="431">
        <v>179</v>
      </c>
      <c r="D185" s="431">
        <v>128</v>
      </c>
      <c r="E185" s="443" t="s">
        <v>378</v>
      </c>
      <c r="F185" s="443" t="s">
        <v>926</v>
      </c>
      <c r="G185" s="203">
        <v>-665217.97360000014</v>
      </c>
      <c r="H185" s="457" t="s">
        <v>2509</v>
      </c>
      <c r="K185" s="431">
        <v>179</v>
      </c>
      <c r="L185" s="431">
        <v>128</v>
      </c>
      <c r="M185" s="431"/>
      <c r="N185" s="561" t="s">
        <v>378</v>
      </c>
      <c r="O185" s="565" t="s">
        <v>2178</v>
      </c>
      <c r="P185" s="563">
        <v>2347935.48</v>
      </c>
      <c r="Q185" s="203">
        <v>865009.17</v>
      </c>
      <c r="R185" s="203">
        <v>1649405.81</v>
      </c>
      <c r="S185" s="203">
        <v>89380.94</v>
      </c>
      <c r="T185" s="203">
        <v>92593.4</v>
      </c>
      <c r="U185" s="203">
        <v>5719.99</v>
      </c>
      <c r="V185" s="203">
        <v>-13301.15</v>
      </c>
      <c r="W185" s="529">
        <v>324345.29360000003</v>
      </c>
      <c r="X185" s="564">
        <v>2688808.16</v>
      </c>
      <c r="Y185" s="203">
        <v>3013153.4536000001</v>
      </c>
      <c r="Z185" s="203">
        <v>-665217.97360000014</v>
      </c>
      <c r="AA185" s="383">
        <f t="shared" si="2"/>
        <v>0</v>
      </c>
    </row>
    <row r="186" spans="3:27" ht="15">
      <c r="C186" s="431">
        <v>180</v>
      </c>
      <c r="D186" s="431">
        <v>176</v>
      </c>
      <c r="E186" s="443" t="s">
        <v>468</v>
      </c>
      <c r="F186" s="443" t="s">
        <v>963</v>
      </c>
      <c r="G186" s="203">
        <v>-9846.4561029996257</v>
      </c>
      <c r="H186" s="457" t="s">
        <v>2509</v>
      </c>
      <c r="K186" s="431">
        <v>180</v>
      </c>
      <c r="L186" s="431">
        <v>176</v>
      </c>
      <c r="M186" s="431"/>
      <c r="N186" s="561" t="s">
        <v>468</v>
      </c>
      <c r="O186" s="565" t="s">
        <v>2218</v>
      </c>
      <c r="P186" s="563">
        <v>1792026.1300000001</v>
      </c>
      <c r="Q186" s="203">
        <v>858440.39</v>
      </c>
      <c r="R186" s="203">
        <v>812682.19</v>
      </c>
      <c r="S186" s="203">
        <v>11997.38</v>
      </c>
      <c r="T186" s="203">
        <v>7715.3799999999992</v>
      </c>
      <c r="U186" s="203">
        <v>0</v>
      </c>
      <c r="V186" s="203">
        <v>-6344.52</v>
      </c>
      <c r="W186" s="529">
        <v>117381.76610299999</v>
      </c>
      <c r="X186" s="564">
        <v>1684490.8199999998</v>
      </c>
      <c r="Y186" s="203">
        <v>1801872.5861029997</v>
      </c>
      <c r="Z186" s="203">
        <v>-9846.4561029996257</v>
      </c>
      <c r="AA186" s="383">
        <f t="shared" si="2"/>
        <v>0</v>
      </c>
    </row>
    <row r="187" spans="3:27" ht="15">
      <c r="C187" s="431">
        <v>181</v>
      </c>
      <c r="D187" s="431">
        <v>192</v>
      </c>
      <c r="E187" s="443" t="s">
        <v>497</v>
      </c>
      <c r="F187" s="443" t="s">
        <v>978</v>
      </c>
      <c r="G187" s="203">
        <v>-94238.293919999996</v>
      </c>
      <c r="H187" s="457" t="s">
        <v>2509</v>
      </c>
      <c r="K187" s="431">
        <v>181</v>
      </c>
      <c r="L187" s="431">
        <v>192</v>
      </c>
      <c r="M187" s="431"/>
      <c r="N187" s="561" t="s">
        <v>497</v>
      </c>
      <c r="O187" s="565" t="s">
        <v>2233</v>
      </c>
      <c r="P187" s="563">
        <v>74374.37</v>
      </c>
      <c r="Q187" s="203">
        <v>60546.63</v>
      </c>
      <c r="R187" s="203">
        <v>83265.240000000005</v>
      </c>
      <c r="S187" s="203">
        <v>2230.04</v>
      </c>
      <c r="T187" s="203">
        <v>0</v>
      </c>
      <c r="U187" s="203">
        <v>0</v>
      </c>
      <c r="V187" s="203">
        <v>0</v>
      </c>
      <c r="W187" s="529">
        <v>22570.753919999999</v>
      </c>
      <c r="X187" s="564">
        <v>146041.91</v>
      </c>
      <c r="Y187" s="203">
        <v>168612.66391999999</v>
      </c>
      <c r="Z187" s="203">
        <v>-94238.293919999996</v>
      </c>
      <c r="AA187" s="383">
        <f t="shared" si="2"/>
        <v>0</v>
      </c>
    </row>
    <row r="188" spans="3:27" ht="15">
      <c r="C188" s="431">
        <v>182</v>
      </c>
      <c r="D188" s="431">
        <v>275</v>
      </c>
      <c r="E188" s="443" t="s">
        <v>642</v>
      </c>
      <c r="F188" s="443" t="s">
        <v>1038</v>
      </c>
      <c r="G188" s="203">
        <v>-572661.1390270004</v>
      </c>
      <c r="H188" s="457" t="s">
        <v>2509</v>
      </c>
      <c r="K188" s="431">
        <v>182</v>
      </c>
      <c r="L188" s="431">
        <v>275</v>
      </c>
      <c r="M188" s="431"/>
      <c r="N188" s="561" t="s">
        <v>642</v>
      </c>
      <c r="O188" s="565" t="s">
        <v>2308</v>
      </c>
      <c r="P188" s="563">
        <v>7790926.4100000001</v>
      </c>
      <c r="Q188" s="203">
        <v>2982655.17</v>
      </c>
      <c r="R188" s="203">
        <v>4466555.9800000004</v>
      </c>
      <c r="S188" s="203">
        <v>258832.64000000001</v>
      </c>
      <c r="T188" s="203">
        <v>212387.75</v>
      </c>
      <c r="U188" s="203">
        <v>0</v>
      </c>
      <c r="V188" s="203">
        <v>-94888.8</v>
      </c>
      <c r="W188" s="529">
        <v>538044.8090270001</v>
      </c>
      <c r="X188" s="564">
        <v>7825542.7400000002</v>
      </c>
      <c r="Y188" s="203">
        <v>8363587.5490270006</v>
      </c>
      <c r="Z188" s="203">
        <v>-572661.1390270004</v>
      </c>
      <c r="AA188" s="383">
        <f t="shared" si="2"/>
        <v>0</v>
      </c>
    </row>
    <row r="189" spans="3:27" ht="15">
      <c r="C189" s="431">
        <v>183</v>
      </c>
      <c r="D189" s="431">
        <v>272</v>
      </c>
      <c r="E189" s="443" t="s">
        <v>636</v>
      </c>
      <c r="F189" s="443" t="s">
        <v>1035</v>
      </c>
      <c r="G189" s="203">
        <v>-53790.498954999959</v>
      </c>
      <c r="H189" s="457" t="s">
        <v>2509</v>
      </c>
      <c r="K189" s="431">
        <v>183</v>
      </c>
      <c r="L189" s="431">
        <v>272</v>
      </c>
      <c r="M189" s="431"/>
      <c r="N189" s="561" t="s">
        <v>636</v>
      </c>
      <c r="O189" s="565" t="s">
        <v>2305</v>
      </c>
      <c r="P189" s="563">
        <v>194278.52000000002</v>
      </c>
      <c r="Q189" s="203">
        <v>89162.22</v>
      </c>
      <c r="R189" s="203">
        <v>108825.43</v>
      </c>
      <c r="S189" s="203">
        <v>987.18</v>
      </c>
      <c r="T189" s="203">
        <v>6560</v>
      </c>
      <c r="U189" s="203">
        <v>0</v>
      </c>
      <c r="V189" s="203">
        <v>0</v>
      </c>
      <c r="W189" s="529">
        <v>42534.188954999991</v>
      </c>
      <c r="X189" s="564">
        <v>205534.83</v>
      </c>
      <c r="Y189" s="203">
        <v>248069.01895499998</v>
      </c>
      <c r="Z189" s="203">
        <v>-53790.498954999959</v>
      </c>
      <c r="AA189" s="383">
        <f t="shared" si="2"/>
        <v>0</v>
      </c>
    </row>
    <row r="190" spans="3:27" ht="15">
      <c r="C190" s="431">
        <v>184</v>
      </c>
      <c r="D190" s="431">
        <v>115</v>
      </c>
      <c r="E190" s="443" t="s">
        <v>372</v>
      </c>
      <c r="F190" s="443" t="s">
        <v>924</v>
      </c>
      <c r="G190" s="203">
        <v>-757864.81219800003</v>
      </c>
      <c r="H190" s="457" t="s">
        <v>2509</v>
      </c>
      <c r="K190" s="431">
        <v>184</v>
      </c>
      <c r="L190" s="431">
        <v>115</v>
      </c>
      <c r="M190" s="431"/>
      <c r="N190" s="561" t="s">
        <v>372</v>
      </c>
      <c r="O190" s="565" t="s">
        <v>2172</v>
      </c>
      <c r="P190" s="563">
        <v>9799316.9100000001</v>
      </c>
      <c r="Q190" s="203">
        <v>3664945.01</v>
      </c>
      <c r="R190" s="203">
        <v>5460524.04</v>
      </c>
      <c r="S190" s="203">
        <v>343417.38</v>
      </c>
      <c r="T190" s="203">
        <v>251556.91999999998</v>
      </c>
      <c r="U190" s="203">
        <v>-499.46</v>
      </c>
      <c r="V190" s="203">
        <v>-7647</v>
      </c>
      <c r="W190" s="529">
        <v>844884.83219799993</v>
      </c>
      <c r="X190" s="564">
        <v>9712296.8900000006</v>
      </c>
      <c r="Y190" s="203">
        <v>10557181.722198</v>
      </c>
      <c r="Z190" s="203">
        <v>-757864.81219800003</v>
      </c>
      <c r="AA190" s="383">
        <f t="shared" si="2"/>
        <v>0</v>
      </c>
    </row>
    <row r="191" spans="3:27" ht="15">
      <c r="C191" s="431">
        <v>185</v>
      </c>
      <c r="D191" s="431">
        <v>89</v>
      </c>
      <c r="E191" s="443" t="s">
        <v>322</v>
      </c>
      <c r="F191" s="443" t="s">
        <v>899</v>
      </c>
      <c r="G191" s="203">
        <v>-537297.96555999992</v>
      </c>
      <c r="H191" s="457" t="s">
        <v>2509</v>
      </c>
      <c r="K191" s="431">
        <v>185</v>
      </c>
      <c r="L191" s="431">
        <v>89</v>
      </c>
      <c r="M191" s="431" t="s">
        <v>2596</v>
      </c>
      <c r="N191" s="561" t="s">
        <v>322</v>
      </c>
      <c r="O191" s="565" t="s">
        <v>2600</v>
      </c>
      <c r="P191" s="563">
        <v>3383131.88</v>
      </c>
      <c r="Q191" s="566">
        <v>801781.37</v>
      </c>
      <c r="R191" s="566">
        <v>2551295.58</v>
      </c>
      <c r="S191" s="566">
        <v>265312.96999999997</v>
      </c>
      <c r="T191" s="566">
        <v>100742.69000000015</v>
      </c>
      <c r="U191" s="566">
        <v>0</v>
      </c>
      <c r="V191" s="566"/>
      <c r="W191" s="568">
        <v>201297.23556</v>
      </c>
      <c r="X191" s="564">
        <v>3719132.61</v>
      </c>
      <c r="Y191" s="203">
        <v>3920429.8455599998</v>
      </c>
      <c r="Z191" s="203">
        <v>-537297.96555999992</v>
      </c>
      <c r="AA191" s="383">
        <f t="shared" si="2"/>
        <v>0</v>
      </c>
    </row>
    <row r="192" spans="3:27" ht="15">
      <c r="C192" s="431">
        <v>186</v>
      </c>
      <c r="D192" s="431">
        <v>313</v>
      </c>
      <c r="E192" s="443" t="s">
        <v>709</v>
      </c>
      <c r="F192" s="443" t="s">
        <v>2501</v>
      </c>
      <c r="G192" s="203">
        <v>-173643.00075100001</v>
      </c>
      <c r="H192" s="457" t="s">
        <v>2509</v>
      </c>
      <c r="K192" s="431">
        <v>186</v>
      </c>
      <c r="L192" s="431">
        <v>313</v>
      </c>
      <c r="M192" s="431"/>
      <c r="N192" s="561" t="s">
        <v>709</v>
      </c>
      <c r="O192" s="582" t="s">
        <v>2387</v>
      </c>
      <c r="P192" s="563">
        <v>62879.42</v>
      </c>
      <c r="Q192" s="203">
        <v>61088.160000000003</v>
      </c>
      <c r="R192" s="203">
        <v>125162.53</v>
      </c>
      <c r="S192" s="203">
        <v>5689.33</v>
      </c>
      <c r="T192" s="203">
        <v>7187.53</v>
      </c>
      <c r="U192" s="203">
        <v>0</v>
      </c>
      <c r="V192" s="203">
        <v>0</v>
      </c>
      <c r="W192" s="529">
        <v>37394.870751000002</v>
      </c>
      <c r="X192" s="564">
        <v>199127.55</v>
      </c>
      <c r="Y192" s="203">
        <v>236522.420751</v>
      </c>
      <c r="Z192" s="203">
        <v>-173643.00075100001</v>
      </c>
      <c r="AA192" s="383">
        <f t="shared" si="2"/>
        <v>0</v>
      </c>
    </row>
    <row r="193" spans="3:27" ht="15">
      <c r="C193" s="431">
        <v>187</v>
      </c>
      <c r="D193" s="431">
        <v>88</v>
      </c>
      <c r="E193" s="443" t="s">
        <v>320</v>
      </c>
      <c r="F193" s="443" t="s">
        <v>898</v>
      </c>
      <c r="G193" s="203">
        <v>-20000.36356800003</v>
      </c>
      <c r="H193" s="457" t="s">
        <v>2509</v>
      </c>
      <c r="K193" s="431">
        <v>187</v>
      </c>
      <c r="L193" s="431">
        <v>88</v>
      </c>
      <c r="M193" s="431"/>
      <c r="N193" s="561" t="s">
        <v>320</v>
      </c>
      <c r="O193" s="565" t="s">
        <v>2145</v>
      </c>
      <c r="P193" s="563">
        <v>303866.35000000003</v>
      </c>
      <c r="Q193" s="203">
        <v>143191.9</v>
      </c>
      <c r="R193" s="203">
        <v>136848.52000000002</v>
      </c>
      <c r="S193" s="203">
        <v>5662.78</v>
      </c>
      <c r="T193" s="203">
        <v>3006.43</v>
      </c>
      <c r="U193" s="203">
        <v>0</v>
      </c>
      <c r="V193" s="203">
        <v>0</v>
      </c>
      <c r="W193" s="529">
        <v>35157.083568000002</v>
      </c>
      <c r="X193" s="564">
        <v>288709.63000000006</v>
      </c>
      <c r="Y193" s="203">
        <v>323866.71356800006</v>
      </c>
      <c r="Z193" s="203">
        <v>-20000.36356800003</v>
      </c>
      <c r="AA193" s="383">
        <f t="shared" si="2"/>
        <v>0</v>
      </c>
    </row>
    <row r="194" spans="3:27" ht="15">
      <c r="C194" s="431">
        <v>188</v>
      </c>
      <c r="D194" s="431">
        <v>187</v>
      </c>
      <c r="E194" s="443" t="s">
        <v>488</v>
      </c>
      <c r="F194" s="443" t="s">
        <v>973</v>
      </c>
      <c r="G194" s="203">
        <v>88405.54590999987</v>
      </c>
      <c r="H194" s="457" t="s">
        <v>2509</v>
      </c>
      <c r="K194" s="431">
        <v>188</v>
      </c>
      <c r="L194" s="431">
        <v>187</v>
      </c>
      <c r="M194" s="431"/>
      <c r="N194" s="561" t="s">
        <v>488</v>
      </c>
      <c r="O194" s="565" t="s">
        <v>2228</v>
      </c>
      <c r="P194" s="563">
        <v>800391.08</v>
      </c>
      <c r="Q194" s="203">
        <v>369511.35</v>
      </c>
      <c r="R194" s="203">
        <v>266910.40000000002</v>
      </c>
      <c r="S194" s="203">
        <v>17719.37</v>
      </c>
      <c r="T194" s="203">
        <v>8033.18</v>
      </c>
      <c r="U194" s="203">
        <v>0</v>
      </c>
      <c r="V194" s="203">
        <v>0</v>
      </c>
      <c r="W194" s="529">
        <v>49811.234089999998</v>
      </c>
      <c r="X194" s="564">
        <v>662174.30000000005</v>
      </c>
      <c r="Y194" s="203">
        <v>711985.53409000009</v>
      </c>
      <c r="Z194" s="203">
        <v>88405.54590999987</v>
      </c>
      <c r="AA194" s="383">
        <f t="shared" si="2"/>
        <v>0</v>
      </c>
    </row>
    <row r="195" spans="3:27" ht="15">
      <c r="C195" s="431">
        <v>189</v>
      </c>
      <c r="D195" s="431">
        <v>87</v>
      </c>
      <c r="E195" s="443" t="s">
        <v>318</v>
      </c>
      <c r="F195" s="443" t="s">
        <v>897</v>
      </c>
      <c r="G195" s="203">
        <v>-223743.82495799998</v>
      </c>
      <c r="H195" s="457" t="s">
        <v>2509</v>
      </c>
      <c r="K195" s="431">
        <v>189</v>
      </c>
      <c r="L195" s="431">
        <v>87</v>
      </c>
      <c r="M195" s="431"/>
      <c r="N195" s="561" t="s">
        <v>318</v>
      </c>
      <c r="O195" s="565" t="s">
        <v>2144</v>
      </c>
      <c r="P195" s="563">
        <v>501445.62</v>
      </c>
      <c r="Q195" s="203">
        <v>345573.92</v>
      </c>
      <c r="R195" s="203">
        <v>267877.8</v>
      </c>
      <c r="S195" s="203">
        <v>29003.79</v>
      </c>
      <c r="T195" s="203">
        <v>1605.22</v>
      </c>
      <c r="U195" s="203">
        <v>0</v>
      </c>
      <c r="V195" s="203">
        <v>0</v>
      </c>
      <c r="W195" s="529">
        <v>81128.714957999982</v>
      </c>
      <c r="X195" s="564">
        <v>644060.73</v>
      </c>
      <c r="Y195" s="203">
        <v>725189.44495799998</v>
      </c>
      <c r="Z195" s="203">
        <v>-223743.82495799998</v>
      </c>
      <c r="AA195" s="383">
        <f t="shared" si="2"/>
        <v>0</v>
      </c>
    </row>
    <row r="196" spans="3:27" ht="15">
      <c r="C196" s="431">
        <v>190</v>
      </c>
      <c r="D196" s="431">
        <v>167</v>
      </c>
      <c r="E196" s="443" t="s">
        <v>450</v>
      </c>
      <c r="F196" s="443" t="s">
        <v>954</v>
      </c>
      <c r="G196" s="203">
        <v>-25221.196711999975</v>
      </c>
      <c r="H196" s="457" t="s">
        <v>2509</v>
      </c>
      <c r="K196" s="431">
        <v>190</v>
      </c>
      <c r="L196" s="431">
        <v>167</v>
      </c>
      <c r="M196" s="431"/>
      <c r="N196" s="561" t="s">
        <v>450</v>
      </c>
      <c r="O196" s="565" t="s">
        <v>2209</v>
      </c>
      <c r="P196" s="563">
        <v>183282.86000000002</v>
      </c>
      <c r="Q196" s="203">
        <v>73338.8</v>
      </c>
      <c r="R196" s="203">
        <v>93315.77</v>
      </c>
      <c r="S196" s="203">
        <v>6198.4</v>
      </c>
      <c r="T196" s="203">
        <v>9560.44</v>
      </c>
      <c r="U196" s="203">
        <v>0</v>
      </c>
      <c r="V196" s="203">
        <v>0</v>
      </c>
      <c r="W196" s="529">
        <v>26090.646711999998</v>
      </c>
      <c r="X196" s="564">
        <v>182413.41</v>
      </c>
      <c r="Y196" s="203">
        <v>208504.05671199999</v>
      </c>
      <c r="Z196" s="203">
        <v>-25221.196711999975</v>
      </c>
      <c r="AA196" s="383">
        <f t="shared" si="2"/>
        <v>0</v>
      </c>
    </row>
    <row r="197" spans="3:27" ht="15">
      <c r="C197" s="431">
        <v>191</v>
      </c>
      <c r="D197" s="431">
        <v>180</v>
      </c>
      <c r="E197" s="443" t="s">
        <v>476</v>
      </c>
      <c r="F197" s="443" t="s">
        <v>967</v>
      </c>
      <c r="G197" s="203">
        <v>-92482.007603999926</v>
      </c>
      <c r="H197" s="457" t="s">
        <v>2509</v>
      </c>
      <c r="K197" s="431">
        <v>191</v>
      </c>
      <c r="L197" s="431">
        <v>180</v>
      </c>
      <c r="M197" s="431" t="s">
        <v>2596</v>
      </c>
      <c r="N197" s="561" t="s">
        <v>476</v>
      </c>
      <c r="O197" s="565" t="s">
        <v>2222</v>
      </c>
      <c r="P197" s="563">
        <v>666727.82000000007</v>
      </c>
      <c r="Q197" s="566">
        <v>338485.33</v>
      </c>
      <c r="R197" s="566">
        <v>384397.87</v>
      </c>
      <c r="S197" s="566">
        <v>-26317.510000000002</v>
      </c>
      <c r="T197" s="566">
        <v>-2761.1500000000033</v>
      </c>
      <c r="U197" s="566">
        <v>11254.64</v>
      </c>
      <c r="V197" s="566"/>
      <c r="W197" s="568">
        <v>54150.647603999998</v>
      </c>
      <c r="X197" s="564">
        <v>705059.17999999993</v>
      </c>
      <c r="Y197" s="203">
        <v>759209.82760399999</v>
      </c>
      <c r="Z197" s="203">
        <v>-92482.007603999926</v>
      </c>
      <c r="AA197" s="383">
        <f t="shared" si="2"/>
        <v>0</v>
      </c>
    </row>
    <row r="198" spans="3:27" ht="15">
      <c r="C198" s="431">
        <v>192</v>
      </c>
      <c r="D198" s="431">
        <v>277</v>
      </c>
      <c r="E198" s="443" t="s">
        <v>646</v>
      </c>
      <c r="F198" s="443" t="s">
        <v>1040</v>
      </c>
      <c r="G198" s="203">
        <v>-1044944.3082130007</v>
      </c>
      <c r="H198" s="457" t="s">
        <v>2509</v>
      </c>
      <c r="K198" s="431">
        <v>192</v>
      </c>
      <c r="L198" s="431">
        <v>277</v>
      </c>
      <c r="M198" s="431"/>
      <c r="N198" s="561" t="s">
        <v>646</v>
      </c>
      <c r="O198" s="565" t="s">
        <v>2310</v>
      </c>
      <c r="P198" s="563">
        <v>3809353.93</v>
      </c>
      <c r="Q198" s="203">
        <v>1510208.04</v>
      </c>
      <c r="R198" s="203">
        <v>2677771.64</v>
      </c>
      <c r="S198" s="203">
        <v>128466.88</v>
      </c>
      <c r="T198" s="203">
        <v>28644.04</v>
      </c>
      <c r="U198" s="203">
        <v>48421.96</v>
      </c>
      <c r="V198" s="203">
        <v>-46905.03</v>
      </c>
      <c r="W198" s="529">
        <v>507690.70821300009</v>
      </c>
      <c r="X198" s="564">
        <v>4346607.53</v>
      </c>
      <c r="Y198" s="203">
        <v>4854298.2382130008</v>
      </c>
      <c r="Z198" s="203">
        <v>-1044944.3082130007</v>
      </c>
      <c r="AA198" s="383">
        <f t="shared" si="2"/>
        <v>0</v>
      </c>
    </row>
    <row r="199" spans="3:27" ht="15">
      <c r="C199" s="431">
        <v>193</v>
      </c>
      <c r="D199" s="431">
        <v>179</v>
      </c>
      <c r="E199" s="443" t="s">
        <v>474</v>
      </c>
      <c r="F199" s="443" t="s">
        <v>966</v>
      </c>
      <c r="G199" s="203">
        <v>-3898.0726759999525</v>
      </c>
      <c r="H199" s="457" t="s">
        <v>2509</v>
      </c>
      <c r="K199" s="431">
        <v>193</v>
      </c>
      <c r="L199" s="431">
        <v>179</v>
      </c>
      <c r="M199" s="431" t="s">
        <v>2596</v>
      </c>
      <c r="N199" s="561" t="s">
        <v>474</v>
      </c>
      <c r="O199" s="565" t="s">
        <v>2221</v>
      </c>
      <c r="P199" s="563">
        <v>1025367.84</v>
      </c>
      <c r="Q199" s="566">
        <v>388484.9</v>
      </c>
      <c r="R199" s="566">
        <v>510175.3</v>
      </c>
      <c r="S199" s="566">
        <v>37971.879999999997</v>
      </c>
      <c r="T199" s="566">
        <v>40914.240000000005</v>
      </c>
      <c r="U199" s="566">
        <v>0</v>
      </c>
      <c r="V199" s="566"/>
      <c r="W199" s="568">
        <v>51719.592675999993</v>
      </c>
      <c r="X199" s="564">
        <v>977546.32</v>
      </c>
      <c r="Y199" s="203">
        <v>1029265.9126759999</v>
      </c>
      <c r="Z199" s="203">
        <v>-3898.0726759999525</v>
      </c>
      <c r="AA199" s="383">
        <f t="shared" si="2"/>
        <v>0</v>
      </c>
    </row>
    <row r="200" spans="3:27" ht="15">
      <c r="C200" s="431">
        <v>194</v>
      </c>
      <c r="D200" s="431">
        <v>158</v>
      </c>
      <c r="E200" s="443" t="s">
        <v>432</v>
      </c>
      <c r="F200" s="443" t="s">
        <v>946</v>
      </c>
      <c r="G200" s="203">
        <v>90845.562520000152</v>
      </c>
      <c r="H200" s="457" t="s">
        <v>2509</v>
      </c>
      <c r="K200" s="431">
        <v>194</v>
      </c>
      <c r="L200" s="431">
        <v>158</v>
      </c>
      <c r="M200" s="431"/>
      <c r="N200" s="561" t="s">
        <v>432</v>
      </c>
      <c r="O200" s="565" t="s">
        <v>2200</v>
      </c>
      <c r="P200" s="563">
        <v>754591.91</v>
      </c>
      <c r="Q200" s="203">
        <v>245966.89</v>
      </c>
      <c r="R200" s="203">
        <v>326540.56</v>
      </c>
      <c r="S200" s="203">
        <v>18891.939999999999</v>
      </c>
      <c r="T200" s="203">
        <v>6233.71</v>
      </c>
      <c r="U200" s="203">
        <v>0</v>
      </c>
      <c r="V200" s="203">
        <v>0</v>
      </c>
      <c r="W200" s="529">
        <v>66113.247480000005</v>
      </c>
      <c r="X200" s="564">
        <v>597633.09999999986</v>
      </c>
      <c r="Y200" s="203">
        <v>663746.34747999988</v>
      </c>
      <c r="Z200" s="203">
        <v>90845.562520000152</v>
      </c>
      <c r="AA200" s="383">
        <f t="shared" ref="AA200:AA263" si="3">+G200-Z200</f>
        <v>0</v>
      </c>
    </row>
    <row r="201" spans="3:27" ht="15">
      <c r="C201" s="431">
        <v>195</v>
      </c>
      <c r="D201" s="431">
        <v>262</v>
      </c>
      <c r="E201" s="443" t="s">
        <v>618</v>
      </c>
      <c r="F201" s="443" t="s">
        <v>1027</v>
      </c>
      <c r="G201" s="203">
        <v>-76366.031950000004</v>
      </c>
      <c r="H201" s="457" t="s">
        <v>2509</v>
      </c>
      <c r="K201" s="431">
        <v>195</v>
      </c>
      <c r="L201" s="431">
        <v>262</v>
      </c>
      <c r="M201" s="431"/>
      <c r="N201" s="561" t="s">
        <v>618</v>
      </c>
      <c r="O201" s="565" t="s">
        <v>2295</v>
      </c>
      <c r="P201" s="563">
        <v>66041.790000000008</v>
      </c>
      <c r="Q201" s="203">
        <v>43709.51</v>
      </c>
      <c r="R201" s="203">
        <v>62111.81</v>
      </c>
      <c r="S201" s="203">
        <v>8005.96</v>
      </c>
      <c r="T201" s="203">
        <v>8170.7300000000005</v>
      </c>
      <c r="U201" s="203">
        <v>0</v>
      </c>
      <c r="V201" s="203">
        <v>0</v>
      </c>
      <c r="W201" s="529">
        <v>20409.811949999999</v>
      </c>
      <c r="X201" s="564">
        <v>121998.01000000001</v>
      </c>
      <c r="Y201" s="203">
        <v>142407.82195000001</v>
      </c>
      <c r="Z201" s="203">
        <v>-76366.031950000004</v>
      </c>
      <c r="AA201" s="383">
        <f t="shared" si="3"/>
        <v>0</v>
      </c>
    </row>
    <row r="202" spans="3:27" ht="15">
      <c r="C202" s="431">
        <v>196</v>
      </c>
      <c r="D202" s="431">
        <v>215</v>
      </c>
      <c r="E202" s="443" t="s">
        <v>537</v>
      </c>
      <c r="F202" s="443" t="s">
        <v>1671</v>
      </c>
      <c r="G202" s="203">
        <v>-171336.61478400003</v>
      </c>
      <c r="H202" s="457" t="s">
        <v>2509</v>
      </c>
      <c r="K202" s="431">
        <v>196</v>
      </c>
      <c r="L202" s="431">
        <v>215</v>
      </c>
      <c r="M202" s="431"/>
      <c r="N202" s="561" t="s">
        <v>537</v>
      </c>
      <c r="O202" s="565" t="s">
        <v>2253</v>
      </c>
      <c r="P202" s="563">
        <v>299202.02</v>
      </c>
      <c r="Q202" s="203">
        <v>144389.66</v>
      </c>
      <c r="R202" s="203">
        <v>210264.87</v>
      </c>
      <c r="S202" s="203">
        <v>26863.32</v>
      </c>
      <c r="T202" s="203">
        <v>9059.14</v>
      </c>
      <c r="U202" s="203">
        <v>0</v>
      </c>
      <c r="V202" s="203">
        <v>0</v>
      </c>
      <c r="W202" s="529">
        <v>79961.644784000004</v>
      </c>
      <c r="X202" s="564">
        <v>390576.99000000005</v>
      </c>
      <c r="Y202" s="203">
        <v>470538.63478400005</v>
      </c>
      <c r="Z202" s="203">
        <v>-171336.61478400003</v>
      </c>
      <c r="AA202" s="383">
        <f t="shared" si="3"/>
        <v>0</v>
      </c>
    </row>
    <row r="203" spans="3:27" ht="15">
      <c r="C203" s="431">
        <v>197</v>
      </c>
      <c r="D203" s="431">
        <v>245</v>
      </c>
      <c r="E203" s="445" t="s">
        <v>594</v>
      </c>
      <c r="F203" s="446" t="s">
        <v>2384</v>
      </c>
      <c r="G203" s="203">
        <v>-3073.8045250000005</v>
      </c>
      <c r="H203" s="457" t="s">
        <v>2509</v>
      </c>
      <c r="K203" s="431">
        <v>197</v>
      </c>
      <c r="L203" s="431">
        <v>245</v>
      </c>
      <c r="M203" s="431"/>
      <c r="N203" s="561" t="s">
        <v>594</v>
      </c>
      <c r="O203" s="565" t="s">
        <v>2384</v>
      </c>
      <c r="P203" s="563">
        <v>648</v>
      </c>
      <c r="Q203" s="203">
        <v>2580.5100000000002</v>
      </c>
      <c r="R203" s="203">
        <v>0</v>
      </c>
      <c r="S203" s="203">
        <v>189.55</v>
      </c>
      <c r="T203" s="203">
        <v>600</v>
      </c>
      <c r="U203" s="203">
        <v>0</v>
      </c>
      <c r="V203" s="203">
        <v>0</v>
      </c>
      <c r="W203" s="529">
        <v>351.74452500000001</v>
      </c>
      <c r="X203" s="564">
        <v>3370.0600000000004</v>
      </c>
      <c r="Y203" s="203">
        <v>3721.8045250000005</v>
      </c>
      <c r="Z203" s="203">
        <v>-3073.8045250000005</v>
      </c>
      <c r="AA203" s="383">
        <f t="shared" si="3"/>
        <v>0</v>
      </c>
    </row>
    <row r="204" spans="3:27" ht="15">
      <c r="C204" s="431">
        <v>198</v>
      </c>
      <c r="D204" s="431">
        <v>57</v>
      </c>
      <c r="E204" s="443" t="s">
        <v>261</v>
      </c>
      <c r="F204" s="443" t="s">
        <v>871</v>
      </c>
      <c r="G204" s="203">
        <v>-41067.654343999988</v>
      </c>
      <c r="H204" s="457" t="s">
        <v>2509</v>
      </c>
      <c r="K204" s="431">
        <v>198</v>
      </c>
      <c r="L204" s="431">
        <v>57</v>
      </c>
      <c r="M204" s="431"/>
      <c r="N204" s="561" t="s">
        <v>261</v>
      </c>
      <c r="O204" s="565" t="s">
        <v>2116</v>
      </c>
      <c r="P204" s="563">
        <v>62082.670000000006</v>
      </c>
      <c r="Q204" s="203">
        <v>33801.599999999999</v>
      </c>
      <c r="R204" s="203">
        <v>51110.45</v>
      </c>
      <c r="S204" s="203">
        <v>1761.61</v>
      </c>
      <c r="T204" s="203">
        <v>1163.0999999999999</v>
      </c>
      <c r="U204" s="203">
        <v>0</v>
      </c>
      <c r="V204" s="203">
        <v>0</v>
      </c>
      <c r="W204" s="529">
        <v>15313.564343999999</v>
      </c>
      <c r="X204" s="564">
        <v>87836.76</v>
      </c>
      <c r="Y204" s="203">
        <v>103150.32434399999</v>
      </c>
      <c r="Z204" s="203">
        <v>-41067.654343999988</v>
      </c>
      <c r="AA204" s="383">
        <f t="shared" si="3"/>
        <v>0</v>
      </c>
    </row>
    <row r="205" spans="3:27" ht="15">
      <c r="C205" s="431">
        <v>199</v>
      </c>
      <c r="D205" s="431">
        <v>49</v>
      </c>
      <c r="E205" s="443" t="s">
        <v>245</v>
      </c>
      <c r="F205" s="443" t="s">
        <v>863</v>
      </c>
      <c r="G205" s="203">
        <v>-74522.067596000052</v>
      </c>
      <c r="H205" s="457" t="s">
        <v>2509</v>
      </c>
      <c r="K205" s="431">
        <v>199</v>
      </c>
      <c r="L205" s="431">
        <v>49</v>
      </c>
      <c r="M205" s="431"/>
      <c r="N205" s="561" t="s">
        <v>245</v>
      </c>
      <c r="O205" s="565" t="s">
        <v>2108</v>
      </c>
      <c r="P205" s="563">
        <v>129222.21999999999</v>
      </c>
      <c r="Q205" s="203">
        <v>95229.74</v>
      </c>
      <c r="R205" s="203">
        <v>72644.850000000006</v>
      </c>
      <c r="S205" s="203">
        <v>4436.9799999999996</v>
      </c>
      <c r="T205" s="203">
        <v>10232.739999999998</v>
      </c>
      <c r="U205" s="203">
        <v>0</v>
      </c>
      <c r="V205" s="203">
        <v>0</v>
      </c>
      <c r="W205" s="529">
        <v>21199.977596000001</v>
      </c>
      <c r="X205" s="564">
        <v>182544.31000000003</v>
      </c>
      <c r="Y205" s="203">
        <v>203744.28759600004</v>
      </c>
      <c r="Z205" s="203">
        <v>-74522.067596000052</v>
      </c>
      <c r="AA205" s="383">
        <f t="shared" si="3"/>
        <v>0</v>
      </c>
    </row>
    <row r="206" spans="3:27" ht="15">
      <c r="C206" s="431">
        <v>200</v>
      </c>
      <c r="D206" s="431">
        <v>185</v>
      </c>
      <c r="E206" s="443" t="s">
        <v>486</v>
      </c>
      <c r="F206" s="443" t="s">
        <v>972</v>
      </c>
      <c r="G206" s="203">
        <v>-43818.996023999993</v>
      </c>
      <c r="H206" s="457" t="s">
        <v>2509</v>
      </c>
      <c r="K206" s="431">
        <v>200</v>
      </c>
      <c r="L206" s="431">
        <v>185</v>
      </c>
      <c r="M206" s="431" t="s">
        <v>2596</v>
      </c>
      <c r="N206" s="561" t="s">
        <v>486</v>
      </c>
      <c r="O206" s="565" t="s">
        <v>2227</v>
      </c>
      <c r="P206" s="563">
        <v>402763.38</v>
      </c>
      <c r="Q206" s="566">
        <v>167986.2</v>
      </c>
      <c r="R206" s="566">
        <v>195990.69</v>
      </c>
      <c r="S206" s="566">
        <v>7257.13</v>
      </c>
      <c r="T206" s="566">
        <v>19024.53999999999</v>
      </c>
      <c r="U206" s="566">
        <v>0</v>
      </c>
      <c r="V206" s="566"/>
      <c r="W206" s="568">
        <v>56323.816024</v>
      </c>
      <c r="X206" s="564">
        <v>390258.56</v>
      </c>
      <c r="Y206" s="203">
        <v>446582.376024</v>
      </c>
      <c r="Z206" s="203">
        <v>-43818.996023999993</v>
      </c>
      <c r="AA206" s="383">
        <f t="shared" si="3"/>
        <v>0</v>
      </c>
    </row>
    <row r="207" spans="3:27" ht="15">
      <c r="C207" s="431">
        <v>201</v>
      </c>
      <c r="D207" s="431">
        <v>203</v>
      </c>
      <c r="E207" s="443" t="s">
        <v>519</v>
      </c>
      <c r="F207" s="443" t="s">
        <v>989</v>
      </c>
      <c r="G207" s="203">
        <v>-407022.30608200002</v>
      </c>
      <c r="H207" s="457" t="s">
        <v>2509</v>
      </c>
      <c r="K207" s="431">
        <v>201</v>
      </c>
      <c r="L207" s="431">
        <v>203</v>
      </c>
      <c r="M207" s="431"/>
      <c r="N207" s="561" t="s">
        <v>519</v>
      </c>
      <c r="O207" s="565" t="s">
        <v>2244</v>
      </c>
      <c r="P207" s="563">
        <v>972625.48</v>
      </c>
      <c r="Q207" s="203">
        <v>491463.7</v>
      </c>
      <c r="R207" s="203">
        <v>685941.12</v>
      </c>
      <c r="S207" s="203">
        <v>50714.33</v>
      </c>
      <c r="T207" s="203">
        <v>49417.73</v>
      </c>
      <c r="U207" s="203">
        <v>0</v>
      </c>
      <c r="V207" s="203">
        <v>0</v>
      </c>
      <c r="W207" s="529">
        <v>102110.90608199999</v>
      </c>
      <c r="X207" s="564">
        <v>1277536.8800000001</v>
      </c>
      <c r="Y207" s="203">
        <v>1379647.786082</v>
      </c>
      <c r="Z207" s="203">
        <v>-407022.30608200002</v>
      </c>
      <c r="AA207" s="383">
        <f t="shared" si="3"/>
        <v>0</v>
      </c>
    </row>
    <row r="208" spans="3:27" ht="15">
      <c r="C208" s="431">
        <v>202</v>
      </c>
      <c r="D208" s="431">
        <v>3</v>
      </c>
      <c r="E208" s="443" t="s">
        <v>167</v>
      </c>
      <c r="F208" s="443" t="s">
        <v>829</v>
      </c>
      <c r="G208" s="203">
        <v>195865.79141499987</v>
      </c>
      <c r="H208" s="457" t="s">
        <v>2509</v>
      </c>
      <c r="K208" s="431">
        <v>202</v>
      </c>
      <c r="L208" s="431">
        <v>3</v>
      </c>
      <c r="M208" s="431"/>
      <c r="N208" s="561" t="s">
        <v>167</v>
      </c>
      <c r="O208" s="565" t="s">
        <v>2069</v>
      </c>
      <c r="P208" s="563">
        <v>4054113.62</v>
      </c>
      <c r="Q208" s="203">
        <v>1817517.63</v>
      </c>
      <c r="R208" s="203">
        <v>1673722.0499999998</v>
      </c>
      <c r="S208" s="203">
        <v>98645.39</v>
      </c>
      <c r="T208" s="203">
        <v>19556.489999999998</v>
      </c>
      <c r="U208" s="203">
        <v>7792.5</v>
      </c>
      <c r="V208" s="203">
        <v>0</v>
      </c>
      <c r="W208" s="529">
        <v>241013.76858499998</v>
      </c>
      <c r="X208" s="564">
        <v>3617234.06</v>
      </c>
      <c r="Y208" s="203">
        <v>3858247.8285850002</v>
      </c>
      <c r="Z208" s="203">
        <v>195865.79141499987</v>
      </c>
      <c r="AA208" s="383">
        <f t="shared" si="3"/>
        <v>0</v>
      </c>
    </row>
    <row r="209" spans="3:27" ht="15">
      <c r="C209" s="431">
        <v>203</v>
      </c>
      <c r="D209" s="431">
        <v>51</v>
      </c>
      <c r="E209" s="443" t="s">
        <v>249</v>
      </c>
      <c r="F209" s="443" t="s">
        <v>865</v>
      </c>
      <c r="G209" s="203">
        <v>-25050.989604000002</v>
      </c>
      <c r="H209" s="457" t="s">
        <v>2509</v>
      </c>
      <c r="K209" s="431">
        <v>203</v>
      </c>
      <c r="L209" s="431">
        <v>51</v>
      </c>
      <c r="M209" s="431"/>
      <c r="N209" s="561" t="s">
        <v>249</v>
      </c>
      <c r="O209" s="565" t="s">
        <v>2110</v>
      </c>
      <c r="P209" s="563">
        <v>43477.58</v>
      </c>
      <c r="Q209" s="203">
        <v>20204.55</v>
      </c>
      <c r="R209" s="203">
        <v>20874.09</v>
      </c>
      <c r="S209" s="203">
        <v>3577.74</v>
      </c>
      <c r="T209" s="203">
        <v>1012.69</v>
      </c>
      <c r="U209" s="203">
        <v>0</v>
      </c>
      <c r="V209" s="203">
        <v>0</v>
      </c>
      <c r="W209" s="529">
        <v>22859.499604000001</v>
      </c>
      <c r="X209" s="564">
        <v>45669.07</v>
      </c>
      <c r="Y209" s="203">
        <v>68528.569604000004</v>
      </c>
      <c r="Z209" s="203">
        <v>-25050.989604000002</v>
      </c>
      <c r="AA209" s="383">
        <f t="shared" si="3"/>
        <v>0</v>
      </c>
    </row>
    <row r="210" spans="3:27" ht="15">
      <c r="C210" s="431">
        <v>204</v>
      </c>
      <c r="D210" s="431">
        <v>306</v>
      </c>
      <c r="E210" s="443" t="s">
        <v>695</v>
      </c>
      <c r="F210" s="443" t="s">
        <v>696</v>
      </c>
      <c r="G210" s="203">
        <v>-85839.063873999985</v>
      </c>
      <c r="H210" s="457" t="s">
        <v>2509</v>
      </c>
      <c r="K210" s="431">
        <v>204</v>
      </c>
      <c r="L210" s="431">
        <v>306</v>
      </c>
      <c r="M210" s="431"/>
      <c r="N210" s="561" t="s">
        <v>695</v>
      </c>
      <c r="O210" s="565" t="s">
        <v>2335</v>
      </c>
      <c r="P210" s="563">
        <v>183061.87</v>
      </c>
      <c r="Q210" s="203">
        <v>71160.77</v>
      </c>
      <c r="R210" s="203">
        <v>128122.56999999999</v>
      </c>
      <c r="S210" s="203">
        <v>26215</v>
      </c>
      <c r="T210" s="203">
        <v>10597.09</v>
      </c>
      <c r="U210" s="203">
        <v>0</v>
      </c>
      <c r="V210" s="203">
        <v>0</v>
      </c>
      <c r="W210" s="529">
        <v>32805.503874000002</v>
      </c>
      <c r="X210" s="564">
        <v>236095.43</v>
      </c>
      <c r="Y210" s="203">
        <v>268900.93387399998</v>
      </c>
      <c r="Z210" s="203">
        <v>-85839.063873999985</v>
      </c>
      <c r="AA210" s="383">
        <f t="shared" si="3"/>
        <v>0</v>
      </c>
    </row>
    <row r="211" spans="3:27" ht="15">
      <c r="C211" s="431">
        <v>205</v>
      </c>
      <c r="D211" s="431">
        <v>186</v>
      </c>
      <c r="E211" s="445" t="s">
        <v>2366</v>
      </c>
      <c r="F211" s="451" t="s">
        <v>2502</v>
      </c>
      <c r="G211" s="203">
        <v>-4117.5600280000072</v>
      </c>
      <c r="H211" s="457" t="s">
        <v>2509</v>
      </c>
      <c r="K211" s="431">
        <v>205</v>
      </c>
      <c r="L211" s="431">
        <v>186</v>
      </c>
      <c r="M211" s="431"/>
      <c r="N211" s="561" t="s">
        <v>2366</v>
      </c>
      <c r="O211" s="581" t="s">
        <v>2502</v>
      </c>
      <c r="P211" s="563">
        <v>155531.79</v>
      </c>
      <c r="Q211" s="203">
        <v>126370.6</v>
      </c>
      <c r="R211" s="203">
        <v>0</v>
      </c>
      <c r="S211" s="203">
        <v>25161.19</v>
      </c>
      <c r="T211" s="203">
        <v>4000</v>
      </c>
      <c r="U211" s="203">
        <v>0</v>
      </c>
      <c r="V211" s="203">
        <v>0</v>
      </c>
      <c r="W211" s="529">
        <v>4117.5600279999999</v>
      </c>
      <c r="X211" s="564">
        <v>155531.79</v>
      </c>
      <c r="Y211" s="203">
        <v>159649.35002800002</v>
      </c>
      <c r="Z211" s="203">
        <v>-4117.5600280000072</v>
      </c>
      <c r="AA211" s="383">
        <f t="shared" si="3"/>
        <v>0</v>
      </c>
    </row>
    <row r="212" spans="3:27" ht="15">
      <c r="C212" s="431">
        <v>206</v>
      </c>
      <c r="D212" s="431">
        <v>60</v>
      </c>
      <c r="E212" s="443" t="s">
        <v>267</v>
      </c>
      <c r="F212" s="443" t="s">
        <v>874</v>
      </c>
      <c r="G212" s="203">
        <v>-1066077.4693879988</v>
      </c>
      <c r="H212" s="457" t="s">
        <v>2509</v>
      </c>
      <c r="K212" s="431">
        <v>206</v>
      </c>
      <c r="L212" s="431">
        <v>60</v>
      </c>
      <c r="M212" s="431"/>
      <c r="N212" s="561" t="s">
        <v>267</v>
      </c>
      <c r="O212" s="565" t="s">
        <v>2119</v>
      </c>
      <c r="P212" s="563">
        <v>13319331.32</v>
      </c>
      <c r="Q212" s="203">
        <v>6916061.3099999996</v>
      </c>
      <c r="R212" s="203">
        <v>5729965.5499999998</v>
      </c>
      <c r="S212" s="203">
        <v>509219.51999999996</v>
      </c>
      <c r="T212" s="203">
        <v>165204.64999999997</v>
      </c>
      <c r="U212" s="203">
        <v>341902.16000000003</v>
      </c>
      <c r="V212" s="203">
        <v>0</v>
      </c>
      <c r="W212" s="529">
        <v>723055.59938799997</v>
      </c>
      <c r="X212" s="564">
        <v>13662353.189999999</v>
      </c>
      <c r="Y212" s="203">
        <v>14385408.789387999</v>
      </c>
      <c r="Z212" s="203">
        <v>-1066077.4693879988</v>
      </c>
      <c r="AA212" s="383">
        <f t="shared" si="3"/>
        <v>0</v>
      </c>
    </row>
    <row r="213" spans="3:27" ht="15">
      <c r="C213" s="431">
        <v>207</v>
      </c>
      <c r="D213" s="431">
        <v>182</v>
      </c>
      <c r="E213" s="443" t="s">
        <v>480</v>
      </c>
      <c r="F213" s="443" t="s">
        <v>969</v>
      </c>
      <c r="G213" s="203">
        <v>-50306.254648000031</v>
      </c>
      <c r="H213" s="457" t="s">
        <v>2509</v>
      </c>
      <c r="K213" s="431">
        <v>207</v>
      </c>
      <c r="L213" s="431">
        <v>182</v>
      </c>
      <c r="M213" s="431"/>
      <c r="N213" s="561" t="s">
        <v>480</v>
      </c>
      <c r="O213" s="565" t="s">
        <v>2224</v>
      </c>
      <c r="P213" s="563">
        <v>196448.84999999998</v>
      </c>
      <c r="Q213" s="203">
        <v>98658.240000000005</v>
      </c>
      <c r="R213" s="203">
        <v>109858.66</v>
      </c>
      <c r="S213" s="203">
        <v>5177.5200000000004</v>
      </c>
      <c r="T213" s="203">
        <v>340</v>
      </c>
      <c r="U213" s="203">
        <v>0</v>
      </c>
      <c r="V213" s="203">
        <v>0</v>
      </c>
      <c r="W213" s="529">
        <v>32720.684648000006</v>
      </c>
      <c r="X213" s="564">
        <v>214034.42</v>
      </c>
      <c r="Y213" s="203">
        <v>246755.10464800001</v>
      </c>
      <c r="Z213" s="203">
        <v>-50306.254648000031</v>
      </c>
      <c r="AA213" s="383">
        <f t="shared" si="3"/>
        <v>0</v>
      </c>
    </row>
    <row r="214" spans="3:27" ht="15">
      <c r="C214" s="431">
        <v>208</v>
      </c>
      <c r="D214" s="431">
        <v>9</v>
      </c>
      <c r="E214" s="443" t="s">
        <v>179</v>
      </c>
      <c r="F214" s="443" t="s">
        <v>834</v>
      </c>
      <c r="G214" s="203">
        <v>-72303.307193000001</v>
      </c>
      <c r="H214" s="457" t="s">
        <v>2509</v>
      </c>
      <c r="K214" s="431">
        <v>208</v>
      </c>
      <c r="L214" s="431">
        <v>9</v>
      </c>
      <c r="M214" s="431"/>
      <c r="N214" s="561" t="s">
        <v>179</v>
      </c>
      <c r="O214" s="565" t="s">
        <v>2075</v>
      </c>
      <c r="P214" s="563">
        <v>111265.7</v>
      </c>
      <c r="Q214" s="203">
        <v>59702.84</v>
      </c>
      <c r="R214" s="203">
        <v>100926.28</v>
      </c>
      <c r="S214" s="203">
        <v>2604.94</v>
      </c>
      <c r="T214" s="203">
        <v>304.95</v>
      </c>
      <c r="U214" s="203">
        <v>0</v>
      </c>
      <c r="V214" s="203">
        <v>0</v>
      </c>
      <c r="W214" s="529">
        <v>20029.997192999999</v>
      </c>
      <c r="X214" s="564">
        <v>163539.01</v>
      </c>
      <c r="Y214" s="203">
        <v>183569.007193</v>
      </c>
      <c r="Z214" s="203">
        <v>-72303.307193000001</v>
      </c>
      <c r="AA214" s="383">
        <f t="shared" si="3"/>
        <v>0</v>
      </c>
    </row>
    <row r="215" spans="3:27" ht="15">
      <c r="C215" s="431">
        <v>209</v>
      </c>
      <c r="D215" s="431">
        <v>159</v>
      </c>
      <c r="E215" s="443" t="s">
        <v>434</v>
      </c>
      <c r="F215" s="443" t="s">
        <v>947</v>
      </c>
      <c r="G215" s="203">
        <v>-17168.822988</v>
      </c>
      <c r="H215" s="457" t="s">
        <v>2509</v>
      </c>
      <c r="K215" s="431">
        <v>209</v>
      </c>
      <c r="L215" s="431">
        <v>159</v>
      </c>
      <c r="M215" s="431"/>
      <c r="N215" s="561" t="s">
        <v>434</v>
      </c>
      <c r="O215" s="565" t="s">
        <v>2201</v>
      </c>
      <c r="P215" s="563">
        <v>236307.31</v>
      </c>
      <c r="Q215" s="203">
        <v>98918.86</v>
      </c>
      <c r="R215" s="203">
        <v>124011.42</v>
      </c>
      <c r="S215" s="203">
        <v>607.99</v>
      </c>
      <c r="T215" s="203">
        <v>1467.45</v>
      </c>
      <c r="U215" s="203">
        <v>0</v>
      </c>
      <c r="V215" s="203">
        <v>0</v>
      </c>
      <c r="W215" s="529">
        <v>28470.412988</v>
      </c>
      <c r="X215" s="564">
        <v>225005.72</v>
      </c>
      <c r="Y215" s="203">
        <v>253476.132988</v>
      </c>
      <c r="Z215" s="203">
        <v>-17168.822988</v>
      </c>
      <c r="AA215" s="383">
        <f t="shared" si="3"/>
        <v>0</v>
      </c>
    </row>
    <row r="216" spans="3:27" ht="15">
      <c r="C216" s="431">
        <v>210</v>
      </c>
      <c r="D216" s="431">
        <v>205</v>
      </c>
      <c r="E216" s="443" t="s">
        <v>523</v>
      </c>
      <c r="F216" s="443" t="s">
        <v>991</v>
      </c>
      <c r="G216" s="203">
        <v>-204786.62200470036</v>
      </c>
      <c r="H216" s="457" t="s">
        <v>2509</v>
      </c>
      <c r="K216" s="431">
        <v>210</v>
      </c>
      <c r="L216" s="431">
        <v>205</v>
      </c>
      <c r="M216" s="431" t="s">
        <v>2596</v>
      </c>
      <c r="N216" s="561" t="s">
        <v>523</v>
      </c>
      <c r="O216" s="565" t="s">
        <v>2246</v>
      </c>
      <c r="P216" s="563">
        <v>3605670.62</v>
      </c>
      <c r="Q216" s="566">
        <v>1343558.38</v>
      </c>
      <c r="R216" s="566">
        <v>1700283.28</v>
      </c>
      <c r="S216" s="566">
        <v>340061.11000000004</v>
      </c>
      <c r="T216" s="567">
        <v>114138.501</v>
      </c>
      <c r="U216" s="567">
        <v>88735</v>
      </c>
      <c r="V216" s="567">
        <v>-89566.8</v>
      </c>
      <c r="W216" s="568">
        <v>313247.77100470004</v>
      </c>
      <c r="X216" s="564">
        <v>3497209.4710000004</v>
      </c>
      <c r="Y216" s="203">
        <v>3810457.2420047005</v>
      </c>
      <c r="Z216" s="203">
        <v>-204786.62200470036</v>
      </c>
      <c r="AA216" s="383">
        <f t="shared" si="3"/>
        <v>0</v>
      </c>
    </row>
    <row r="217" spans="3:27" ht="15">
      <c r="C217" s="431">
        <v>211</v>
      </c>
      <c r="D217" s="431">
        <v>22</v>
      </c>
      <c r="E217" s="443" t="s">
        <v>1709</v>
      </c>
      <c r="F217" s="443" t="s">
        <v>2053</v>
      </c>
      <c r="G217" s="203">
        <v>-117901.54712000002</v>
      </c>
      <c r="H217" s="457" t="s">
        <v>2509</v>
      </c>
      <c r="K217" s="431">
        <v>211</v>
      </c>
      <c r="L217" s="431">
        <v>22</v>
      </c>
      <c r="M217" s="431"/>
      <c r="N217" s="561" t="s">
        <v>1709</v>
      </c>
      <c r="O217" s="565" t="s">
        <v>2086</v>
      </c>
      <c r="P217" s="563">
        <v>96030.64</v>
      </c>
      <c r="Q217" s="203">
        <v>90594.03</v>
      </c>
      <c r="R217" s="203">
        <v>108077.6</v>
      </c>
      <c r="S217" s="203">
        <v>0</v>
      </c>
      <c r="T217" s="203">
        <v>0</v>
      </c>
      <c r="U217" s="203">
        <v>0</v>
      </c>
      <c r="V217" s="203">
        <v>0</v>
      </c>
      <c r="W217" s="529">
        <v>15260.557119999999</v>
      </c>
      <c r="X217" s="564">
        <v>198671.63</v>
      </c>
      <c r="Y217" s="203">
        <v>213932.18712000002</v>
      </c>
      <c r="Z217" s="203">
        <v>-117901.54712000002</v>
      </c>
      <c r="AA217" s="383">
        <f t="shared" si="3"/>
        <v>0</v>
      </c>
    </row>
    <row r="218" spans="3:27" ht="15">
      <c r="C218" s="431">
        <v>212</v>
      </c>
      <c r="D218" s="431">
        <v>175</v>
      </c>
      <c r="E218" s="443" t="s">
        <v>466</v>
      </c>
      <c r="F218" s="443" t="s">
        <v>962</v>
      </c>
      <c r="G218" s="203">
        <v>-14894.717292000074</v>
      </c>
      <c r="H218" s="457" t="s">
        <v>2509</v>
      </c>
      <c r="K218" s="431">
        <v>212</v>
      </c>
      <c r="L218" s="431">
        <v>175</v>
      </c>
      <c r="M218" s="431"/>
      <c r="N218" s="561" t="s">
        <v>466</v>
      </c>
      <c r="O218" s="565" t="s">
        <v>2217</v>
      </c>
      <c r="P218" s="563">
        <v>656429.8899999999</v>
      </c>
      <c r="Q218" s="203">
        <v>243481.99</v>
      </c>
      <c r="R218" s="203">
        <v>266143.43</v>
      </c>
      <c r="S218" s="203">
        <v>19154.03</v>
      </c>
      <c r="T218" s="203">
        <v>11229.46</v>
      </c>
      <c r="U218" s="203">
        <v>55671.68</v>
      </c>
      <c r="V218" s="203">
        <v>0</v>
      </c>
      <c r="W218" s="529">
        <v>75644.01729199999</v>
      </c>
      <c r="X218" s="564">
        <v>595680.59</v>
      </c>
      <c r="Y218" s="203">
        <v>671324.60729199997</v>
      </c>
      <c r="Z218" s="203">
        <v>-14894.717292000074</v>
      </c>
      <c r="AA218" s="383">
        <f t="shared" si="3"/>
        <v>0</v>
      </c>
    </row>
    <row r="219" spans="3:27" ht="15">
      <c r="C219" s="431">
        <v>213</v>
      </c>
      <c r="D219" s="431">
        <v>65</v>
      </c>
      <c r="E219" s="443" t="s">
        <v>275</v>
      </c>
      <c r="F219" s="443" t="s">
        <v>877</v>
      </c>
      <c r="G219" s="203">
        <v>-84573.742208000011</v>
      </c>
      <c r="H219" s="457" t="s">
        <v>2509</v>
      </c>
      <c r="K219" s="431">
        <v>213</v>
      </c>
      <c r="L219" s="431">
        <v>65</v>
      </c>
      <c r="M219" s="431"/>
      <c r="N219" s="561" t="s">
        <v>275</v>
      </c>
      <c r="O219" s="565" t="s">
        <v>2122</v>
      </c>
      <c r="P219" s="563">
        <v>232294.42</v>
      </c>
      <c r="Q219" s="203">
        <v>95222.58</v>
      </c>
      <c r="R219" s="203">
        <v>168270.46</v>
      </c>
      <c r="S219" s="203">
        <v>514.95000000000005</v>
      </c>
      <c r="T219" s="203">
        <v>5300.03</v>
      </c>
      <c r="U219" s="203">
        <v>0</v>
      </c>
      <c r="V219" s="203">
        <v>0</v>
      </c>
      <c r="W219" s="529">
        <v>47560.142207999997</v>
      </c>
      <c r="X219" s="564">
        <v>269308.02</v>
      </c>
      <c r="Y219" s="203">
        <v>316868.16220800002</v>
      </c>
      <c r="Z219" s="203">
        <v>-84573.742208000011</v>
      </c>
      <c r="AA219" s="383">
        <f t="shared" si="3"/>
        <v>0</v>
      </c>
    </row>
    <row r="220" spans="3:27" ht="15">
      <c r="C220" s="431">
        <v>214</v>
      </c>
      <c r="D220" s="431">
        <v>23</v>
      </c>
      <c r="E220" s="443" t="s">
        <v>203</v>
      </c>
      <c r="F220" s="443" t="s">
        <v>844</v>
      </c>
      <c r="G220" s="203">
        <v>120224.9389419998</v>
      </c>
      <c r="H220" s="457" t="s">
        <v>2509</v>
      </c>
      <c r="K220" s="431">
        <v>214</v>
      </c>
      <c r="L220" s="431">
        <v>23</v>
      </c>
      <c r="M220" s="431" t="s">
        <v>2596</v>
      </c>
      <c r="N220" s="561" t="s">
        <v>203</v>
      </c>
      <c r="O220" s="582" t="s">
        <v>2087</v>
      </c>
      <c r="P220" s="563">
        <v>2112668.71</v>
      </c>
      <c r="Q220" s="570">
        <v>869608.23</v>
      </c>
      <c r="R220" s="570">
        <v>0</v>
      </c>
      <c r="S220" s="570">
        <v>142386.04</v>
      </c>
      <c r="T220" s="570">
        <v>849605.78</v>
      </c>
      <c r="U220" s="566">
        <v>0</v>
      </c>
      <c r="V220" s="566"/>
      <c r="W220" s="568">
        <v>130843.721058</v>
      </c>
      <c r="X220" s="564">
        <v>1861600.05</v>
      </c>
      <c r="Y220" s="203">
        <v>1992443.7710580002</v>
      </c>
      <c r="Z220" s="203">
        <v>120224.9389419998</v>
      </c>
      <c r="AA220" s="383">
        <f t="shared" si="3"/>
        <v>0</v>
      </c>
    </row>
    <row r="221" spans="3:27" ht="15">
      <c r="C221" s="431">
        <v>215</v>
      </c>
      <c r="D221" s="431">
        <v>96</v>
      </c>
      <c r="E221" s="443" t="s">
        <v>336</v>
      </c>
      <c r="F221" s="443" t="s">
        <v>905</v>
      </c>
      <c r="G221" s="203">
        <v>-529944.05962999992</v>
      </c>
      <c r="H221" s="457" t="s">
        <v>2509</v>
      </c>
      <c r="K221" s="431">
        <v>215</v>
      </c>
      <c r="L221" s="431">
        <v>96</v>
      </c>
      <c r="M221" s="431"/>
      <c r="N221" s="561" t="s">
        <v>336</v>
      </c>
      <c r="O221" s="565" t="s">
        <v>2153</v>
      </c>
      <c r="P221" s="563">
        <v>652100.69000000006</v>
      </c>
      <c r="Q221" s="203">
        <v>372310.69</v>
      </c>
      <c r="R221" s="203">
        <v>597397.04</v>
      </c>
      <c r="S221" s="203">
        <v>55095.12</v>
      </c>
      <c r="T221" s="203">
        <v>8264</v>
      </c>
      <c r="U221" s="203">
        <v>36828.449999999997</v>
      </c>
      <c r="V221" s="203">
        <v>-29452.06</v>
      </c>
      <c r="W221" s="529">
        <v>141601.50962999999</v>
      </c>
      <c r="X221" s="564">
        <v>1040443.24</v>
      </c>
      <c r="Y221" s="203">
        <v>1182044.74963</v>
      </c>
      <c r="Z221" s="203">
        <v>-529944.05962999992</v>
      </c>
      <c r="AA221" s="383">
        <f t="shared" si="3"/>
        <v>0</v>
      </c>
    </row>
    <row r="222" spans="3:27" ht="15">
      <c r="C222" s="431">
        <v>216</v>
      </c>
      <c r="D222" s="431">
        <v>291</v>
      </c>
      <c r="E222" s="443" t="s">
        <v>669</v>
      </c>
      <c r="F222" s="443" t="s">
        <v>1051</v>
      </c>
      <c r="G222" s="203">
        <v>-376381.91870399995</v>
      </c>
      <c r="H222" s="457" t="s">
        <v>2509</v>
      </c>
      <c r="K222" s="431">
        <v>216</v>
      </c>
      <c r="L222" s="431">
        <v>291</v>
      </c>
      <c r="M222" s="431"/>
      <c r="N222" s="561" t="s">
        <v>669</v>
      </c>
      <c r="O222" s="565" t="s">
        <v>2323</v>
      </c>
      <c r="P222" s="563">
        <v>345701.26</v>
      </c>
      <c r="Q222" s="203">
        <v>260925.54</v>
      </c>
      <c r="R222" s="203">
        <v>307491.56</v>
      </c>
      <c r="S222" s="203">
        <v>50005.71</v>
      </c>
      <c r="T222" s="203">
        <v>5231.21</v>
      </c>
      <c r="U222" s="203">
        <v>19608.259999999998</v>
      </c>
      <c r="V222" s="203">
        <v>0</v>
      </c>
      <c r="W222" s="529">
        <v>78820.898704000007</v>
      </c>
      <c r="X222" s="564">
        <v>643262.27999999991</v>
      </c>
      <c r="Y222" s="203">
        <v>722083.17870399996</v>
      </c>
      <c r="Z222" s="203">
        <v>-376381.91870399995</v>
      </c>
      <c r="AA222" s="383">
        <f t="shared" si="3"/>
        <v>0</v>
      </c>
    </row>
    <row r="223" spans="3:27" ht="15">
      <c r="C223" s="431">
        <v>217</v>
      </c>
      <c r="D223" s="431">
        <v>261</v>
      </c>
      <c r="E223" s="443" t="s">
        <v>1398</v>
      </c>
      <c r="F223" s="443" t="s">
        <v>1397</v>
      </c>
      <c r="G223" s="203">
        <v>-114390.428686</v>
      </c>
      <c r="H223" s="457" t="s">
        <v>2509</v>
      </c>
      <c r="K223" s="431">
        <v>217</v>
      </c>
      <c r="L223" s="431">
        <v>261</v>
      </c>
      <c r="M223" s="431"/>
      <c r="N223" s="561" t="s">
        <v>1398</v>
      </c>
      <c r="O223" s="565" t="s">
        <v>1537</v>
      </c>
      <c r="P223" s="563">
        <v>243352.44</v>
      </c>
      <c r="Q223" s="203">
        <v>147498.51999999999</v>
      </c>
      <c r="R223" s="203">
        <v>141511.98000000001</v>
      </c>
      <c r="S223" s="203">
        <v>0</v>
      </c>
      <c r="T223" s="203">
        <v>0</v>
      </c>
      <c r="U223" s="203">
        <v>0</v>
      </c>
      <c r="V223" s="203">
        <v>0</v>
      </c>
      <c r="W223" s="529">
        <v>68732.368686000002</v>
      </c>
      <c r="X223" s="564">
        <v>289010.5</v>
      </c>
      <c r="Y223" s="203">
        <v>357742.868686</v>
      </c>
      <c r="Z223" s="203">
        <v>-114390.428686</v>
      </c>
      <c r="AA223" s="383">
        <f t="shared" si="3"/>
        <v>0</v>
      </c>
    </row>
    <row r="224" spans="3:27" ht="15">
      <c r="C224" s="431">
        <v>218</v>
      </c>
      <c r="D224" s="431">
        <v>12</v>
      </c>
      <c r="E224" s="443" t="s">
        <v>185</v>
      </c>
      <c r="F224" s="443" t="s">
        <v>836</v>
      </c>
      <c r="G224" s="203">
        <v>-300580.81844699988</v>
      </c>
      <c r="H224" s="457" t="s">
        <v>2509</v>
      </c>
      <c r="K224" s="431">
        <v>218</v>
      </c>
      <c r="L224" s="431">
        <v>12</v>
      </c>
      <c r="M224" s="431"/>
      <c r="N224" s="561" t="s">
        <v>185</v>
      </c>
      <c r="O224" s="565" t="s">
        <v>2078</v>
      </c>
      <c r="P224" s="563">
        <v>1780593.7200000002</v>
      </c>
      <c r="Q224" s="203">
        <v>748074.83</v>
      </c>
      <c r="R224" s="203">
        <v>997096.67</v>
      </c>
      <c r="S224" s="203">
        <v>42575.340000000004</v>
      </c>
      <c r="T224" s="203">
        <v>22816.799999999999</v>
      </c>
      <c r="U224" s="203">
        <v>70119.259999999995</v>
      </c>
      <c r="V224" s="203">
        <v>0</v>
      </c>
      <c r="W224" s="529">
        <v>200491.638447</v>
      </c>
      <c r="X224" s="564">
        <v>1880682.9000000001</v>
      </c>
      <c r="Y224" s="203">
        <v>2081174.5384470001</v>
      </c>
      <c r="Z224" s="203">
        <v>-300580.81844699988</v>
      </c>
      <c r="AA224" s="383">
        <f t="shared" si="3"/>
        <v>0</v>
      </c>
    </row>
    <row r="225" spans="3:27" ht="15">
      <c r="C225" s="431">
        <v>219</v>
      </c>
      <c r="D225" s="431">
        <v>304</v>
      </c>
      <c r="E225" s="443" t="s">
        <v>691</v>
      </c>
      <c r="F225" s="443" t="s">
        <v>1061</v>
      </c>
      <c r="G225" s="203">
        <v>-325151.80290400004</v>
      </c>
      <c r="H225" s="457" t="s">
        <v>2509</v>
      </c>
      <c r="K225" s="431">
        <v>219</v>
      </c>
      <c r="L225" s="431">
        <v>304</v>
      </c>
      <c r="M225" s="431"/>
      <c r="N225" s="561" t="s">
        <v>691</v>
      </c>
      <c r="O225" s="565" t="s">
        <v>2333</v>
      </c>
      <c r="P225" s="563">
        <v>1243918.07</v>
      </c>
      <c r="Q225" s="203">
        <v>566612.87</v>
      </c>
      <c r="R225" s="203">
        <v>712489.83000000007</v>
      </c>
      <c r="S225" s="203">
        <v>51714.96</v>
      </c>
      <c r="T225" s="203">
        <v>33108.409999999996</v>
      </c>
      <c r="U225" s="203">
        <v>53762.720000000001</v>
      </c>
      <c r="V225" s="203">
        <v>-8575.02</v>
      </c>
      <c r="W225" s="529">
        <v>159956.10290400003</v>
      </c>
      <c r="X225" s="564">
        <v>1409113.77</v>
      </c>
      <c r="Y225" s="203">
        <v>1569069.8729040001</v>
      </c>
      <c r="Z225" s="203">
        <v>-325151.80290400004</v>
      </c>
      <c r="AA225" s="383">
        <f t="shared" si="3"/>
        <v>0</v>
      </c>
    </row>
    <row r="226" spans="3:27" ht="15">
      <c r="C226" s="431">
        <v>220</v>
      </c>
      <c r="D226" s="431">
        <v>197</v>
      </c>
      <c r="E226" s="443" t="s">
        <v>507</v>
      </c>
      <c r="F226" s="443" t="s">
        <v>983</v>
      </c>
      <c r="G226" s="203">
        <v>252126.17092000321</v>
      </c>
      <c r="H226" s="457" t="s">
        <v>2509</v>
      </c>
      <c r="K226" s="431">
        <v>220</v>
      </c>
      <c r="L226" s="431">
        <v>197</v>
      </c>
      <c r="M226" s="431"/>
      <c r="N226" s="561" t="s">
        <v>507</v>
      </c>
      <c r="O226" s="565" t="s">
        <v>2238</v>
      </c>
      <c r="P226" s="563">
        <v>10240340.930000002</v>
      </c>
      <c r="Q226" s="203">
        <v>3439902.61</v>
      </c>
      <c r="R226" s="203">
        <v>4898028.3499999996</v>
      </c>
      <c r="S226" s="203">
        <v>426273.94</v>
      </c>
      <c r="T226" s="203">
        <v>568505.1100000001</v>
      </c>
      <c r="U226" s="203">
        <v>204957.22</v>
      </c>
      <c r="V226" s="203">
        <v>-4063.5</v>
      </c>
      <c r="W226" s="529">
        <v>454611.02908000007</v>
      </c>
      <c r="X226" s="564">
        <v>9533603.7299999986</v>
      </c>
      <c r="Y226" s="203">
        <v>9988214.7590799984</v>
      </c>
      <c r="Z226" s="203">
        <v>252126.17092000321</v>
      </c>
      <c r="AA226" s="383">
        <f t="shared" si="3"/>
        <v>0</v>
      </c>
    </row>
    <row r="227" spans="3:27" ht="15">
      <c r="C227" s="431">
        <v>221</v>
      </c>
      <c r="D227" s="431">
        <v>92</v>
      </c>
      <c r="E227" s="443" t="s">
        <v>328</v>
      </c>
      <c r="F227" s="443" t="s">
        <v>329</v>
      </c>
      <c r="G227" s="203">
        <v>-65251.216667999986</v>
      </c>
      <c r="H227" s="457" t="s">
        <v>2509</v>
      </c>
      <c r="K227" s="431">
        <v>221</v>
      </c>
      <c r="L227" s="431">
        <v>92</v>
      </c>
      <c r="M227" s="431"/>
      <c r="N227" s="561" t="s">
        <v>328</v>
      </c>
      <c r="O227" s="565" t="s">
        <v>2149</v>
      </c>
      <c r="P227" s="563">
        <v>46586.26</v>
      </c>
      <c r="Q227" s="203">
        <v>32255.599999999999</v>
      </c>
      <c r="R227" s="203">
        <v>57821.289999999994</v>
      </c>
      <c r="S227" s="203">
        <v>1821.05</v>
      </c>
      <c r="T227" s="203">
        <v>959.15</v>
      </c>
      <c r="U227" s="203">
        <v>0</v>
      </c>
      <c r="V227" s="203">
        <v>0</v>
      </c>
      <c r="W227" s="529">
        <v>18980.386667999999</v>
      </c>
      <c r="X227" s="564">
        <v>92857.089999999982</v>
      </c>
      <c r="Y227" s="203">
        <v>111837.47666799999</v>
      </c>
      <c r="Z227" s="203">
        <v>-65251.216667999986</v>
      </c>
      <c r="AA227" s="383">
        <f t="shared" si="3"/>
        <v>0</v>
      </c>
    </row>
    <row r="228" spans="3:27" ht="15">
      <c r="C228" s="431">
        <v>222</v>
      </c>
      <c r="D228" s="431">
        <v>94</v>
      </c>
      <c r="E228" s="443" t="s">
        <v>332</v>
      </c>
      <c r="F228" s="443" t="s">
        <v>903</v>
      </c>
      <c r="G228" s="203">
        <v>-129451.40286199999</v>
      </c>
      <c r="H228" s="457" t="s">
        <v>2509</v>
      </c>
      <c r="K228" s="431">
        <v>222</v>
      </c>
      <c r="L228" s="431">
        <v>94</v>
      </c>
      <c r="M228" s="431"/>
      <c r="N228" s="561" t="s">
        <v>332</v>
      </c>
      <c r="O228" s="565" t="s">
        <v>2151</v>
      </c>
      <c r="P228" s="563">
        <v>191087.91999999998</v>
      </c>
      <c r="Q228" s="203">
        <v>85199.72</v>
      </c>
      <c r="R228" s="203">
        <v>179884.86</v>
      </c>
      <c r="S228" s="203">
        <v>16338.78</v>
      </c>
      <c r="T228" s="203">
        <v>2660.5</v>
      </c>
      <c r="U228" s="203">
        <v>0</v>
      </c>
      <c r="V228" s="203">
        <v>0</v>
      </c>
      <c r="W228" s="529">
        <v>36455.462861999993</v>
      </c>
      <c r="X228" s="564">
        <v>284083.86</v>
      </c>
      <c r="Y228" s="203">
        <v>320539.32286199997</v>
      </c>
      <c r="Z228" s="203">
        <v>-129451.40286199999</v>
      </c>
      <c r="AA228" s="383">
        <f t="shared" si="3"/>
        <v>0</v>
      </c>
    </row>
    <row r="229" spans="3:27" ht="15">
      <c r="C229" s="431">
        <v>223</v>
      </c>
      <c r="D229" s="431">
        <v>28</v>
      </c>
      <c r="E229" s="443" t="s">
        <v>1520</v>
      </c>
      <c r="F229" s="443" t="s">
        <v>1663</v>
      </c>
      <c r="G229" s="203">
        <v>-46578.489999999976</v>
      </c>
      <c r="H229" s="457" t="s">
        <v>2509</v>
      </c>
      <c r="K229" s="431">
        <v>223</v>
      </c>
      <c r="L229" s="431">
        <v>28</v>
      </c>
      <c r="M229" s="431"/>
      <c r="N229" s="561" t="s">
        <v>1520</v>
      </c>
      <c r="O229" s="565" t="s">
        <v>2597</v>
      </c>
      <c r="P229" s="563">
        <v>98374.46</v>
      </c>
      <c r="Q229" s="203">
        <v>51037.130000000005</v>
      </c>
      <c r="R229" s="203">
        <v>87715.799999999988</v>
      </c>
      <c r="S229" s="203">
        <v>4969.0200000000004</v>
      </c>
      <c r="T229" s="203">
        <v>1231</v>
      </c>
      <c r="U229" s="203">
        <v>0</v>
      </c>
      <c r="V229" s="203">
        <v>0</v>
      </c>
      <c r="W229" s="529">
        <v>0</v>
      </c>
      <c r="X229" s="564">
        <v>144952.94999999998</v>
      </c>
      <c r="Y229" s="203">
        <v>144952.94999999998</v>
      </c>
      <c r="Z229" s="203">
        <v>-46578.489999999976</v>
      </c>
      <c r="AA229" s="383">
        <f t="shared" si="3"/>
        <v>0</v>
      </c>
    </row>
    <row r="230" spans="3:27" ht="15">
      <c r="C230" s="431">
        <v>224</v>
      </c>
      <c r="D230" s="431">
        <v>27</v>
      </c>
      <c r="E230" s="443" t="s">
        <v>211</v>
      </c>
      <c r="F230" s="443" t="s">
        <v>848</v>
      </c>
      <c r="G230" s="203">
        <v>-416956.37579300022</v>
      </c>
      <c r="H230" s="457" t="s">
        <v>2509</v>
      </c>
      <c r="K230" s="431">
        <v>224</v>
      </c>
      <c r="L230" s="431">
        <v>27</v>
      </c>
      <c r="M230" s="431"/>
      <c r="N230" s="561" t="s">
        <v>211</v>
      </c>
      <c r="O230" s="565" t="s">
        <v>2091</v>
      </c>
      <c r="P230" s="563">
        <v>712322.46</v>
      </c>
      <c r="Q230" s="203">
        <v>394107.17000000004</v>
      </c>
      <c r="R230" s="203">
        <v>627978.87</v>
      </c>
      <c r="S230" s="203">
        <v>24746.06</v>
      </c>
      <c r="T230" s="203">
        <v>6338.2199999999993</v>
      </c>
      <c r="U230" s="203">
        <v>15106.26</v>
      </c>
      <c r="V230" s="203">
        <v>-1288.96</v>
      </c>
      <c r="W230" s="529">
        <v>62291.21579300001</v>
      </c>
      <c r="X230" s="564">
        <v>1066987.6200000001</v>
      </c>
      <c r="Y230" s="203">
        <v>1129278.8357930002</v>
      </c>
      <c r="Z230" s="203">
        <v>-416956.37579300022</v>
      </c>
      <c r="AA230" s="383">
        <f t="shared" si="3"/>
        <v>0</v>
      </c>
    </row>
    <row r="231" spans="3:27" ht="15">
      <c r="C231" s="431">
        <v>225</v>
      </c>
      <c r="D231" s="431">
        <v>83</v>
      </c>
      <c r="E231" s="443" t="s">
        <v>311</v>
      </c>
      <c r="F231" s="443" t="s">
        <v>893</v>
      </c>
      <c r="G231" s="203">
        <v>-66693.302089999983</v>
      </c>
      <c r="H231" s="457" t="s">
        <v>2509</v>
      </c>
      <c r="K231" s="431">
        <v>225</v>
      </c>
      <c r="L231" s="431">
        <v>83</v>
      </c>
      <c r="M231" s="431"/>
      <c r="N231" s="561" t="s">
        <v>311</v>
      </c>
      <c r="O231" s="582" t="s">
        <v>2140</v>
      </c>
      <c r="P231" s="563">
        <v>214648.02</v>
      </c>
      <c r="Q231" s="203">
        <v>116656.07</v>
      </c>
      <c r="R231" s="203">
        <v>121386.19999999998</v>
      </c>
      <c r="S231" s="203">
        <v>5925.27</v>
      </c>
      <c r="T231" s="203">
        <v>3453.38</v>
      </c>
      <c r="U231" s="203">
        <v>0</v>
      </c>
      <c r="V231" s="203">
        <v>0</v>
      </c>
      <c r="W231" s="529">
        <v>33920.402090000003</v>
      </c>
      <c r="X231" s="564">
        <v>247420.91999999998</v>
      </c>
      <c r="Y231" s="203">
        <v>281341.32208999997</v>
      </c>
      <c r="Z231" s="203">
        <v>-66693.302089999983</v>
      </c>
      <c r="AA231" s="383">
        <f t="shared" si="3"/>
        <v>0</v>
      </c>
    </row>
    <row r="232" spans="3:27" ht="15">
      <c r="C232" s="431">
        <v>226</v>
      </c>
      <c r="D232" s="431">
        <v>67</v>
      </c>
      <c r="E232" s="443" t="s">
        <v>279</v>
      </c>
      <c r="F232" s="443" t="s">
        <v>879</v>
      </c>
      <c r="G232" s="203">
        <v>-62693.510699999984</v>
      </c>
      <c r="H232" s="457" t="s">
        <v>2509</v>
      </c>
      <c r="K232" s="431">
        <v>226</v>
      </c>
      <c r="L232" s="431">
        <v>67</v>
      </c>
      <c r="M232" s="431" t="s">
        <v>2596</v>
      </c>
      <c r="N232" s="561" t="s">
        <v>279</v>
      </c>
      <c r="O232" s="565" t="s">
        <v>2124</v>
      </c>
      <c r="P232" s="563">
        <v>2612783.64</v>
      </c>
      <c r="Q232" s="566">
        <v>927057.04999999993</v>
      </c>
      <c r="R232" s="566">
        <v>1372114.3399999999</v>
      </c>
      <c r="S232" s="566">
        <v>16555.68</v>
      </c>
      <c r="T232" s="566">
        <v>142345.83000000005</v>
      </c>
      <c r="U232" s="566">
        <v>0</v>
      </c>
      <c r="V232" s="566"/>
      <c r="W232" s="568">
        <v>217404.25069999998</v>
      </c>
      <c r="X232" s="564">
        <v>2458072.9</v>
      </c>
      <c r="Y232" s="203">
        <v>2675477.1507000001</v>
      </c>
      <c r="Z232" s="203">
        <v>-62693.510699999984</v>
      </c>
      <c r="AA232" s="383">
        <f t="shared" si="3"/>
        <v>0</v>
      </c>
    </row>
    <row r="233" spans="3:27" ht="15">
      <c r="C233" s="431">
        <v>227</v>
      </c>
      <c r="D233" s="431">
        <v>278</v>
      </c>
      <c r="E233" s="443" t="s">
        <v>648</v>
      </c>
      <c r="F233" s="449" t="s">
        <v>1041</v>
      </c>
      <c r="G233" s="203">
        <v>-68926.866810000152</v>
      </c>
      <c r="H233" s="457" t="s">
        <v>2509</v>
      </c>
      <c r="K233" s="431">
        <v>227</v>
      </c>
      <c r="L233" s="431">
        <v>278</v>
      </c>
      <c r="M233" s="431"/>
      <c r="N233" s="561" t="s">
        <v>648</v>
      </c>
      <c r="O233" s="565" t="s">
        <v>2311</v>
      </c>
      <c r="P233" s="563">
        <v>640443.4</v>
      </c>
      <c r="Q233" s="203">
        <v>293364.78999999998</v>
      </c>
      <c r="R233" s="203">
        <v>330404.77</v>
      </c>
      <c r="S233" s="203">
        <v>837.52</v>
      </c>
      <c r="T233" s="203">
        <v>5467.93</v>
      </c>
      <c r="U233" s="203">
        <v>0</v>
      </c>
      <c r="V233" s="203">
        <v>0</v>
      </c>
      <c r="W233" s="529">
        <v>79295.256810000006</v>
      </c>
      <c r="X233" s="564">
        <v>630075.01000000013</v>
      </c>
      <c r="Y233" s="203">
        <v>709370.26681000018</v>
      </c>
      <c r="Z233" s="203">
        <v>-68926.866810000152</v>
      </c>
      <c r="AA233" s="383">
        <f t="shared" si="3"/>
        <v>0</v>
      </c>
    </row>
    <row r="234" spans="3:27" ht="15">
      <c r="C234" s="431">
        <v>228</v>
      </c>
      <c r="D234" s="431">
        <v>120</v>
      </c>
      <c r="E234" s="443" t="s">
        <v>1410</v>
      </c>
      <c r="F234" s="443" t="s">
        <v>1409</v>
      </c>
      <c r="G234" s="203">
        <v>-164486.33360000001</v>
      </c>
      <c r="H234" s="457" t="s">
        <v>2509</v>
      </c>
      <c r="K234" s="431">
        <v>228</v>
      </c>
      <c r="L234" s="431">
        <v>120</v>
      </c>
      <c r="M234" s="431" t="s">
        <v>2596</v>
      </c>
      <c r="N234" s="561" t="s">
        <v>1410</v>
      </c>
      <c r="O234" s="565" t="s">
        <v>1535</v>
      </c>
      <c r="P234" s="563">
        <v>182671.3</v>
      </c>
      <c r="Q234" s="566">
        <v>118672.44</v>
      </c>
      <c r="R234" s="566">
        <v>155274.05000000002</v>
      </c>
      <c r="S234" s="566">
        <v>2149.9499999999998</v>
      </c>
      <c r="T234" s="566">
        <v>0</v>
      </c>
      <c r="U234" s="566">
        <v>0</v>
      </c>
      <c r="V234" s="566"/>
      <c r="W234" s="568">
        <v>71061.193600000013</v>
      </c>
      <c r="X234" s="564">
        <v>276096.44</v>
      </c>
      <c r="Y234" s="203">
        <v>347157.6336</v>
      </c>
      <c r="Z234" s="203">
        <v>-164486.33360000001</v>
      </c>
      <c r="AA234" s="383">
        <f t="shared" si="3"/>
        <v>0</v>
      </c>
    </row>
    <row r="235" spans="3:27" ht="15">
      <c r="C235" s="431">
        <v>229</v>
      </c>
      <c r="D235" s="431">
        <v>121</v>
      </c>
      <c r="E235" s="443" t="s">
        <v>1516</v>
      </c>
      <c r="F235" s="443" t="s">
        <v>2503</v>
      </c>
      <c r="G235" s="203">
        <v>-116510.29657200001</v>
      </c>
      <c r="H235" s="457" t="s">
        <v>2509</v>
      </c>
      <c r="K235" s="431">
        <v>229</v>
      </c>
      <c r="L235" s="431">
        <v>121</v>
      </c>
      <c r="M235" s="431" t="s">
        <v>2596</v>
      </c>
      <c r="N235" s="561" t="s">
        <v>1516</v>
      </c>
      <c r="O235" s="565" t="s">
        <v>2601</v>
      </c>
      <c r="P235" s="563">
        <v>23134.98</v>
      </c>
      <c r="Q235" s="570">
        <v>2313.75</v>
      </c>
      <c r="R235" s="566">
        <v>39584.78</v>
      </c>
      <c r="S235" s="566">
        <v>1812.94</v>
      </c>
      <c r="T235" s="570">
        <v>71132.210000000006</v>
      </c>
      <c r="U235" s="566">
        <v>0</v>
      </c>
      <c r="V235" s="566"/>
      <c r="W235" s="568">
        <v>24801.596572000002</v>
      </c>
      <c r="X235" s="564">
        <v>114843.68000000001</v>
      </c>
      <c r="Y235" s="203">
        <v>139645.276572</v>
      </c>
      <c r="Z235" s="203">
        <v>-116510.29657200001</v>
      </c>
      <c r="AA235" s="383">
        <f t="shared" si="3"/>
        <v>0</v>
      </c>
    </row>
    <row r="236" spans="3:27" ht="15">
      <c r="C236" s="431">
        <v>230</v>
      </c>
      <c r="D236" s="431">
        <v>188</v>
      </c>
      <c r="E236" s="443" t="s">
        <v>490</v>
      </c>
      <c r="F236" s="443" t="s">
        <v>974</v>
      </c>
      <c r="G236" s="203">
        <v>-90688.795741999988</v>
      </c>
      <c r="H236" s="457" t="s">
        <v>2509</v>
      </c>
      <c r="K236" s="431">
        <v>230</v>
      </c>
      <c r="L236" s="431">
        <v>188</v>
      </c>
      <c r="M236" s="431"/>
      <c r="N236" s="561" t="s">
        <v>490</v>
      </c>
      <c r="O236" s="565" t="s">
        <v>2229</v>
      </c>
      <c r="P236" s="563">
        <v>390020.44</v>
      </c>
      <c r="Q236" s="203">
        <v>195230.02</v>
      </c>
      <c r="R236" s="203">
        <v>210565.65</v>
      </c>
      <c r="S236" s="203">
        <v>7753.37</v>
      </c>
      <c r="T236" s="203">
        <v>1839.24</v>
      </c>
      <c r="U236" s="203">
        <v>0</v>
      </c>
      <c r="V236" s="203">
        <v>0</v>
      </c>
      <c r="W236" s="529">
        <v>65320.955741999998</v>
      </c>
      <c r="X236" s="564">
        <v>415388.27999999997</v>
      </c>
      <c r="Y236" s="203">
        <v>480709.23574199999</v>
      </c>
      <c r="Z236" s="203">
        <v>-90688.795741999988</v>
      </c>
      <c r="AA236" s="383">
        <f t="shared" si="3"/>
        <v>0</v>
      </c>
    </row>
    <row r="237" spans="3:27" ht="15">
      <c r="C237" s="431">
        <v>231</v>
      </c>
      <c r="D237" s="431">
        <v>164</v>
      </c>
      <c r="E237" s="443" t="s">
        <v>444</v>
      </c>
      <c r="F237" s="443" t="s">
        <v>1669</v>
      </c>
      <c r="G237" s="203">
        <v>11537.345359999978</v>
      </c>
      <c r="H237" s="457" t="s">
        <v>2509</v>
      </c>
      <c r="K237" s="431">
        <v>231</v>
      </c>
      <c r="L237" s="431">
        <v>164</v>
      </c>
      <c r="M237" s="431"/>
      <c r="N237" s="561" t="s">
        <v>444</v>
      </c>
      <c r="O237" s="565" t="s">
        <v>2206</v>
      </c>
      <c r="P237" s="563">
        <v>440851.62</v>
      </c>
      <c r="Q237" s="203">
        <v>147709.41</v>
      </c>
      <c r="R237" s="203">
        <v>202948.27</v>
      </c>
      <c r="S237" s="203">
        <v>17986.38</v>
      </c>
      <c r="T237" s="203">
        <v>4370.53</v>
      </c>
      <c r="U237" s="203">
        <v>424</v>
      </c>
      <c r="V237" s="203">
        <v>0</v>
      </c>
      <c r="W237" s="529">
        <v>55875.684639999999</v>
      </c>
      <c r="X237" s="564">
        <v>373438.59</v>
      </c>
      <c r="Y237" s="203">
        <v>429314.27464000002</v>
      </c>
      <c r="Z237" s="203">
        <v>11537.345359999978</v>
      </c>
      <c r="AA237" s="383">
        <f t="shared" si="3"/>
        <v>0</v>
      </c>
    </row>
    <row r="238" spans="3:27" ht="15">
      <c r="C238" s="431">
        <v>232</v>
      </c>
      <c r="D238" s="431">
        <v>103</v>
      </c>
      <c r="E238" s="443" t="s">
        <v>350</v>
      </c>
      <c r="F238" s="443" t="s">
        <v>912</v>
      </c>
      <c r="G238" s="203">
        <v>-554349.68580600061</v>
      </c>
      <c r="H238" s="457" t="s">
        <v>2509</v>
      </c>
      <c r="K238" s="431">
        <v>232</v>
      </c>
      <c r="L238" s="431">
        <v>103</v>
      </c>
      <c r="M238" s="431"/>
      <c r="N238" s="561" t="s">
        <v>350</v>
      </c>
      <c r="O238" s="565" t="s">
        <v>2160</v>
      </c>
      <c r="P238" s="563">
        <v>8161017.9000000004</v>
      </c>
      <c r="Q238" s="203">
        <v>3368515.06</v>
      </c>
      <c r="R238" s="203">
        <v>4378757.6899999995</v>
      </c>
      <c r="S238" s="203">
        <v>267041.67</v>
      </c>
      <c r="T238" s="203">
        <v>121057.20000000001</v>
      </c>
      <c r="U238" s="203">
        <v>0</v>
      </c>
      <c r="V238" s="203">
        <v>-6058.3</v>
      </c>
      <c r="W238" s="529">
        <v>586054.26580599998</v>
      </c>
      <c r="X238" s="564">
        <v>8129313.3200000003</v>
      </c>
      <c r="Y238" s="203">
        <v>8715367.585806001</v>
      </c>
      <c r="Z238" s="203">
        <v>-554349.68580600061</v>
      </c>
      <c r="AA238" s="383">
        <f t="shared" si="3"/>
        <v>0</v>
      </c>
    </row>
    <row r="239" spans="3:27" ht="15">
      <c r="C239" s="431">
        <v>233</v>
      </c>
      <c r="D239" s="431">
        <v>59</v>
      </c>
      <c r="E239" s="443" t="s">
        <v>265</v>
      </c>
      <c r="F239" s="443" t="s">
        <v>873</v>
      </c>
      <c r="G239" s="203">
        <v>-136175.02515500004</v>
      </c>
      <c r="H239" s="457" t="s">
        <v>2509</v>
      </c>
      <c r="K239" s="431">
        <v>233</v>
      </c>
      <c r="L239" s="431">
        <v>59</v>
      </c>
      <c r="M239" s="431"/>
      <c r="N239" s="561" t="s">
        <v>265</v>
      </c>
      <c r="O239" s="565" t="s">
        <v>2118</v>
      </c>
      <c r="P239" s="563">
        <v>350049.88999999996</v>
      </c>
      <c r="Q239" s="203">
        <v>172211.7</v>
      </c>
      <c r="R239" s="203">
        <v>210646.13</v>
      </c>
      <c r="S239" s="203">
        <v>7738.36</v>
      </c>
      <c r="T239" s="203">
        <v>1596.56</v>
      </c>
      <c r="U239" s="203">
        <v>23396.25</v>
      </c>
      <c r="V239" s="203">
        <v>0</v>
      </c>
      <c r="W239" s="529">
        <v>70635.915154999995</v>
      </c>
      <c r="X239" s="564">
        <v>415589</v>
      </c>
      <c r="Y239" s="203">
        <v>486224.915155</v>
      </c>
      <c r="Z239" s="203">
        <v>-136175.02515500004</v>
      </c>
      <c r="AA239" s="383">
        <f t="shared" si="3"/>
        <v>0</v>
      </c>
    </row>
    <row r="240" spans="3:27" ht="15">
      <c r="C240" s="431">
        <v>234</v>
      </c>
      <c r="D240" s="431">
        <v>13</v>
      </c>
      <c r="E240" s="443" t="s">
        <v>187</v>
      </c>
      <c r="F240" s="443" t="s">
        <v>837</v>
      </c>
      <c r="G240" s="203">
        <v>338837.49583000038</v>
      </c>
      <c r="H240" s="457" t="s">
        <v>2509</v>
      </c>
      <c r="K240" s="431">
        <v>234</v>
      </c>
      <c r="L240" s="431">
        <v>13</v>
      </c>
      <c r="M240" s="431" t="s">
        <v>2596</v>
      </c>
      <c r="N240" s="561" t="s">
        <v>187</v>
      </c>
      <c r="O240" s="565" t="s">
        <v>2079</v>
      </c>
      <c r="P240" s="563">
        <v>7541035.2700000005</v>
      </c>
      <c r="Q240" s="566">
        <v>3343434.5500000003</v>
      </c>
      <c r="R240" s="566">
        <v>3273326.26</v>
      </c>
      <c r="S240" s="566">
        <v>13595.759999999998</v>
      </c>
      <c r="T240" s="567">
        <v>55711.49</v>
      </c>
      <c r="U240" s="567">
        <v>41603.18</v>
      </c>
      <c r="V240" s="567">
        <v>-28263.41</v>
      </c>
      <c r="W240" s="568">
        <v>502789.94416999997</v>
      </c>
      <c r="X240" s="564">
        <v>6699407.8300000001</v>
      </c>
      <c r="Y240" s="203">
        <v>7202197.7741700001</v>
      </c>
      <c r="Z240" s="203">
        <v>338837.49583000038</v>
      </c>
      <c r="AA240" s="383">
        <f t="shared" si="3"/>
        <v>0</v>
      </c>
    </row>
    <row r="241" spans="3:27" ht="15">
      <c r="C241" s="431">
        <v>235</v>
      </c>
      <c r="D241" s="431">
        <v>37</v>
      </c>
      <c r="E241" s="443" t="s">
        <v>227</v>
      </c>
      <c r="F241" s="443" t="s">
        <v>855</v>
      </c>
      <c r="G241" s="203">
        <v>161946.03401399986</v>
      </c>
      <c r="H241" s="457" t="s">
        <v>2509</v>
      </c>
      <c r="K241" s="431">
        <v>235</v>
      </c>
      <c r="L241" s="431">
        <v>37</v>
      </c>
      <c r="M241" s="431" t="s">
        <v>2596</v>
      </c>
      <c r="N241" s="561" t="s">
        <v>227</v>
      </c>
      <c r="O241" s="565" t="s">
        <v>2100</v>
      </c>
      <c r="P241" s="563">
        <v>1577963.75</v>
      </c>
      <c r="Q241" s="566">
        <v>685777.89</v>
      </c>
      <c r="R241" s="566">
        <v>617481.39</v>
      </c>
      <c r="S241" s="567">
        <v>1943.35</v>
      </c>
      <c r="T241" s="567">
        <v>0</v>
      </c>
      <c r="U241" s="566">
        <v>0</v>
      </c>
      <c r="V241" s="566"/>
      <c r="W241" s="568">
        <v>110815.08598600001</v>
      </c>
      <c r="X241" s="564">
        <v>1305202.6300000001</v>
      </c>
      <c r="Y241" s="203">
        <v>1416017.7159860001</v>
      </c>
      <c r="Z241" s="203">
        <v>161946.03401399986</v>
      </c>
      <c r="AA241" s="383">
        <f t="shared" si="3"/>
        <v>0</v>
      </c>
    </row>
    <row r="242" spans="3:27" ht="15">
      <c r="C242" s="431">
        <v>236</v>
      </c>
      <c r="D242" s="431">
        <v>5</v>
      </c>
      <c r="E242" s="443" t="s">
        <v>171</v>
      </c>
      <c r="F242" s="443" t="s">
        <v>831</v>
      </c>
      <c r="G242" s="203">
        <v>1013.336903999967</v>
      </c>
      <c r="H242" s="457" t="s">
        <v>2509</v>
      </c>
      <c r="K242" s="431">
        <v>236</v>
      </c>
      <c r="L242" s="431">
        <v>5</v>
      </c>
      <c r="M242" s="431"/>
      <c r="N242" s="561" t="s">
        <v>171</v>
      </c>
      <c r="O242" s="565" t="s">
        <v>2071</v>
      </c>
      <c r="P242" s="563">
        <v>189330.28999999998</v>
      </c>
      <c r="Q242" s="203">
        <v>97922.03</v>
      </c>
      <c r="R242" s="203">
        <v>61904.800000000003</v>
      </c>
      <c r="S242" s="203">
        <v>8495.56</v>
      </c>
      <c r="T242" s="203">
        <v>298</v>
      </c>
      <c r="U242" s="203">
        <v>0</v>
      </c>
      <c r="V242" s="203">
        <v>0</v>
      </c>
      <c r="W242" s="529">
        <v>19696.563096000002</v>
      </c>
      <c r="X242" s="564">
        <v>168620.39</v>
      </c>
      <c r="Y242" s="203">
        <v>188316.95309600001</v>
      </c>
      <c r="Z242" s="203">
        <v>1013.336903999967</v>
      </c>
      <c r="AA242" s="383">
        <f t="shared" si="3"/>
        <v>0</v>
      </c>
    </row>
    <row r="243" spans="3:27" ht="15">
      <c r="C243" s="431">
        <v>237</v>
      </c>
      <c r="D243" s="431">
        <v>257</v>
      </c>
      <c r="E243" s="443" t="s">
        <v>616</v>
      </c>
      <c r="F243" s="443" t="s">
        <v>1026</v>
      </c>
      <c r="G243" s="203">
        <v>-35545.450151999947</v>
      </c>
      <c r="H243" s="457" t="s">
        <v>2509</v>
      </c>
      <c r="K243" s="431">
        <v>237</v>
      </c>
      <c r="L243" s="431">
        <v>257</v>
      </c>
      <c r="M243" s="431" t="s">
        <v>2596</v>
      </c>
      <c r="N243" s="561" t="s">
        <v>616</v>
      </c>
      <c r="O243" s="565" t="s">
        <v>2292</v>
      </c>
      <c r="P243" s="563">
        <v>1057301.94</v>
      </c>
      <c r="Q243" s="566">
        <v>331444.61</v>
      </c>
      <c r="R243" s="566">
        <v>498161.35</v>
      </c>
      <c r="S243" s="566">
        <v>202.04000000000002</v>
      </c>
      <c r="T243" s="566">
        <v>73449.599999999991</v>
      </c>
      <c r="U243" s="566">
        <v>61046.23</v>
      </c>
      <c r="V243" s="566"/>
      <c r="W243" s="568">
        <v>128543.56015199999</v>
      </c>
      <c r="X243" s="564">
        <v>964303.83</v>
      </c>
      <c r="Y243" s="203">
        <v>1092847.3901519999</v>
      </c>
      <c r="Z243" s="203">
        <v>-35545.450151999947</v>
      </c>
      <c r="AA243" s="383">
        <f t="shared" si="3"/>
        <v>0</v>
      </c>
    </row>
    <row r="244" spans="3:27" ht="15">
      <c r="C244" s="431">
        <v>238</v>
      </c>
      <c r="D244" s="431">
        <v>107</v>
      </c>
      <c r="E244" s="443" t="s">
        <v>358</v>
      </c>
      <c r="F244" s="443" t="s">
        <v>916</v>
      </c>
      <c r="G244" s="203">
        <v>-429192.95203000004</v>
      </c>
      <c r="H244" s="457" t="s">
        <v>2509</v>
      </c>
      <c r="K244" s="431">
        <v>238</v>
      </c>
      <c r="L244" s="431">
        <v>107</v>
      </c>
      <c r="M244" s="431"/>
      <c r="N244" s="561" t="s">
        <v>358</v>
      </c>
      <c r="O244" s="565" t="s">
        <v>2164</v>
      </c>
      <c r="P244" s="563">
        <v>1272966.31</v>
      </c>
      <c r="Q244" s="203">
        <v>690747.58</v>
      </c>
      <c r="R244" s="203">
        <v>831694.85000000009</v>
      </c>
      <c r="S244" s="203">
        <v>34776.379999999997</v>
      </c>
      <c r="T244" s="203">
        <v>9134.07</v>
      </c>
      <c r="U244" s="203">
        <v>0</v>
      </c>
      <c r="V244" s="203">
        <v>0</v>
      </c>
      <c r="W244" s="529">
        <v>135806.38203000001</v>
      </c>
      <c r="X244" s="564">
        <v>1566352.8800000001</v>
      </c>
      <c r="Y244" s="203">
        <v>1702159.2620300001</v>
      </c>
      <c r="Z244" s="203">
        <v>-429192.95203000004</v>
      </c>
      <c r="AA244" s="383">
        <f t="shared" si="3"/>
        <v>0</v>
      </c>
    </row>
    <row r="245" spans="3:27" ht="15">
      <c r="C245" s="431">
        <v>239</v>
      </c>
      <c r="D245" s="431">
        <v>280</v>
      </c>
      <c r="E245" s="443" t="s">
        <v>652</v>
      </c>
      <c r="F245" s="443" t="s">
        <v>1043</v>
      </c>
      <c r="G245" s="203">
        <v>122644.29980099993</v>
      </c>
      <c r="H245" s="457" t="s">
        <v>2509</v>
      </c>
      <c r="K245" s="431">
        <v>239</v>
      </c>
      <c r="L245" s="431">
        <v>280</v>
      </c>
      <c r="M245" s="431" t="s">
        <v>2596</v>
      </c>
      <c r="N245" s="561" t="s">
        <v>652</v>
      </c>
      <c r="O245" s="565" t="s">
        <v>2610</v>
      </c>
      <c r="P245" s="563">
        <v>1341293.3999999999</v>
      </c>
      <c r="Q245" s="566">
        <v>558042.12</v>
      </c>
      <c r="R245" s="566">
        <v>429910.9</v>
      </c>
      <c r="S245" s="566">
        <v>54117.04</v>
      </c>
      <c r="T245" s="566">
        <v>67848.869999999879</v>
      </c>
      <c r="U245" s="566">
        <v>27107.59</v>
      </c>
      <c r="V245" s="566"/>
      <c r="W245" s="568">
        <v>81622.580198999975</v>
      </c>
      <c r="X245" s="564">
        <v>1137026.52</v>
      </c>
      <c r="Y245" s="203">
        <v>1218649.100199</v>
      </c>
      <c r="Z245" s="203">
        <v>122644.29980099993</v>
      </c>
      <c r="AA245" s="383">
        <f t="shared" si="3"/>
        <v>0</v>
      </c>
    </row>
    <row r="246" spans="3:27" ht="15">
      <c r="C246" s="431">
        <v>240</v>
      </c>
      <c r="D246" s="431">
        <v>146</v>
      </c>
      <c r="E246" s="445" t="s">
        <v>408</v>
      </c>
      <c r="F246" s="446" t="s">
        <v>2378</v>
      </c>
      <c r="G246" s="203">
        <v>-937.46</v>
      </c>
      <c r="H246" s="457" t="s">
        <v>2509</v>
      </c>
      <c r="K246" s="431">
        <v>240</v>
      </c>
      <c r="L246" s="431">
        <v>146</v>
      </c>
      <c r="M246" s="431"/>
      <c r="N246" s="561" t="s">
        <v>408</v>
      </c>
      <c r="O246" s="565" t="s">
        <v>2378</v>
      </c>
      <c r="P246" s="563"/>
      <c r="Q246" s="203">
        <v>937.46</v>
      </c>
      <c r="R246" s="203">
        <v>0</v>
      </c>
      <c r="S246" s="203">
        <v>0</v>
      </c>
      <c r="T246" s="203">
        <v>0</v>
      </c>
      <c r="U246" s="203">
        <v>0</v>
      </c>
      <c r="V246" s="203">
        <v>0</v>
      </c>
      <c r="W246" s="529">
        <v>0</v>
      </c>
      <c r="X246" s="564">
        <v>937.46</v>
      </c>
      <c r="Y246" s="203">
        <v>937.46</v>
      </c>
      <c r="Z246" s="203">
        <v>-937.46</v>
      </c>
      <c r="AA246" s="383">
        <f t="shared" si="3"/>
        <v>0</v>
      </c>
    </row>
    <row r="247" spans="3:27" ht="15">
      <c r="C247" s="431">
        <v>241</v>
      </c>
      <c r="D247" s="431">
        <v>40</v>
      </c>
      <c r="E247" s="445" t="s">
        <v>2368</v>
      </c>
      <c r="F247" s="451" t="s">
        <v>2452</v>
      </c>
      <c r="G247" s="203">
        <v>-1311.67</v>
      </c>
      <c r="H247" s="457" t="s">
        <v>2509</v>
      </c>
      <c r="K247" s="431">
        <v>241</v>
      </c>
      <c r="L247" s="431">
        <v>40</v>
      </c>
      <c r="M247" s="431"/>
      <c r="N247" s="561" t="s">
        <v>2368</v>
      </c>
      <c r="O247" s="581" t="s">
        <v>2452</v>
      </c>
      <c r="P247" s="563">
        <v>13371.02</v>
      </c>
      <c r="Q247" s="203">
        <v>14682.69</v>
      </c>
      <c r="R247" s="203">
        <v>0</v>
      </c>
      <c r="S247" s="203">
        <v>0</v>
      </c>
      <c r="T247" s="203">
        <v>0</v>
      </c>
      <c r="U247" s="203">
        <v>0</v>
      </c>
      <c r="V247" s="203">
        <v>0</v>
      </c>
      <c r="W247" s="529">
        <v>0</v>
      </c>
      <c r="X247" s="564">
        <v>14682.69</v>
      </c>
      <c r="Y247" s="203">
        <v>14682.69</v>
      </c>
      <c r="Z247" s="203">
        <v>-1311.67</v>
      </c>
      <c r="AA247" s="383">
        <f t="shared" si="3"/>
        <v>0</v>
      </c>
    </row>
    <row r="248" spans="3:27" ht="15">
      <c r="C248" s="431">
        <v>242</v>
      </c>
      <c r="D248" s="431">
        <v>311</v>
      </c>
      <c r="E248" s="443" t="s">
        <v>705</v>
      </c>
      <c r="F248" s="443" t="s">
        <v>1066</v>
      </c>
      <c r="G248" s="203">
        <v>-20168.790135999967</v>
      </c>
      <c r="H248" s="457" t="s">
        <v>2509</v>
      </c>
      <c r="K248" s="431">
        <v>242</v>
      </c>
      <c r="L248" s="431">
        <v>311</v>
      </c>
      <c r="M248" s="431"/>
      <c r="N248" s="561" t="s">
        <v>705</v>
      </c>
      <c r="O248" s="565" t="s">
        <v>2339</v>
      </c>
      <c r="P248" s="563">
        <v>170284.76</v>
      </c>
      <c r="Q248" s="203">
        <v>75493.52</v>
      </c>
      <c r="R248" s="203">
        <v>92981.09</v>
      </c>
      <c r="S248" s="203">
        <v>3646</v>
      </c>
      <c r="T248" s="203">
        <v>697.69</v>
      </c>
      <c r="U248" s="203">
        <v>0</v>
      </c>
      <c r="V248" s="203">
        <v>0</v>
      </c>
      <c r="W248" s="529">
        <v>17635.250135999999</v>
      </c>
      <c r="X248" s="564">
        <v>172818.3</v>
      </c>
      <c r="Y248" s="203">
        <v>190453.55013599998</v>
      </c>
      <c r="Z248" s="203">
        <v>-20168.790135999967</v>
      </c>
      <c r="AA248" s="383">
        <f t="shared" si="3"/>
        <v>0</v>
      </c>
    </row>
    <row r="249" spans="3:27" ht="15">
      <c r="C249" s="431">
        <v>243</v>
      </c>
      <c r="D249" s="431">
        <v>71</v>
      </c>
      <c r="E249" s="443" t="s">
        <v>287</v>
      </c>
      <c r="F249" s="443" t="s">
        <v>882</v>
      </c>
      <c r="G249" s="203">
        <v>123631.63295000023</v>
      </c>
      <c r="H249" s="457" t="s">
        <v>2509</v>
      </c>
      <c r="K249" s="431">
        <v>243</v>
      </c>
      <c r="L249" s="431">
        <v>71</v>
      </c>
      <c r="M249" s="431"/>
      <c r="N249" s="561" t="s">
        <v>287</v>
      </c>
      <c r="O249" s="565" t="s">
        <v>2128</v>
      </c>
      <c r="P249" s="563">
        <v>1325536.68</v>
      </c>
      <c r="Q249" s="203">
        <v>620683.23</v>
      </c>
      <c r="R249" s="203">
        <v>498437.58999999997</v>
      </c>
      <c r="S249" s="203">
        <v>6007.66</v>
      </c>
      <c r="T249" s="203">
        <v>0</v>
      </c>
      <c r="U249" s="203">
        <v>0</v>
      </c>
      <c r="V249" s="203">
        <v>0</v>
      </c>
      <c r="W249" s="529">
        <v>76776.567049999998</v>
      </c>
      <c r="X249" s="564">
        <v>1125128.4799999997</v>
      </c>
      <c r="Y249" s="203">
        <v>1201905.0470499997</v>
      </c>
      <c r="Z249" s="203">
        <v>123631.63295000023</v>
      </c>
      <c r="AA249" s="383">
        <f t="shared" si="3"/>
        <v>0</v>
      </c>
    </row>
    <row r="250" spans="3:27" ht="15">
      <c r="C250" s="431">
        <v>244</v>
      </c>
      <c r="D250" s="431">
        <v>217</v>
      </c>
      <c r="E250" s="443" t="s">
        <v>541</v>
      </c>
      <c r="F250" s="443" t="s">
        <v>1672</v>
      </c>
      <c r="G250" s="203">
        <v>-151817.69678599999</v>
      </c>
      <c r="H250" s="457" t="s">
        <v>2509</v>
      </c>
      <c r="K250" s="431">
        <v>244</v>
      </c>
      <c r="L250" s="431">
        <v>217</v>
      </c>
      <c r="M250" s="431"/>
      <c r="N250" s="561" t="s">
        <v>541</v>
      </c>
      <c r="O250" s="565" t="s">
        <v>2255</v>
      </c>
      <c r="P250" s="563">
        <v>458079.35000000003</v>
      </c>
      <c r="Q250" s="203">
        <v>208974.54</v>
      </c>
      <c r="R250" s="203">
        <v>301101.67</v>
      </c>
      <c r="S250" s="203">
        <v>4474.7</v>
      </c>
      <c r="T250" s="203">
        <v>4839.37</v>
      </c>
      <c r="U250" s="203">
        <v>24108.84</v>
      </c>
      <c r="V250" s="203">
        <v>0</v>
      </c>
      <c r="W250" s="529">
        <v>66397.926785999996</v>
      </c>
      <c r="X250" s="564">
        <v>543499.12</v>
      </c>
      <c r="Y250" s="203">
        <v>609897.04678600002</v>
      </c>
      <c r="Z250" s="203">
        <v>-151817.69678599999</v>
      </c>
      <c r="AA250" s="383">
        <f t="shared" si="3"/>
        <v>0</v>
      </c>
    </row>
    <row r="251" spans="3:27" ht="15">
      <c r="C251" s="431">
        <v>245</v>
      </c>
      <c r="D251" s="431">
        <v>85</v>
      </c>
      <c r="E251" s="443" t="s">
        <v>314</v>
      </c>
      <c r="F251" s="449" t="s">
        <v>895</v>
      </c>
      <c r="G251" s="203">
        <v>-71380.898078999977</v>
      </c>
      <c r="H251" s="457" t="s">
        <v>2509</v>
      </c>
      <c r="K251" s="431">
        <v>245</v>
      </c>
      <c r="L251" s="431">
        <v>85</v>
      </c>
      <c r="M251" s="431"/>
      <c r="N251" s="561" t="s">
        <v>314</v>
      </c>
      <c r="O251" s="565" t="s">
        <v>2142</v>
      </c>
      <c r="P251" s="563">
        <v>33854.18</v>
      </c>
      <c r="Q251" s="203">
        <v>0</v>
      </c>
      <c r="R251" s="203">
        <v>32915.129999999997</v>
      </c>
      <c r="S251" s="203">
        <v>0</v>
      </c>
      <c r="T251" s="203">
        <v>35361.699999999997</v>
      </c>
      <c r="U251" s="203">
        <v>0</v>
      </c>
      <c r="V251" s="203">
        <v>0</v>
      </c>
      <c r="W251" s="529">
        <v>36958.24807899999</v>
      </c>
      <c r="X251" s="564">
        <v>68276.829999999987</v>
      </c>
      <c r="Y251" s="203">
        <v>105235.07807899997</v>
      </c>
      <c r="Z251" s="203">
        <v>-71380.898078999977</v>
      </c>
      <c r="AA251" s="383">
        <f t="shared" si="3"/>
        <v>0</v>
      </c>
    </row>
    <row r="252" spans="3:27" ht="15">
      <c r="C252" s="431">
        <v>246</v>
      </c>
      <c r="D252" s="431">
        <v>97</v>
      </c>
      <c r="E252" s="443" t="s">
        <v>338</v>
      </c>
      <c r="F252" s="443" t="s">
        <v>906</v>
      </c>
      <c r="G252" s="203">
        <v>-3708117.7462330051</v>
      </c>
      <c r="H252" s="457" t="s">
        <v>2509</v>
      </c>
      <c r="K252" s="431">
        <v>246</v>
      </c>
      <c r="L252" s="431">
        <v>97</v>
      </c>
      <c r="M252" s="431"/>
      <c r="N252" s="561" t="s">
        <v>338</v>
      </c>
      <c r="O252" s="565" t="s">
        <v>2154</v>
      </c>
      <c r="P252" s="563">
        <v>17455028.889999997</v>
      </c>
      <c r="Q252" s="203">
        <v>7999469.3899999997</v>
      </c>
      <c r="R252" s="203">
        <v>10664244.43</v>
      </c>
      <c r="S252" s="203">
        <v>772727.51</v>
      </c>
      <c r="T252" s="203">
        <v>731770.53999999992</v>
      </c>
      <c r="U252" s="203">
        <v>0</v>
      </c>
      <c r="V252" s="203">
        <v>-654986.47</v>
      </c>
      <c r="W252" s="529">
        <v>1649921.2362329997</v>
      </c>
      <c r="X252" s="564">
        <v>19513225.400000002</v>
      </c>
      <c r="Y252" s="203">
        <v>21163146.636233002</v>
      </c>
      <c r="Z252" s="203">
        <v>-3708117.7462330051</v>
      </c>
      <c r="AA252" s="383">
        <f t="shared" si="3"/>
        <v>0</v>
      </c>
    </row>
    <row r="253" spans="3:27" ht="15">
      <c r="C253" s="431">
        <v>247</v>
      </c>
      <c r="D253" s="431">
        <v>220</v>
      </c>
      <c r="E253" s="443" t="s">
        <v>546</v>
      </c>
      <c r="F253" s="443" t="s">
        <v>998</v>
      </c>
      <c r="G253" s="203">
        <v>-215550.71315300046</v>
      </c>
      <c r="H253" s="457" t="s">
        <v>2509</v>
      </c>
      <c r="K253" s="431">
        <v>247</v>
      </c>
      <c r="L253" s="431">
        <v>220</v>
      </c>
      <c r="M253" s="431"/>
      <c r="N253" s="561" t="s">
        <v>546</v>
      </c>
      <c r="O253" s="565" t="s">
        <v>2258</v>
      </c>
      <c r="P253" s="563">
        <v>3266051.6</v>
      </c>
      <c r="Q253" s="203">
        <v>1333239.92</v>
      </c>
      <c r="R253" s="203">
        <v>1601210.53</v>
      </c>
      <c r="S253" s="203">
        <v>109584.18</v>
      </c>
      <c r="T253" s="203">
        <v>55466.720000000001</v>
      </c>
      <c r="U253" s="203">
        <v>105988.7</v>
      </c>
      <c r="V253" s="203">
        <v>-2096.54</v>
      </c>
      <c r="W253" s="529">
        <v>278208.80315300002</v>
      </c>
      <c r="X253" s="564">
        <v>3203393.5100000007</v>
      </c>
      <c r="Y253" s="203">
        <v>3481602.3131530005</v>
      </c>
      <c r="Z253" s="203">
        <v>-215550.71315300046</v>
      </c>
      <c r="AA253" s="383">
        <f t="shared" si="3"/>
        <v>0</v>
      </c>
    </row>
    <row r="254" spans="3:27" ht="15">
      <c r="C254" s="431">
        <v>248</v>
      </c>
      <c r="D254" s="431">
        <v>318</v>
      </c>
      <c r="E254" s="443" t="s">
        <v>718</v>
      </c>
      <c r="F254" s="443" t="s">
        <v>1071</v>
      </c>
      <c r="G254" s="203">
        <v>206979.82237199973</v>
      </c>
      <c r="H254" s="457" t="s">
        <v>2509</v>
      </c>
      <c r="K254" s="431">
        <v>248</v>
      </c>
      <c r="L254" s="431">
        <v>318</v>
      </c>
      <c r="M254" s="431"/>
      <c r="N254" s="561" t="s">
        <v>718</v>
      </c>
      <c r="O254" s="565" t="s">
        <v>2345</v>
      </c>
      <c r="P254" s="563">
        <v>3229216.6199999996</v>
      </c>
      <c r="Q254" s="203">
        <v>1306371.83</v>
      </c>
      <c r="R254" s="203">
        <v>1385546.8</v>
      </c>
      <c r="S254" s="203">
        <v>46568.28</v>
      </c>
      <c r="T254" s="203">
        <v>62128.399999999994</v>
      </c>
      <c r="U254" s="203">
        <v>18254.95</v>
      </c>
      <c r="V254" s="203">
        <v>0</v>
      </c>
      <c r="W254" s="529">
        <v>203366.53762799999</v>
      </c>
      <c r="X254" s="564">
        <v>2818870.26</v>
      </c>
      <c r="Y254" s="203">
        <v>3022236.7976279999</v>
      </c>
      <c r="Z254" s="203">
        <v>206979.82237199973</v>
      </c>
      <c r="AA254" s="383">
        <f t="shared" si="3"/>
        <v>0</v>
      </c>
    </row>
    <row r="255" spans="3:27" ht="15">
      <c r="C255" s="431">
        <v>249</v>
      </c>
      <c r="D255" s="431">
        <v>195</v>
      </c>
      <c r="E255" s="443" t="s">
        <v>503</v>
      </c>
      <c r="F255" s="443" t="s">
        <v>981</v>
      </c>
      <c r="G255" s="203">
        <v>-118048.57708799996</v>
      </c>
      <c r="H255" s="457" t="s">
        <v>2509</v>
      </c>
      <c r="K255" s="431">
        <v>249</v>
      </c>
      <c r="L255" s="431">
        <v>195</v>
      </c>
      <c r="M255" s="431"/>
      <c r="N255" s="561" t="s">
        <v>503</v>
      </c>
      <c r="O255" s="565" t="s">
        <v>2236</v>
      </c>
      <c r="P255" s="563">
        <v>228544.74</v>
      </c>
      <c r="Q255" s="203">
        <v>104067.4</v>
      </c>
      <c r="R255" s="203">
        <v>151469.41</v>
      </c>
      <c r="S255" s="203">
        <v>18417.990000000002</v>
      </c>
      <c r="T255" s="203">
        <v>7449.48</v>
      </c>
      <c r="U255" s="203">
        <v>0</v>
      </c>
      <c r="V255" s="203">
        <v>0</v>
      </c>
      <c r="W255" s="529">
        <v>65189.037087999997</v>
      </c>
      <c r="X255" s="564">
        <v>281404.27999999997</v>
      </c>
      <c r="Y255" s="203">
        <v>346593.31708799995</v>
      </c>
      <c r="Z255" s="203">
        <v>-118048.57708799996</v>
      </c>
      <c r="AA255" s="383">
        <f t="shared" si="3"/>
        <v>0</v>
      </c>
    </row>
    <row r="256" spans="3:27" ht="15">
      <c r="C256" s="431">
        <v>250</v>
      </c>
      <c r="D256" s="431">
        <v>25</v>
      </c>
      <c r="E256" s="443" t="s">
        <v>207</v>
      </c>
      <c r="F256" s="443" t="s">
        <v>846</v>
      </c>
      <c r="G256" s="203">
        <v>-218526.85040700005</v>
      </c>
      <c r="H256" s="457" t="s">
        <v>2509</v>
      </c>
      <c r="K256" s="431">
        <v>250</v>
      </c>
      <c r="L256" s="431">
        <v>25</v>
      </c>
      <c r="M256" s="431" t="s">
        <v>2596</v>
      </c>
      <c r="N256" s="561" t="s">
        <v>207</v>
      </c>
      <c r="O256" s="565" t="s">
        <v>2089</v>
      </c>
      <c r="P256" s="563">
        <v>1034519.65</v>
      </c>
      <c r="Q256" s="570">
        <v>391694.11</v>
      </c>
      <c r="R256" s="570">
        <v>675636.45000000007</v>
      </c>
      <c r="S256" s="566">
        <v>93222.24</v>
      </c>
      <c r="T256" s="566">
        <v>-5.8207660913467407E-11</v>
      </c>
      <c r="U256" s="566">
        <v>0</v>
      </c>
      <c r="V256" s="566"/>
      <c r="W256" s="568">
        <v>92493.700406999997</v>
      </c>
      <c r="X256" s="564">
        <v>1160552.8</v>
      </c>
      <c r="Y256" s="203">
        <v>1253046.5004070001</v>
      </c>
      <c r="Z256" s="203">
        <v>-218526.85040700005</v>
      </c>
      <c r="AA256" s="383">
        <f t="shared" si="3"/>
        <v>0</v>
      </c>
    </row>
    <row r="257" spans="3:27" ht="15">
      <c r="C257" s="431">
        <v>251</v>
      </c>
      <c r="D257" s="431">
        <v>214</v>
      </c>
      <c r="E257" s="447" t="s">
        <v>535</v>
      </c>
      <c r="F257" s="448" t="s">
        <v>2504</v>
      </c>
      <c r="G257" s="203">
        <v>0</v>
      </c>
      <c r="H257" s="457" t="s">
        <v>2509</v>
      </c>
      <c r="K257" s="431">
        <v>251</v>
      </c>
      <c r="L257" s="431">
        <v>214</v>
      </c>
      <c r="M257" s="431"/>
      <c r="N257" s="569" t="s">
        <v>535</v>
      </c>
      <c r="O257" s="586" t="s">
        <v>2504</v>
      </c>
      <c r="P257" s="563"/>
      <c r="Q257" s="203">
        <v>0</v>
      </c>
      <c r="R257" s="203">
        <v>0</v>
      </c>
      <c r="S257" s="203">
        <v>0</v>
      </c>
      <c r="T257" s="203">
        <v>0</v>
      </c>
      <c r="U257" s="203">
        <v>0</v>
      </c>
      <c r="V257" s="203">
        <v>0</v>
      </c>
      <c r="W257" s="529">
        <v>0</v>
      </c>
      <c r="X257" s="564">
        <v>0</v>
      </c>
      <c r="Y257" s="203">
        <v>0</v>
      </c>
      <c r="Z257" s="203">
        <v>0</v>
      </c>
      <c r="AA257" s="383">
        <f t="shared" si="3"/>
        <v>0</v>
      </c>
    </row>
    <row r="258" spans="3:27" ht="15">
      <c r="C258" s="431">
        <v>252</v>
      </c>
      <c r="D258" s="431">
        <v>173</v>
      </c>
      <c r="E258" s="443" t="s">
        <v>462</v>
      </c>
      <c r="F258" s="443" t="s">
        <v>960</v>
      </c>
      <c r="G258" s="203">
        <v>130834.10921600088</v>
      </c>
      <c r="H258" s="457" t="s">
        <v>2509</v>
      </c>
      <c r="K258" s="431">
        <v>252</v>
      </c>
      <c r="L258" s="431">
        <v>173</v>
      </c>
      <c r="M258" s="431"/>
      <c r="N258" s="561" t="s">
        <v>462</v>
      </c>
      <c r="O258" s="565" t="s">
        <v>2215</v>
      </c>
      <c r="P258" s="563">
        <v>3311113.49</v>
      </c>
      <c r="Q258" s="203">
        <v>1523891.4</v>
      </c>
      <c r="R258" s="203">
        <v>1218911.27</v>
      </c>
      <c r="S258" s="203">
        <v>157386.36000000002</v>
      </c>
      <c r="T258" s="203">
        <v>37104.360000000008</v>
      </c>
      <c r="U258" s="203">
        <v>0</v>
      </c>
      <c r="V258" s="203">
        <v>-18078.95</v>
      </c>
      <c r="W258" s="529">
        <v>261064.94078400003</v>
      </c>
      <c r="X258" s="564">
        <v>2919214.4399999995</v>
      </c>
      <c r="Y258" s="203">
        <v>3180279.3807839993</v>
      </c>
      <c r="Z258" s="203">
        <v>130834.10921600088</v>
      </c>
      <c r="AA258" s="383">
        <f t="shared" si="3"/>
        <v>0</v>
      </c>
    </row>
    <row r="259" spans="3:27" ht="15">
      <c r="C259" s="431">
        <v>253</v>
      </c>
      <c r="D259" s="431">
        <v>112</v>
      </c>
      <c r="E259" s="443" t="s">
        <v>366</v>
      </c>
      <c r="F259" s="443" t="s">
        <v>921</v>
      </c>
      <c r="G259" s="203">
        <v>-439495.66410799976</v>
      </c>
      <c r="H259" s="457" t="s">
        <v>2509</v>
      </c>
      <c r="K259" s="431">
        <v>253</v>
      </c>
      <c r="L259" s="431">
        <v>112</v>
      </c>
      <c r="M259" s="431"/>
      <c r="N259" s="561" t="s">
        <v>366</v>
      </c>
      <c r="O259" s="565" t="s">
        <v>2169</v>
      </c>
      <c r="P259" s="563">
        <v>3762940.09</v>
      </c>
      <c r="Q259" s="203">
        <v>1250902.19</v>
      </c>
      <c r="R259" s="203">
        <v>2549627.59</v>
      </c>
      <c r="S259" s="203">
        <v>126002.58</v>
      </c>
      <c r="T259" s="203">
        <v>18519.96</v>
      </c>
      <c r="U259" s="203">
        <v>0</v>
      </c>
      <c r="V259" s="203">
        <v>-115040.06</v>
      </c>
      <c r="W259" s="529">
        <v>372423.49410799996</v>
      </c>
      <c r="X259" s="564">
        <v>3830012.26</v>
      </c>
      <c r="Y259" s="203">
        <v>4202435.7541079996</v>
      </c>
      <c r="Z259" s="203">
        <v>-439495.66410799976</v>
      </c>
      <c r="AA259" s="383">
        <f t="shared" si="3"/>
        <v>0</v>
      </c>
    </row>
    <row r="260" spans="3:27" ht="15">
      <c r="C260" s="431">
        <v>254</v>
      </c>
      <c r="D260" s="431">
        <v>226</v>
      </c>
      <c r="E260" s="443" t="s">
        <v>556</v>
      </c>
      <c r="F260" s="443" t="s">
        <v>1002</v>
      </c>
      <c r="G260" s="203">
        <v>-71773.424785999989</v>
      </c>
      <c r="H260" s="457" t="s">
        <v>2509</v>
      </c>
      <c r="K260" s="431">
        <v>254</v>
      </c>
      <c r="L260" s="431">
        <v>226</v>
      </c>
      <c r="M260" s="431"/>
      <c r="N260" s="561" t="s">
        <v>556</v>
      </c>
      <c r="O260" s="565" t="s">
        <v>2263</v>
      </c>
      <c r="P260" s="563">
        <v>65976.179999999993</v>
      </c>
      <c r="Q260" s="203">
        <v>25885.95</v>
      </c>
      <c r="R260" s="203">
        <v>77463.759999999995</v>
      </c>
      <c r="S260" s="203">
        <v>0</v>
      </c>
      <c r="T260" s="203">
        <v>976.5</v>
      </c>
      <c r="U260" s="203">
        <v>0</v>
      </c>
      <c r="V260" s="203">
        <v>0</v>
      </c>
      <c r="W260" s="529">
        <v>33423.394785999997</v>
      </c>
      <c r="X260" s="564">
        <v>104326.20999999999</v>
      </c>
      <c r="Y260" s="203">
        <v>137749.60478599998</v>
      </c>
      <c r="Z260" s="203">
        <v>-71773.424785999989</v>
      </c>
      <c r="AA260" s="383">
        <f t="shared" si="3"/>
        <v>0</v>
      </c>
    </row>
    <row r="261" spans="3:27" ht="15">
      <c r="C261" s="431">
        <v>255</v>
      </c>
      <c r="D261" s="431">
        <v>104</v>
      </c>
      <c r="E261" s="443" t="s">
        <v>352</v>
      </c>
      <c r="F261" s="443" t="s">
        <v>913</v>
      </c>
      <c r="G261" s="203">
        <v>-73365.013267000002</v>
      </c>
      <c r="H261" s="457" t="s">
        <v>2509</v>
      </c>
      <c r="K261" s="431">
        <v>255</v>
      </c>
      <c r="L261" s="431">
        <v>104</v>
      </c>
      <c r="M261" s="431"/>
      <c r="N261" s="561" t="s">
        <v>352</v>
      </c>
      <c r="O261" s="565" t="s">
        <v>2161</v>
      </c>
      <c r="P261" s="563">
        <v>42906.99</v>
      </c>
      <c r="Q261" s="203">
        <v>30998.68</v>
      </c>
      <c r="R261" s="203">
        <v>65165.09</v>
      </c>
      <c r="S261" s="203">
        <v>0</v>
      </c>
      <c r="T261" s="203">
        <v>617</v>
      </c>
      <c r="U261" s="203">
        <v>0</v>
      </c>
      <c r="V261" s="203">
        <v>0</v>
      </c>
      <c r="W261" s="529">
        <v>19491.233267</v>
      </c>
      <c r="X261" s="564">
        <v>96780.76999999999</v>
      </c>
      <c r="Y261" s="203">
        <v>116272.00326699999</v>
      </c>
      <c r="Z261" s="203">
        <v>-73365.013267000002</v>
      </c>
      <c r="AA261" s="383">
        <f t="shared" si="3"/>
        <v>0</v>
      </c>
    </row>
    <row r="262" spans="3:27" ht="15">
      <c r="C262" s="431">
        <v>256</v>
      </c>
      <c r="D262" s="431">
        <v>238</v>
      </c>
      <c r="E262" s="443" t="s">
        <v>580</v>
      </c>
      <c r="F262" s="443" t="s">
        <v>1012</v>
      </c>
      <c r="G262" s="617">
        <v>-83933.474256000482</v>
      </c>
      <c r="H262" s="457" t="s">
        <v>2509</v>
      </c>
      <c r="K262" s="431">
        <v>256</v>
      </c>
      <c r="L262" s="431">
        <v>238</v>
      </c>
      <c r="M262" s="431" t="s">
        <v>2596</v>
      </c>
      <c r="N262" s="561" t="s">
        <v>580</v>
      </c>
      <c r="O262" s="565" t="s">
        <v>2274</v>
      </c>
      <c r="P262" s="563">
        <v>3201092.8899999997</v>
      </c>
      <c r="Q262" s="570">
        <v>-22750.1</v>
      </c>
      <c r="R262" s="570">
        <v>12259.800000000001</v>
      </c>
      <c r="S262" s="566">
        <v>20595.449999999997</v>
      </c>
      <c r="T262" s="570">
        <v>2846683.81</v>
      </c>
      <c r="U262" s="566">
        <v>110913.02</v>
      </c>
      <c r="V262" s="566"/>
      <c r="W262" s="568">
        <v>442297.199616</v>
      </c>
      <c r="X262" s="564">
        <v>2967701.98</v>
      </c>
      <c r="Y262" s="203">
        <v>3409999.179616</v>
      </c>
      <c r="Z262" s="617">
        <v>-83933.474256000482</v>
      </c>
      <c r="AA262" s="383">
        <f t="shared" si="3"/>
        <v>0</v>
      </c>
    </row>
    <row r="263" spans="3:27" ht="15">
      <c r="C263" s="431">
        <v>257</v>
      </c>
      <c r="D263" s="431">
        <v>110</v>
      </c>
      <c r="E263" s="443" t="s">
        <v>363</v>
      </c>
      <c r="F263" s="443" t="s">
        <v>919</v>
      </c>
      <c r="G263" s="203">
        <v>-748012.30641200067</v>
      </c>
      <c r="H263" s="457" t="s">
        <v>2509</v>
      </c>
      <c r="K263" s="431">
        <v>257</v>
      </c>
      <c r="L263" s="431">
        <v>110</v>
      </c>
      <c r="M263" s="431" t="s">
        <v>2596</v>
      </c>
      <c r="N263" s="561" t="s">
        <v>363</v>
      </c>
      <c r="O263" s="565" t="s">
        <v>2167</v>
      </c>
      <c r="P263" s="563">
        <v>2310894.7599999998</v>
      </c>
      <c r="Q263" s="567">
        <v>1028893.83</v>
      </c>
      <c r="R263" s="567">
        <v>1711899.85</v>
      </c>
      <c r="S263" s="567">
        <v>11634.14</v>
      </c>
      <c r="T263" s="567">
        <v>6170</v>
      </c>
      <c r="U263" s="567">
        <v>0</v>
      </c>
      <c r="V263" s="567">
        <v>-7602.5</v>
      </c>
      <c r="W263" s="568">
        <v>307911.74641199998</v>
      </c>
      <c r="X263" s="564">
        <v>2750995.3200000003</v>
      </c>
      <c r="Y263" s="203">
        <v>3058907.0664120005</v>
      </c>
      <c r="Z263" s="203">
        <v>-748012.30641200067</v>
      </c>
      <c r="AA263" s="383">
        <f t="shared" si="3"/>
        <v>0</v>
      </c>
    </row>
    <row r="264" spans="3:27" ht="15">
      <c r="C264" s="431">
        <v>258</v>
      </c>
      <c r="D264" s="431">
        <v>70</v>
      </c>
      <c r="E264" s="443" t="s">
        <v>285</v>
      </c>
      <c r="F264" s="443" t="s">
        <v>881</v>
      </c>
      <c r="G264" s="203">
        <v>-95942.396399999969</v>
      </c>
      <c r="H264" s="457" t="s">
        <v>2509</v>
      </c>
      <c r="K264" s="431">
        <v>258</v>
      </c>
      <c r="L264" s="431">
        <v>70</v>
      </c>
      <c r="M264" s="431"/>
      <c r="N264" s="561" t="s">
        <v>285</v>
      </c>
      <c r="O264" s="582" t="s">
        <v>2127</v>
      </c>
      <c r="P264" s="563">
        <v>501968.04999999993</v>
      </c>
      <c r="Q264" s="203">
        <v>273778.84999999998</v>
      </c>
      <c r="R264" s="203">
        <v>239875.11000000002</v>
      </c>
      <c r="S264" s="203">
        <v>18883.849999999999</v>
      </c>
      <c r="T264" s="203">
        <v>5622.4400000000005</v>
      </c>
      <c r="U264" s="203">
        <v>0</v>
      </c>
      <c r="V264" s="203">
        <v>0</v>
      </c>
      <c r="W264" s="529">
        <v>59750.196400000008</v>
      </c>
      <c r="X264" s="564">
        <v>538160.24999999988</v>
      </c>
      <c r="Y264" s="203">
        <v>597910.4463999999</v>
      </c>
      <c r="Z264" s="203">
        <v>-95942.396399999969</v>
      </c>
      <c r="AA264" s="383">
        <f t="shared" ref="AA264:AA327" si="4">+G264-Z264</f>
        <v>0</v>
      </c>
    </row>
    <row r="265" spans="3:27" ht="15">
      <c r="C265" s="431">
        <v>259</v>
      </c>
      <c r="D265" s="431">
        <v>189</v>
      </c>
      <c r="E265" s="443" t="s">
        <v>492</v>
      </c>
      <c r="F265" s="443" t="s">
        <v>975</v>
      </c>
      <c r="G265" s="203">
        <v>-16704.320981999917</v>
      </c>
      <c r="H265" s="457" t="s">
        <v>2509</v>
      </c>
      <c r="K265" s="431">
        <v>259</v>
      </c>
      <c r="L265" s="431">
        <v>189</v>
      </c>
      <c r="M265" s="431"/>
      <c r="N265" s="561" t="s">
        <v>492</v>
      </c>
      <c r="O265" s="565" t="s">
        <v>2230</v>
      </c>
      <c r="P265" s="563">
        <v>467637.33</v>
      </c>
      <c r="Q265" s="203">
        <v>224991.27</v>
      </c>
      <c r="R265" s="203">
        <v>203059.32</v>
      </c>
      <c r="S265" s="203">
        <v>13903.48</v>
      </c>
      <c r="T265" s="203">
        <v>4363.6900000000005</v>
      </c>
      <c r="U265" s="203">
        <v>0</v>
      </c>
      <c r="V265" s="203">
        <v>0</v>
      </c>
      <c r="W265" s="529">
        <v>38023.890982000004</v>
      </c>
      <c r="X265" s="564">
        <v>446317.75999999995</v>
      </c>
      <c r="Y265" s="203">
        <v>484341.65098199993</v>
      </c>
      <c r="Z265" s="203">
        <v>-16704.320981999917</v>
      </c>
      <c r="AA265" s="383">
        <f t="shared" si="4"/>
        <v>0</v>
      </c>
    </row>
    <row r="266" spans="3:27" ht="15">
      <c r="C266" s="431">
        <v>260</v>
      </c>
      <c r="D266" s="431">
        <v>130</v>
      </c>
      <c r="E266" s="443" t="s">
        <v>382</v>
      </c>
      <c r="F266" s="443" t="s">
        <v>928</v>
      </c>
      <c r="G266" s="203">
        <v>-424682.98060799949</v>
      </c>
      <c r="H266" s="457" t="s">
        <v>2509</v>
      </c>
      <c r="K266" s="431">
        <v>260</v>
      </c>
      <c r="L266" s="431">
        <v>130</v>
      </c>
      <c r="M266" s="431"/>
      <c r="N266" s="561" t="s">
        <v>382</v>
      </c>
      <c r="O266" s="565" t="s">
        <v>2180</v>
      </c>
      <c r="P266" s="563">
        <v>4784756.28</v>
      </c>
      <c r="Q266" s="203">
        <v>2007417.28</v>
      </c>
      <c r="R266" s="203">
        <v>2262942.59</v>
      </c>
      <c r="S266" s="203">
        <v>359860.06</v>
      </c>
      <c r="T266" s="203">
        <v>258296.69</v>
      </c>
      <c r="U266" s="203">
        <v>0</v>
      </c>
      <c r="V266" s="203">
        <v>-40412.699999999997</v>
      </c>
      <c r="W266" s="529">
        <v>361335.340608</v>
      </c>
      <c r="X266" s="564">
        <v>4848103.92</v>
      </c>
      <c r="Y266" s="203">
        <v>5209439.2606079997</v>
      </c>
      <c r="Z266" s="203">
        <v>-424682.98060799949</v>
      </c>
      <c r="AA266" s="383">
        <f t="shared" si="4"/>
        <v>0</v>
      </c>
    </row>
    <row r="267" spans="3:27" ht="15">
      <c r="C267" s="431">
        <v>261</v>
      </c>
      <c r="D267" s="431">
        <v>91</v>
      </c>
      <c r="E267" s="443" t="s">
        <v>326</v>
      </c>
      <c r="F267" s="443" t="s">
        <v>901</v>
      </c>
      <c r="G267" s="203">
        <v>-250288.98549800005</v>
      </c>
      <c r="H267" s="457" t="s">
        <v>2509</v>
      </c>
      <c r="K267" s="431">
        <v>261</v>
      </c>
      <c r="L267" s="431">
        <v>91</v>
      </c>
      <c r="M267" s="431" t="s">
        <v>2596</v>
      </c>
      <c r="N267" s="561" t="s">
        <v>326</v>
      </c>
      <c r="O267" s="565" t="s">
        <v>2148</v>
      </c>
      <c r="P267" s="563">
        <v>369761.06999999995</v>
      </c>
      <c r="Q267" s="570">
        <v>153610.5</v>
      </c>
      <c r="R267" s="570">
        <v>386560.12</v>
      </c>
      <c r="S267" s="566">
        <v>4390</v>
      </c>
      <c r="T267" s="566">
        <v>11395.74000000002</v>
      </c>
      <c r="U267" s="566">
        <v>0</v>
      </c>
      <c r="V267" s="566"/>
      <c r="W267" s="568">
        <v>64093.695497999994</v>
      </c>
      <c r="X267" s="564">
        <v>555956.36</v>
      </c>
      <c r="Y267" s="203">
        <v>620050.055498</v>
      </c>
      <c r="Z267" s="203">
        <v>-250288.98549800005</v>
      </c>
      <c r="AA267" s="383">
        <f t="shared" si="4"/>
        <v>0</v>
      </c>
    </row>
    <row r="268" spans="3:27" ht="15">
      <c r="C268" s="431">
        <v>262</v>
      </c>
      <c r="D268" s="431">
        <v>171</v>
      </c>
      <c r="E268" s="443" t="s">
        <v>458</v>
      </c>
      <c r="F268" s="443" t="s">
        <v>958</v>
      </c>
      <c r="G268" s="203">
        <v>-35181.822656000033</v>
      </c>
      <c r="H268" s="457" t="s">
        <v>2509</v>
      </c>
      <c r="K268" s="431">
        <v>262</v>
      </c>
      <c r="L268" s="431">
        <v>171</v>
      </c>
      <c r="M268" s="431"/>
      <c r="N268" s="561" t="s">
        <v>458</v>
      </c>
      <c r="O268" s="565" t="s">
        <v>2213</v>
      </c>
      <c r="P268" s="563">
        <v>134610.10999999999</v>
      </c>
      <c r="Q268" s="203">
        <v>9619.93</v>
      </c>
      <c r="R268" s="203">
        <v>27124.14</v>
      </c>
      <c r="S268" s="203">
        <v>253.15</v>
      </c>
      <c r="T268" s="203">
        <v>83040.47</v>
      </c>
      <c r="U268" s="203">
        <v>0</v>
      </c>
      <c r="V268" s="203">
        <v>0</v>
      </c>
      <c r="W268" s="529">
        <v>49754.242656000002</v>
      </c>
      <c r="X268" s="564">
        <v>120037.69</v>
      </c>
      <c r="Y268" s="203">
        <v>169791.93265600002</v>
      </c>
      <c r="Z268" s="203">
        <v>-35181.822656000033</v>
      </c>
      <c r="AA268" s="383">
        <f t="shared" si="4"/>
        <v>0</v>
      </c>
    </row>
    <row r="269" spans="3:27" ht="15">
      <c r="C269" s="431">
        <v>263</v>
      </c>
      <c r="D269" s="431">
        <v>244</v>
      </c>
      <c r="E269" s="443" t="s">
        <v>592</v>
      </c>
      <c r="F269" s="443" t="s">
        <v>1017</v>
      </c>
      <c r="G269" s="203">
        <v>871508.71492799744</v>
      </c>
      <c r="H269" s="457" t="s">
        <v>2509</v>
      </c>
      <c r="K269" s="431">
        <v>263</v>
      </c>
      <c r="L269" s="431">
        <v>244</v>
      </c>
      <c r="M269" s="431"/>
      <c r="N269" s="561" t="s">
        <v>592</v>
      </c>
      <c r="O269" s="565" t="s">
        <v>2280</v>
      </c>
      <c r="P269" s="563">
        <v>22649856.859999999</v>
      </c>
      <c r="Q269" s="203">
        <v>9666199.4000000004</v>
      </c>
      <c r="R269" s="203">
        <v>9961082.1999999993</v>
      </c>
      <c r="S269" s="203">
        <v>815695.83000000007</v>
      </c>
      <c r="T269" s="203">
        <v>188067.51</v>
      </c>
      <c r="U269" s="203">
        <v>154876.87</v>
      </c>
      <c r="V269" s="203">
        <v>-188645.22</v>
      </c>
      <c r="W269" s="529">
        <v>1181071.5550719998</v>
      </c>
      <c r="X269" s="564">
        <v>20597276.590000004</v>
      </c>
      <c r="Y269" s="203">
        <v>21778348.145072002</v>
      </c>
      <c r="Z269" s="203">
        <v>871508.71492799744</v>
      </c>
      <c r="AA269" s="383">
        <f t="shared" si="4"/>
        <v>0</v>
      </c>
    </row>
    <row r="270" spans="3:27" ht="15">
      <c r="C270" s="431">
        <v>264</v>
      </c>
      <c r="D270" s="431">
        <v>259</v>
      </c>
      <c r="E270" s="443" t="s">
        <v>1446</v>
      </c>
      <c r="F270" s="443" t="s">
        <v>1678</v>
      </c>
      <c r="G270" s="203">
        <v>-107762.47003199987</v>
      </c>
      <c r="H270" s="457" t="s">
        <v>2509</v>
      </c>
      <c r="K270" s="431">
        <v>264</v>
      </c>
      <c r="L270" s="431">
        <v>259</v>
      </c>
      <c r="M270" s="431"/>
      <c r="N270" s="561" t="s">
        <v>1446</v>
      </c>
      <c r="O270" s="565" t="s">
        <v>2293</v>
      </c>
      <c r="P270" s="563">
        <v>756228.63</v>
      </c>
      <c r="Q270" s="203">
        <v>342390.62</v>
      </c>
      <c r="R270" s="203">
        <v>309648.86</v>
      </c>
      <c r="S270" s="203">
        <v>13819.6</v>
      </c>
      <c r="T270" s="203">
        <v>27137.86</v>
      </c>
      <c r="U270" s="203">
        <v>45617.34</v>
      </c>
      <c r="V270" s="203">
        <v>0</v>
      </c>
      <c r="W270" s="529">
        <v>125376.82003199997</v>
      </c>
      <c r="X270" s="564">
        <v>738614.27999999991</v>
      </c>
      <c r="Y270" s="203">
        <v>863991.10003199987</v>
      </c>
      <c r="Z270" s="203">
        <v>-107762.47003199987</v>
      </c>
      <c r="AA270" s="383">
        <f t="shared" si="4"/>
        <v>0</v>
      </c>
    </row>
    <row r="271" spans="3:27" ht="15">
      <c r="C271" s="431">
        <v>265</v>
      </c>
      <c r="D271" s="431">
        <v>163</v>
      </c>
      <c r="E271" s="443" t="s">
        <v>442</v>
      </c>
      <c r="F271" s="443" t="s">
        <v>951</v>
      </c>
      <c r="G271" s="203">
        <v>-52188.039359999995</v>
      </c>
      <c r="H271" s="457" t="s">
        <v>2509</v>
      </c>
      <c r="K271" s="431">
        <v>265</v>
      </c>
      <c r="L271" s="431">
        <v>163</v>
      </c>
      <c r="M271" s="431"/>
      <c r="N271" s="561" t="s">
        <v>442</v>
      </c>
      <c r="O271" s="565" t="s">
        <v>2205</v>
      </c>
      <c r="P271" s="563">
        <v>64515.850000000006</v>
      </c>
      <c r="Q271" s="203">
        <v>23124.78</v>
      </c>
      <c r="R271" s="203">
        <v>63787.55</v>
      </c>
      <c r="S271" s="203">
        <v>7019.54</v>
      </c>
      <c r="T271" s="203">
        <v>10793.11</v>
      </c>
      <c r="U271" s="203">
        <v>0</v>
      </c>
      <c r="V271" s="203">
        <v>0</v>
      </c>
      <c r="W271" s="529">
        <v>11978.909360000001</v>
      </c>
      <c r="X271" s="564">
        <v>104724.98</v>
      </c>
      <c r="Y271" s="203">
        <v>116703.88936</v>
      </c>
      <c r="Z271" s="203">
        <v>-52188.039359999995</v>
      </c>
      <c r="AA271" s="383">
        <f t="shared" si="4"/>
        <v>0</v>
      </c>
    </row>
    <row r="272" spans="3:27" ht="15">
      <c r="C272" s="431">
        <v>266</v>
      </c>
      <c r="D272" s="431">
        <v>312</v>
      </c>
      <c r="E272" s="443" t="s">
        <v>707</v>
      </c>
      <c r="F272" s="443" t="s">
        <v>1067</v>
      </c>
      <c r="G272" s="203">
        <v>-99272.803839999993</v>
      </c>
      <c r="H272" s="457" t="s">
        <v>2509</v>
      </c>
      <c r="K272" s="431">
        <v>266</v>
      </c>
      <c r="L272" s="431">
        <v>312</v>
      </c>
      <c r="M272" s="431"/>
      <c r="N272" s="561" t="s">
        <v>707</v>
      </c>
      <c r="O272" s="565" t="s">
        <v>2340</v>
      </c>
      <c r="P272" s="563">
        <v>111440.03000000001</v>
      </c>
      <c r="Q272" s="203">
        <v>67006.2</v>
      </c>
      <c r="R272" s="203">
        <v>87758.73</v>
      </c>
      <c r="S272" s="203">
        <v>5831.23</v>
      </c>
      <c r="T272" s="203">
        <v>558.44000000000005</v>
      </c>
      <c r="U272" s="203">
        <v>23893.38</v>
      </c>
      <c r="V272" s="203">
        <v>0</v>
      </c>
      <c r="W272" s="529">
        <v>25664.85384</v>
      </c>
      <c r="X272" s="564">
        <v>185047.98</v>
      </c>
      <c r="Y272" s="203">
        <v>210712.83384000001</v>
      </c>
      <c r="Z272" s="203">
        <v>-99272.803839999993</v>
      </c>
      <c r="AA272" s="383">
        <f t="shared" si="4"/>
        <v>0</v>
      </c>
    </row>
    <row r="273" spans="3:27" ht="15">
      <c r="C273" s="431">
        <v>267</v>
      </c>
      <c r="D273" s="431">
        <v>243</v>
      </c>
      <c r="E273" s="443" t="s">
        <v>590</v>
      </c>
      <c r="F273" s="443" t="s">
        <v>1675</v>
      </c>
      <c r="G273" s="203">
        <v>-881818.67239599931</v>
      </c>
      <c r="H273" s="457" t="s">
        <v>2509</v>
      </c>
      <c r="K273" s="431">
        <v>267</v>
      </c>
      <c r="L273" s="431">
        <v>243</v>
      </c>
      <c r="M273" s="431"/>
      <c r="N273" s="561" t="s">
        <v>590</v>
      </c>
      <c r="O273" s="565" t="s">
        <v>2279</v>
      </c>
      <c r="P273" s="563">
        <v>1756008.09</v>
      </c>
      <c r="Q273" s="203">
        <v>775003.7</v>
      </c>
      <c r="R273" s="203">
        <v>1511397.31</v>
      </c>
      <c r="S273" s="203">
        <v>100691.57</v>
      </c>
      <c r="T273" s="203">
        <v>15460.880000000001</v>
      </c>
      <c r="U273" s="203">
        <v>0</v>
      </c>
      <c r="V273" s="203">
        <v>-61.5</v>
      </c>
      <c r="W273" s="529">
        <v>235334.80239600001</v>
      </c>
      <c r="X273" s="564">
        <v>2402491.9599999995</v>
      </c>
      <c r="Y273" s="203">
        <v>2637826.7623959994</v>
      </c>
      <c r="Z273" s="203">
        <v>-881818.67239599931</v>
      </c>
      <c r="AA273" s="383">
        <f t="shared" si="4"/>
        <v>0</v>
      </c>
    </row>
    <row r="274" spans="3:27" ht="15">
      <c r="C274" s="431">
        <v>268</v>
      </c>
      <c r="D274" s="431">
        <v>62</v>
      </c>
      <c r="E274" s="447" t="s">
        <v>271</v>
      </c>
      <c r="F274" s="448" t="s">
        <v>2505</v>
      </c>
      <c r="G274" s="203">
        <v>0</v>
      </c>
      <c r="H274" s="457" t="s">
        <v>2509</v>
      </c>
      <c r="K274" s="431">
        <v>268</v>
      </c>
      <c r="L274" s="431">
        <v>62</v>
      </c>
      <c r="M274" s="431"/>
      <c r="N274" s="569" t="s">
        <v>271</v>
      </c>
      <c r="O274" s="586" t="s">
        <v>2505</v>
      </c>
      <c r="P274" s="563"/>
      <c r="Q274" s="203">
        <v>0</v>
      </c>
      <c r="R274" s="203">
        <v>0</v>
      </c>
      <c r="S274" s="203">
        <v>0</v>
      </c>
      <c r="T274" s="203">
        <v>0</v>
      </c>
      <c r="U274" s="203">
        <v>0</v>
      </c>
      <c r="V274" s="203">
        <v>0</v>
      </c>
      <c r="W274" s="529">
        <v>0</v>
      </c>
      <c r="X274" s="564">
        <v>0</v>
      </c>
      <c r="Y274" s="203">
        <v>0</v>
      </c>
      <c r="Z274" s="203">
        <v>0</v>
      </c>
      <c r="AA274" s="383">
        <f t="shared" si="4"/>
        <v>0</v>
      </c>
    </row>
    <row r="275" spans="3:27" ht="15">
      <c r="C275" s="431">
        <v>269</v>
      </c>
      <c r="D275" s="431">
        <v>42</v>
      </c>
      <c r="E275" s="443" t="s">
        <v>231</v>
      </c>
      <c r="F275" s="443" t="s">
        <v>232</v>
      </c>
      <c r="G275" s="203">
        <v>-17951.670000000006</v>
      </c>
      <c r="H275" s="457" t="s">
        <v>2509</v>
      </c>
      <c r="K275" s="431">
        <v>269</v>
      </c>
      <c r="L275" s="431">
        <v>42</v>
      </c>
      <c r="M275" s="431"/>
      <c r="N275" s="561" t="s">
        <v>231</v>
      </c>
      <c r="O275" s="565" t="s">
        <v>2102</v>
      </c>
      <c r="P275" s="563">
        <v>46497.72</v>
      </c>
      <c r="Q275" s="203">
        <v>30006.91</v>
      </c>
      <c r="R275" s="203">
        <v>33472.300000000003</v>
      </c>
      <c r="S275" s="203">
        <v>80.5</v>
      </c>
      <c r="T275" s="203">
        <v>889.68</v>
      </c>
      <c r="U275" s="203">
        <v>0</v>
      </c>
      <c r="V275" s="203">
        <v>0</v>
      </c>
      <c r="W275" s="529">
        <v>0</v>
      </c>
      <c r="X275" s="564">
        <v>64449.390000000007</v>
      </c>
      <c r="Y275" s="203">
        <v>64449.390000000007</v>
      </c>
      <c r="Z275" s="203">
        <v>-17951.670000000006</v>
      </c>
      <c r="AA275" s="383">
        <f t="shared" si="4"/>
        <v>0</v>
      </c>
    </row>
    <row r="276" spans="3:27" ht="15">
      <c r="C276" s="431">
        <v>270</v>
      </c>
      <c r="D276" s="431">
        <v>15</v>
      </c>
      <c r="E276" s="447" t="s">
        <v>191</v>
      </c>
      <c r="F276" s="446" t="s">
        <v>2371</v>
      </c>
      <c r="G276" s="203">
        <v>0</v>
      </c>
      <c r="H276" s="457" t="s">
        <v>2509</v>
      </c>
      <c r="K276" s="431">
        <v>270</v>
      </c>
      <c r="L276" s="431">
        <v>15</v>
      </c>
      <c r="M276" s="431"/>
      <c r="N276" s="569" t="s">
        <v>191</v>
      </c>
      <c r="O276" s="565" t="s">
        <v>2371</v>
      </c>
      <c r="P276" s="563"/>
      <c r="Q276" s="203">
        <v>0</v>
      </c>
      <c r="R276" s="203">
        <v>0</v>
      </c>
      <c r="S276" s="203">
        <v>0</v>
      </c>
      <c r="T276" s="203">
        <v>0</v>
      </c>
      <c r="U276" s="203">
        <v>0</v>
      </c>
      <c r="V276" s="203">
        <v>0</v>
      </c>
      <c r="W276" s="529">
        <v>0</v>
      </c>
      <c r="X276" s="564">
        <v>0</v>
      </c>
      <c r="Y276" s="203">
        <v>0</v>
      </c>
      <c r="Z276" s="203">
        <v>0</v>
      </c>
      <c r="AA276" s="383">
        <f t="shared" si="4"/>
        <v>0</v>
      </c>
    </row>
    <row r="277" spans="3:27" ht="15">
      <c r="C277" s="431">
        <v>271</v>
      </c>
      <c r="D277" s="431">
        <v>196</v>
      </c>
      <c r="E277" s="443" t="s">
        <v>505</v>
      </c>
      <c r="F277" s="443" t="s">
        <v>982</v>
      </c>
      <c r="G277" s="203">
        <v>-488.36717299977317</v>
      </c>
      <c r="H277" s="457" t="s">
        <v>2509</v>
      </c>
      <c r="K277" s="431">
        <v>271</v>
      </c>
      <c r="L277" s="431">
        <v>196</v>
      </c>
      <c r="M277" s="431" t="s">
        <v>2596</v>
      </c>
      <c r="N277" s="561" t="s">
        <v>505</v>
      </c>
      <c r="O277" s="565" t="s">
        <v>2237</v>
      </c>
      <c r="P277" s="563">
        <v>1431452.3900000001</v>
      </c>
      <c r="Q277" s="566">
        <v>655507.44999999995</v>
      </c>
      <c r="R277" s="566">
        <v>571334.09999999986</v>
      </c>
      <c r="S277" s="567">
        <v>99445.56</v>
      </c>
      <c r="T277" s="566">
        <v>0</v>
      </c>
      <c r="U277" s="566">
        <v>0</v>
      </c>
      <c r="V277" s="567">
        <v>-1844.27</v>
      </c>
      <c r="W277" s="568">
        <v>107497.91717299999</v>
      </c>
      <c r="X277" s="564">
        <v>1324442.8399999999</v>
      </c>
      <c r="Y277" s="203">
        <v>1431940.7571729999</v>
      </c>
      <c r="Z277" s="203">
        <v>-488.36717299977317</v>
      </c>
      <c r="AA277" s="383">
        <f t="shared" si="4"/>
        <v>0</v>
      </c>
    </row>
    <row r="278" spans="3:27" ht="15">
      <c r="C278" s="431">
        <v>272</v>
      </c>
      <c r="D278" s="431">
        <v>308</v>
      </c>
      <c r="E278" s="447" t="s">
        <v>699</v>
      </c>
      <c r="F278" s="448" t="s">
        <v>2386</v>
      </c>
      <c r="G278" s="203">
        <v>0</v>
      </c>
      <c r="H278" s="457" t="s">
        <v>2509</v>
      </c>
      <c r="K278" s="431">
        <v>272</v>
      </c>
      <c r="L278" s="431">
        <v>308</v>
      </c>
      <c r="M278" s="431"/>
      <c r="N278" s="569" t="s">
        <v>699</v>
      </c>
      <c r="O278" s="586" t="s">
        <v>2386</v>
      </c>
      <c r="P278" s="563"/>
      <c r="Q278" s="203">
        <v>0</v>
      </c>
      <c r="R278" s="203">
        <v>0</v>
      </c>
      <c r="S278" s="203">
        <v>0</v>
      </c>
      <c r="T278" s="203">
        <v>0</v>
      </c>
      <c r="U278" s="203">
        <v>0</v>
      </c>
      <c r="V278" s="203">
        <v>0</v>
      </c>
      <c r="W278" s="529">
        <v>0</v>
      </c>
      <c r="X278" s="564">
        <v>0</v>
      </c>
      <c r="Y278" s="203">
        <v>0</v>
      </c>
      <c r="Z278" s="203">
        <v>0</v>
      </c>
      <c r="AA278" s="383">
        <f t="shared" si="4"/>
        <v>0</v>
      </c>
    </row>
    <row r="279" spans="3:27" ht="15">
      <c r="C279" s="431">
        <v>273</v>
      </c>
      <c r="D279" s="431">
        <v>229</v>
      </c>
      <c r="E279" s="443" t="s">
        <v>562</v>
      </c>
      <c r="F279" s="443" t="s">
        <v>563</v>
      </c>
      <c r="G279" s="203">
        <v>-109986.49252800003</v>
      </c>
      <c r="H279" s="457" t="s">
        <v>2509</v>
      </c>
      <c r="K279" s="431">
        <v>273</v>
      </c>
      <c r="L279" s="431">
        <v>229</v>
      </c>
      <c r="M279" s="431"/>
      <c r="N279" s="561" t="s">
        <v>562</v>
      </c>
      <c r="O279" s="565" t="s">
        <v>2265</v>
      </c>
      <c r="P279" s="563">
        <v>539635.76</v>
      </c>
      <c r="Q279" s="203">
        <v>236998.26</v>
      </c>
      <c r="R279" s="203">
        <v>343846.5</v>
      </c>
      <c r="S279" s="203">
        <v>11977.31</v>
      </c>
      <c r="T279" s="203">
        <v>3830.11</v>
      </c>
      <c r="U279" s="203">
        <v>3193.97</v>
      </c>
      <c r="V279" s="203">
        <v>0</v>
      </c>
      <c r="W279" s="529">
        <v>49776.102527999996</v>
      </c>
      <c r="X279" s="564">
        <v>599846.15</v>
      </c>
      <c r="Y279" s="203">
        <v>649622.25252800004</v>
      </c>
      <c r="Z279" s="203">
        <v>-109986.49252800003</v>
      </c>
      <c r="AA279" s="383">
        <f t="shared" si="4"/>
        <v>0</v>
      </c>
    </row>
    <row r="280" spans="3:27" ht="15">
      <c r="C280" s="431">
        <v>274</v>
      </c>
      <c r="D280" s="431">
        <v>240</v>
      </c>
      <c r="E280" s="443" t="s">
        <v>584</v>
      </c>
      <c r="F280" s="443" t="s">
        <v>1014</v>
      </c>
      <c r="G280" s="203">
        <v>-1814.0932679998223</v>
      </c>
      <c r="H280" s="457" t="s">
        <v>2509</v>
      </c>
      <c r="K280" s="431">
        <v>274</v>
      </c>
      <c r="L280" s="431">
        <v>240</v>
      </c>
      <c r="M280" s="431" t="s">
        <v>2596</v>
      </c>
      <c r="N280" s="561" t="s">
        <v>584</v>
      </c>
      <c r="O280" s="565" t="s">
        <v>2276</v>
      </c>
      <c r="P280" s="563">
        <v>1279510.49</v>
      </c>
      <c r="Q280" s="566">
        <v>605986.91999999993</v>
      </c>
      <c r="R280" s="566">
        <v>554121.68999999994</v>
      </c>
      <c r="S280" s="566">
        <v>18381.13</v>
      </c>
      <c r="T280" s="566">
        <v>18.24000000003274</v>
      </c>
      <c r="U280" s="566">
        <v>12472.78</v>
      </c>
      <c r="V280" s="566"/>
      <c r="W280" s="568">
        <v>90343.823267999993</v>
      </c>
      <c r="X280" s="564">
        <v>1190980.7599999998</v>
      </c>
      <c r="Y280" s="203">
        <v>1281324.5832679998</v>
      </c>
      <c r="Z280" s="203">
        <v>-1814.0932679998223</v>
      </c>
      <c r="AA280" s="383">
        <f t="shared" si="4"/>
        <v>0</v>
      </c>
    </row>
    <row r="281" spans="3:27" ht="15">
      <c r="C281" s="431">
        <v>275</v>
      </c>
      <c r="D281" s="431">
        <v>268</v>
      </c>
      <c r="E281" s="443" t="s">
        <v>630</v>
      </c>
      <c r="F281" s="443" t="s">
        <v>1033</v>
      </c>
      <c r="G281" s="203">
        <v>-16401.125150000007</v>
      </c>
      <c r="H281" s="457" t="s">
        <v>2509</v>
      </c>
      <c r="K281" s="431">
        <v>275</v>
      </c>
      <c r="L281" s="431">
        <v>268</v>
      </c>
      <c r="M281" s="431" t="s">
        <v>2596</v>
      </c>
      <c r="N281" s="561" t="s">
        <v>630</v>
      </c>
      <c r="O281" s="565" t="s">
        <v>2301</v>
      </c>
      <c r="P281" s="563">
        <v>125190.25</v>
      </c>
      <c r="Q281" s="566">
        <v>54102.36</v>
      </c>
      <c r="R281" s="566">
        <v>48320.160000000003</v>
      </c>
      <c r="S281" s="566">
        <v>1847.84</v>
      </c>
      <c r="T281" s="566">
        <v>9166.7000000000007</v>
      </c>
      <c r="U281" s="566">
        <v>0</v>
      </c>
      <c r="V281" s="566"/>
      <c r="W281" s="568">
        <v>28154.315149999999</v>
      </c>
      <c r="X281" s="564">
        <v>113437.06</v>
      </c>
      <c r="Y281" s="203">
        <v>141591.37515000001</v>
      </c>
      <c r="Z281" s="203">
        <v>-16401.125150000007</v>
      </c>
      <c r="AA281" s="383">
        <f t="shared" si="4"/>
        <v>0</v>
      </c>
    </row>
    <row r="282" spans="3:27" ht="15">
      <c r="C282" s="431">
        <v>276</v>
      </c>
      <c r="D282" s="431">
        <v>119</v>
      </c>
      <c r="E282" s="443" t="s">
        <v>1515</v>
      </c>
      <c r="F282" s="443" t="s">
        <v>1666</v>
      </c>
      <c r="G282" s="203">
        <v>-52562.300738999969</v>
      </c>
      <c r="H282" s="457" t="s">
        <v>2509</v>
      </c>
      <c r="K282" s="431">
        <v>276</v>
      </c>
      <c r="L282" s="431">
        <v>119</v>
      </c>
      <c r="M282" s="431" t="s">
        <v>2596</v>
      </c>
      <c r="N282" s="561" t="s">
        <v>1515</v>
      </c>
      <c r="O282" s="565" t="s">
        <v>2173</v>
      </c>
      <c r="P282" s="563">
        <v>99275.390000000014</v>
      </c>
      <c r="Q282" s="567">
        <v>82425.179999999993</v>
      </c>
      <c r="R282" s="566">
        <v>54136.42</v>
      </c>
      <c r="S282" s="566">
        <v>22.53</v>
      </c>
      <c r="T282" s="567">
        <v>380.62</v>
      </c>
      <c r="U282" s="566">
        <v>0</v>
      </c>
      <c r="V282" s="566"/>
      <c r="W282" s="568">
        <v>14872.940739</v>
      </c>
      <c r="X282" s="564">
        <v>136964.74999999997</v>
      </c>
      <c r="Y282" s="203">
        <v>151837.69073899998</v>
      </c>
      <c r="Z282" s="203">
        <v>-52562.300738999969</v>
      </c>
      <c r="AA282" s="383">
        <f t="shared" si="4"/>
        <v>0</v>
      </c>
    </row>
    <row r="283" spans="3:27" ht="15">
      <c r="C283" s="431">
        <v>277</v>
      </c>
      <c r="D283" s="431">
        <v>213</v>
      </c>
      <c r="E283" s="443" t="s">
        <v>1458</v>
      </c>
      <c r="F283" s="443" t="s">
        <v>1647</v>
      </c>
      <c r="G283" s="203">
        <v>-28198.835514999999</v>
      </c>
      <c r="H283" s="457" t="s">
        <v>2509</v>
      </c>
      <c r="K283" s="431">
        <v>277</v>
      </c>
      <c r="L283" s="431">
        <v>213</v>
      </c>
      <c r="M283" s="431" t="s">
        <v>2596</v>
      </c>
      <c r="N283" s="561" t="s">
        <v>1458</v>
      </c>
      <c r="O283" s="565" t="s">
        <v>1536</v>
      </c>
      <c r="P283" s="563">
        <v>59810.630000000005</v>
      </c>
      <c r="Q283" s="567">
        <v>67685.64</v>
      </c>
      <c r="R283" s="566">
        <v>15004.67</v>
      </c>
      <c r="S283" s="566">
        <v>0</v>
      </c>
      <c r="T283" s="567">
        <v>0</v>
      </c>
      <c r="U283" s="566">
        <v>0</v>
      </c>
      <c r="V283" s="566"/>
      <c r="W283" s="568">
        <v>5319.1555149999995</v>
      </c>
      <c r="X283" s="564">
        <v>82690.31</v>
      </c>
      <c r="Y283" s="203">
        <v>88009.465515000004</v>
      </c>
      <c r="Z283" s="203">
        <v>-28198.835514999999</v>
      </c>
      <c r="AA283" s="383">
        <f t="shared" si="4"/>
        <v>0</v>
      </c>
    </row>
    <row r="284" spans="3:27" ht="15">
      <c r="C284" s="431">
        <v>278</v>
      </c>
      <c r="D284" s="431">
        <v>117</v>
      </c>
      <c r="E284" s="443" t="s">
        <v>1460</v>
      </c>
      <c r="F284" s="443" t="s">
        <v>1648</v>
      </c>
      <c r="G284" s="203">
        <v>-11416.650664000001</v>
      </c>
      <c r="H284" s="457" t="s">
        <v>2509</v>
      </c>
      <c r="K284" s="431">
        <v>278</v>
      </c>
      <c r="L284" s="431">
        <v>117</v>
      </c>
      <c r="M284" s="431" t="s">
        <v>2596</v>
      </c>
      <c r="N284" s="561" t="s">
        <v>1460</v>
      </c>
      <c r="O284" s="565" t="s">
        <v>1534</v>
      </c>
      <c r="P284" s="563">
        <v>47484.38</v>
      </c>
      <c r="Q284" s="567">
        <v>42330.27</v>
      </c>
      <c r="R284" s="566">
        <v>13286.369999999999</v>
      </c>
      <c r="S284" s="566">
        <v>0</v>
      </c>
      <c r="T284" s="567">
        <v>0</v>
      </c>
      <c r="U284" s="566">
        <v>0</v>
      </c>
      <c r="V284" s="566"/>
      <c r="W284" s="568">
        <v>3284.390664</v>
      </c>
      <c r="X284" s="564">
        <v>55616.639999999999</v>
      </c>
      <c r="Y284" s="203">
        <v>58901.030663999998</v>
      </c>
      <c r="Z284" s="203">
        <v>-11416.650664000001</v>
      </c>
      <c r="AA284" s="383">
        <f t="shared" si="4"/>
        <v>0</v>
      </c>
    </row>
    <row r="285" spans="3:27" ht="15">
      <c r="C285" s="431">
        <v>279</v>
      </c>
      <c r="D285" s="431">
        <v>201</v>
      </c>
      <c r="E285" s="443" t="s">
        <v>515</v>
      </c>
      <c r="F285" s="443" t="s">
        <v>987</v>
      </c>
      <c r="G285" s="203">
        <v>-270799.58294400014</v>
      </c>
      <c r="H285" s="457" t="s">
        <v>2509</v>
      </c>
      <c r="K285" s="431">
        <v>279</v>
      </c>
      <c r="L285" s="431">
        <v>201</v>
      </c>
      <c r="M285" s="431"/>
      <c r="N285" s="561" t="s">
        <v>515</v>
      </c>
      <c r="O285" s="565" t="s">
        <v>2242</v>
      </c>
      <c r="P285" s="563">
        <v>4295464.62</v>
      </c>
      <c r="Q285" s="203">
        <v>1861585.3</v>
      </c>
      <c r="R285" s="203">
        <v>2045731.0499999998</v>
      </c>
      <c r="S285" s="203">
        <v>234174.25999999998</v>
      </c>
      <c r="T285" s="203">
        <v>111142.13999999998</v>
      </c>
      <c r="U285" s="203">
        <v>302714.32</v>
      </c>
      <c r="V285" s="203">
        <v>-311784.48</v>
      </c>
      <c r="W285" s="529">
        <v>322701.61294399999</v>
      </c>
      <c r="X285" s="564">
        <v>4243562.59</v>
      </c>
      <c r="Y285" s="203">
        <v>4566264.2029440003</v>
      </c>
      <c r="Z285" s="203">
        <v>-270799.58294400014</v>
      </c>
      <c r="AA285" s="383">
        <f t="shared" si="4"/>
        <v>0</v>
      </c>
    </row>
    <row r="286" spans="3:27" ht="15">
      <c r="C286" s="431">
        <v>280</v>
      </c>
      <c r="D286" s="431">
        <v>321</v>
      </c>
      <c r="E286" s="443" t="s">
        <v>724</v>
      </c>
      <c r="F286" s="443" t="s">
        <v>1074</v>
      </c>
      <c r="G286" s="203">
        <v>-631325.0601320006</v>
      </c>
      <c r="H286" s="457" t="s">
        <v>2509</v>
      </c>
      <c r="K286" s="431">
        <v>280</v>
      </c>
      <c r="L286" s="431">
        <v>321</v>
      </c>
      <c r="M286" s="431"/>
      <c r="N286" s="561" t="s">
        <v>724</v>
      </c>
      <c r="O286" s="565" t="s">
        <v>2348</v>
      </c>
      <c r="P286" s="563">
        <v>5324692.4899999993</v>
      </c>
      <c r="Q286" s="203">
        <v>2218152.0699999998</v>
      </c>
      <c r="R286" s="203">
        <v>2598503.9500000002</v>
      </c>
      <c r="S286" s="203">
        <v>486209.41000000003</v>
      </c>
      <c r="T286" s="203">
        <v>14425.57</v>
      </c>
      <c r="U286" s="203">
        <v>42452.22</v>
      </c>
      <c r="V286" s="203">
        <v>0</v>
      </c>
      <c r="W286" s="529">
        <v>596274.33013200003</v>
      </c>
      <c r="X286" s="564">
        <v>5359743.22</v>
      </c>
      <c r="Y286" s="203">
        <v>5956017.5501319999</v>
      </c>
      <c r="Z286" s="203">
        <v>-631325.0601320006</v>
      </c>
      <c r="AA286" s="383">
        <f t="shared" si="4"/>
        <v>0</v>
      </c>
    </row>
    <row r="287" spans="3:27" ht="15">
      <c r="C287" s="431">
        <v>281</v>
      </c>
      <c r="D287" s="431">
        <v>133</v>
      </c>
      <c r="E287" s="445" t="s">
        <v>1178</v>
      </c>
      <c r="F287" s="446" t="s">
        <v>2493</v>
      </c>
      <c r="G287" s="203">
        <v>-86079.499064999996</v>
      </c>
      <c r="H287" s="457" t="s">
        <v>2509</v>
      </c>
      <c r="K287" s="431">
        <v>281</v>
      </c>
      <c r="L287" s="431">
        <v>133</v>
      </c>
      <c r="M287" s="431"/>
      <c r="N287" s="561" t="s">
        <v>1178</v>
      </c>
      <c r="O287" s="565" t="s">
        <v>2493</v>
      </c>
      <c r="P287" s="563"/>
      <c r="Q287" s="203">
        <v>0</v>
      </c>
      <c r="R287" s="203">
        <v>75409.11</v>
      </c>
      <c r="S287" s="203">
        <v>0</v>
      </c>
      <c r="T287" s="203">
        <v>0</v>
      </c>
      <c r="U287" s="203">
        <v>0</v>
      </c>
      <c r="V287" s="203">
        <v>0</v>
      </c>
      <c r="W287" s="529">
        <v>10670.389064999999</v>
      </c>
      <c r="X287" s="564">
        <v>75409.11</v>
      </c>
      <c r="Y287" s="203">
        <v>86079.499064999996</v>
      </c>
      <c r="Z287" s="203">
        <v>-86079.499064999996</v>
      </c>
      <c r="AA287" s="383">
        <f t="shared" si="4"/>
        <v>0</v>
      </c>
    </row>
    <row r="288" spans="3:27" ht="15">
      <c r="C288" s="431">
        <v>282</v>
      </c>
      <c r="D288" s="431">
        <v>198</v>
      </c>
      <c r="E288" s="443" t="s">
        <v>509</v>
      </c>
      <c r="F288" s="443" t="s">
        <v>984</v>
      </c>
      <c r="G288" s="203">
        <v>-4584046.9748560041</v>
      </c>
      <c r="H288" s="457" t="s">
        <v>2509</v>
      </c>
      <c r="K288" s="431">
        <v>282</v>
      </c>
      <c r="L288" s="431">
        <v>198</v>
      </c>
      <c r="M288" s="431"/>
      <c r="N288" s="561" t="s">
        <v>509</v>
      </c>
      <c r="O288" s="582" t="s">
        <v>2239</v>
      </c>
      <c r="P288" s="563">
        <v>18616716.18</v>
      </c>
      <c r="Q288" s="203">
        <v>9800977.4199999999</v>
      </c>
      <c r="R288" s="203">
        <v>11011676.460000001</v>
      </c>
      <c r="S288" s="203">
        <v>362852.3</v>
      </c>
      <c r="T288" s="203">
        <v>473186.23000000004</v>
      </c>
      <c r="U288" s="203">
        <v>205328.75</v>
      </c>
      <c r="V288" s="203">
        <v>-7750</v>
      </c>
      <c r="W288" s="529">
        <v>1354491.9948560002</v>
      </c>
      <c r="X288" s="564">
        <v>21846271.160000004</v>
      </c>
      <c r="Y288" s="203">
        <v>23200763.154856004</v>
      </c>
      <c r="Z288" s="203">
        <v>-4584046.9748560041</v>
      </c>
      <c r="AA288" s="383">
        <f t="shared" si="4"/>
        <v>0</v>
      </c>
    </row>
    <row r="289" spans="3:27" ht="15">
      <c r="C289" s="431">
        <v>283</v>
      </c>
      <c r="D289" s="431">
        <v>82</v>
      </c>
      <c r="E289" s="443" t="s">
        <v>309</v>
      </c>
      <c r="F289" s="443" t="s">
        <v>892</v>
      </c>
      <c r="G289" s="203">
        <v>-259429.24068299998</v>
      </c>
      <c r="H289" s="457" t="s">
        <v>2509</v>
      </c>
      <c r="K289" s="431">
        <v>283</v>
      </c>
      <c r="L289" s="431">
        <v>82</v>
      </c>
      <c r="M289" s="431"/>
      <c r="N289" s="561" t="s">
        <v>309</v>
      </c>
      <c r="O289" s="582" t="s">
        <v>2139</v>
      </c>
      <c r="P289" s="563">
        <v>135582.34</v>
      </c>
      <c r="Q289" s="203">
        <v>113853.37</v>
      </c>
      <c r="R289" s="203">
        <v>171363.15999999997</v>
      </c>
      <c r="S289" s="203">
        <v>946.83</v>
      </c>
      <c r="T289" s="203">
        <v>0</v>
      </c>
      <c r="U289" s="203">
        <v>0</v>
      </c>
      <c r="V289" s="203">
        <v>0</v>
      </c>
      <c r="W289" s="529">
        <v>108848.22068299998</v>
      </c>
      <c r="X289" s="564">
        <v>286163.36</v>
      </c>
      <c r="Y289" s="203">
        <v>395011.58068299998</v>
      </c>
      <c r="Z289" s="203">
        <v>-259429.24068299998</v>
      </c>
      <c r="AA289" s="383">
        <f t="shared" si="4"/>
        <v>0</v>
      </c>
    </row>
    <row r="290" spans="3:27" ht="15">
      <c r="C290" s="431">
        <v>284</v>
      </c>
      <c r="D290" s="431">
        <v>109</v>
      </c>
      <c r="E290" s="443" t="s">
        <v>361</v>
      </c>
      <c r="F290" s="443" t="s">
        <v>918</v>
      </c>
      <c r="G290" s="203">
        <v>-378838.68312100088</v>
      </c>
      <c r="H290" s="457" t="s">
        <v>2509</v>
      </c>
      <c r="K290" s="431">
        <v>284</v>
      </c>
      <c r="L290" s="431">
        <v>109</v>
      </c>
      <c r="M290" s="431"/>
      <c r="N290" s="561" t="s">
        <v>361</v>
      </c>
      <c r="O290" s="565" t="s">
        <v>2166</v>
      </c>
      <c r="P290" s="563">
        <v>2353766.36</v>
      </c>
      <c r="Q290" s="203">
        <v>807651.99</v>
      </c>
      <c r="R290" s="203">
        <v>1581167.2500000002</v>
      </c>
      <c r="S290" s="203">
        <v>88807.43</v>
      </c>
      <c r="T290" s="203">
        <v>18136.390000000003</v>
      </c>
      <c r="U290" s="203">
        <v>0</v>
      </c>
      <c r="V290" s="203">
        <v>0</v>
      </c>
      <c r="W290" s="529">
        <v>236841.98312100003</v>
      </c>
      <c r="X290" s="564">
        <v>2495763.0600000005</v>
      </c>
      <c r="Y290" s="203">
        <v>2732605.0431210008</v>
      </c>
      <c r="Z290" s="203">
        <v>-378838.68312100088</v>
      </c>
      <c r="AA290" s="383">
        <f t="shared" si="4"/>
        <v>0</v>
      </c>
    </row>
    <row r="291" spans="3:27" ht="15">
      <c r="C291" s="431">
        <v>285</v>
      </c>
      <c r="D291" s="431">
        <v>303</v>
      </c>
      <c r="E291" s="443" t="s">
        <v>689</v>
      </c>
      <c r="F291" s="443" t="s">
        <v>1060</v>
      </c>
      <c r="G291" s="203">
        <v>-15490.49933999998</v>
      </c>
      <c r="H291" s="457" t="s">
        <v>2509</v>
      </c>
      <c r="K291" s="431">
        <v>285</v>
      </c>
      <c r="L291" s="431">
        <v>303</v>
      </c>
      <c r="M291" s="431"/>
      <c r="N291" s="561" t="s">
        <v>689</v>
      </c>
      <c r="O291" s="565" t="s">
        <v>2332</v>
      </c>
      <c r="P291" s="563">
        <v>175642.6</v>
      </c>
      <c r="Q291" s="203">
        <v>93254.58</v>
      </c>
      <c r="R291" s="203">
        <v>67695.790000000008</v>
      </c>
      <c r="S291" s="203">
        <v>6163.02</v>
      </c>
      <c r="T291" s="203">
        <v>6766</v>
      </c>
      <c r="U291" s="203">
        <v>0</v>
      </c>
      <c r="V291" s="203">
        <v>0</v>
      </c>
      <c r="W291" s="529">
        <v>17253.709340000001</v>
      </c>
      <c r="X291" s="564">
        <v>173879.38999999998</v>
      </c>
      <c r="Y291" s="203">
        <v>191133.09933999999</v>
      </c>
      <c r="Z291" s="203">
        <v>-15490.49933999998</v>
      </c>
      <c r="AA291" s="383">
        <f t="shared" si="4"/>
        <v>0</v>
      </c>
    </row>
    <row r="292" spans="3:27" ht="15">
      <c r="C292" s="431">
        <v>286</v>
      </c>
      <c r="D292" s="431">
        <v>281</v>
      </c>
      <c r="E292" s="443" t="s">
        <v>654</v>
      </c>
      <c r="F292" s="443" t="s">
        <v>1044</v>
      </c>
      <c r="G292" s="203">
        <v>-301396.96591000003</v>
      </c>
      <c r="H292" s="457" t="s">
        <v>2509</v>
      </c>
      <c r="K292" s="431">
        <v>286</v>
      </c>
      <c r="L292" s="431">
        <v>281</v>
      </c>
      <c r="M292" s="431"/>
      <c r="N292" s="561" t="s">
        <v>654</v>
      </c>
      <c r="O292" s="565" t="s">
        <v>2314</v>
      </c>
      <c r="P292" s="563">
        <v>749598.71999999997</v>
      </c>
      <c r="Q292" s="203">
        <v>435002.44</v>
      </c>
      <c r="R292" s="203">
        <v>492954.32</v>
      </c>
      <c r="S292" s="203">
        <v>8380.5300000000007</v>
      </c>
      <c r="T292" s="203">
        <v>7960.93</v>
      </c>
      <c r="U292" s="203">
        <v>0</v>
      </c>
      <c r="V292" s="203">
        <v>0</v>
      </c>
      <c r="W292" s="529">
        <v>106697.46591</v>
      </c>
      <c r="X292" s="564">
        <v>944298.22000000009</v>
      </c>
      <c r="Y292" s="203">
        <v>1050995.68591</v>
      </c>
      <c r="Z292" s="203">
        <v>-301396.96591000003</v>
      </c>
      <c r="AA292" s="383">
        <f t="shared" si="4"/>
        <v>0</v>
      </c>
    </row>
    <row r="293" spans="3:27" ht="15">
      <c r="C293" s="431">
        <v>287</v>
      </c>
      <c r="D293" s="431">
        <v>136</v>
      </c>
      <c r="E293" s="443" t="s">
        <v>388</v>
      </c>
      <c r="F293" s="443" t="s">
        <v>930</v>
      </c>
      <c r="G293" s="203">
        <v>-188125.33134799998</v>
      </c>
      <c r="H293" s="457" t="s">
        <v>2509</v>
      </c>
      <c r="K293" s="431">
        <v>287</v>
      </c>
      <c r="L293" s="431">
        <v>136</v>
      </c>
      <c r="M293" s="431"/>
      <c r="N293" s="561" t="s">
        <v>388</v>
      </c>
      <c r="O293" s="565" t="s">
        <v>2183</v>
      </c>
      <c r="P293" s="563">
        <v>151835.31</v>
      </c>
      <c r="Q293" s="203">
        <v>86201.06</v>
      </c>
      <c r="R293" s="203">
        <v>190780.24</v>
      </c>
      <c r="S293" s="203">
        <v>2160.92</v>
      </c>
      <c r="T293" s="203">
        <v>1480.83</v>
      </c>
      <c r="U293" s="203">
        <v>0</v>
      </c>
      <c r="V293" s="203">
        <v>0</v>
      </c>
      <c r="W293" s="529">
        <v>59337.591348000002</v>
      </c>
      <c r="X293" s="564">
        <v>280623.05</v>
      </c>
      <c r="Y293" s="203">
        <v>339960.64134799998</v>
      </c>
      <c r="Z293" s="203">
        <v>-188125.33134799998</v>
      </c>
      <c r="AA293" s="383">
        <f t="shared" si="4"/>
        <v>0</v>
      </c>
    </row>
    <row r="294" spans="3:27" ht="15">
      <c r="C294" s="431">
        <v>288</v>
      </c>
      <c r="D294" s="431">
        <v>157</v>
      </c>
      <c r="E294" s="443" t="s">
        <v>430</v>
      </c>
      <c r="F294" s="443" t="s">
        <v>945</v>
      </c>
      <c r="G294" s="203">
        <v>17277.808972000086</v>
      </c>
      <c r="H294" s="457" t="s">
        <v>2509</v>
      </c>
      <c r="K294" s="431">
        <v>288</v>
      </c>
      <c r="L294" s="431">
        <v>157</v>
      </c>
      <c r="M294" s="431" t="s">
        <v>2596</v>
      </c>
      <c r="N294" s="561" t="s">
        <v>430</v>
      </c>
      <c r="O294" s="565" t="s">
        <v>2199</v>
      </c>
      <c r="P294" s="563">
        <v>525415.84</v>
      </c>
      <c r="Q294" s="566">
        <v>239777.06999999998</v>
      </c>
      <c r="R294" s="570">
        <v>35568</v>
      </c>
      <c r="S294" s="566">
        <v>28150</v>
      </c>
      <c r="T294" s="570">
        <v>158932.75999999995</v>
      </c>
      <c r="U294" s="566">
        <v>0</v>
      </c>
      <c r="V294" s="566"/>
      <c r="W294" s="568">
        <v>45710.201027999996</v>
      </c>
      <c r="X294" s="564">
        <v>462427.8299999999</v>
      </c>
      <c r="Y294" s="203">
        <v>508138.03102799988</v>
      </c>
      <c r="Z294" s="203">
        <v>17277.808972000086</v>
      </c>
      <c r="AA294" s="383">
        <f t="shared" si="4"/>
        <v>0</v>
      </c>
    </row>
    <row r="295" spans="3:27" ht="15">
      <c r="C295" s="431">
        <v>289</v>
      </c>
      <c r="D295" s="431">
        <v>184</v>
      </c>
      <c r="E295" s="443" t="s">
        <v>484</v>
      </c>
      <c r="F295" s="443" t="s">
        <v>971</v>
      </c>
      <c r="G295" s="203">
        <v>-89977.460010000039</v>
      </c>
      <c r="H295" s="457" t="s">
        <v>2509</v>
      </c>
      <c r="K295" s="431">
        <v>289</v>
      </c>
      <c r="L295" s="431">
        <v>184</v>
      </c>
      <c r="M295" s="431" t="s">
        <v>2596</v>
      </c>
      <c r="N295" s="561" t="s">
        <v>484</v>
      </c>
      <c r="O295" s="565" t="s">
        <v>2603</v>
      </c>
      <c r="P295" s="563">
        <v>698750.14999999991</v>
      </c>
      <c r="Q295" s="566">
        <v>304628.71000000002</v>
      </c>
      <c r="R295" s="566">
        <v>362098.02</v>
      </c>
      <c r="S295" s="566">
        <v>30076.95</v>
      </c>
      <c r="T295" s="566">
        <v>9854.1400000000031</v>
      </c>
      <c r="U295" s="566">
        <v>5282.23</v>
      </c>
      <c r="V295" s="566"/>
      <c r="W295" s="568">
        <v>76787.560010000016</v>
      </c>
      <c r="X295" s="564">
        <v>711940.04999999993</v>
      </c>
      <c r="Y295" s="203">
        <v>788727.61000999995</v>
      </c>
      <c r="Z295" s="203">
        <v>-89977.460010000039</v>
      </c>
      <c r="AA295" s="383">
        <f t="shared" si="4"/>
        <v>0</v>
      </c>
    </row>
    <row r="296" spans="3:27" ht="15">
      <c r="C296" s="431">
        <v>290</v>
      </c>
      <c r="D296" s="431">
        <v>322</v>
      </c>
      <c r="E296" s="443" t="s">
        <v>726</v>
      </c>
      <c r="F296" s="443" t="s">
        <v>1075</v>
      </c>
      <c r="G296" s="203">
        <v>-356239.78215999994</v>
      </c>
      <c r="H296" s="457" t="s">
        <v>2509</v>
      </c>
      <c r="K296" s="431">
        <v>290</v>
      </c>
      <c r="L296" s="431">
        <v>322</v>
      </c>
      <c r="M296" s="431"/>
      <c r="N296" s="561" t="s">
        <v>726</v>
      </c>
      <c r="O296" s="565" t="s">
        <v>2349</v>
      </c>
      <c r="P296" s="563">
        <v>3024362.6500000004</v>
      </c>
      <c r="Q296" s="203">
        <v>1247459.33</v>
      </c>
      <c r="R296" s="203">
        <v>1705559.8900000001</v>
      </c>
      <c r="S296" s="203">
        <v>63792.939999999995</v>
      </c>
      <c r="T296" s="203">
        <v>15416.599999999999</v>
      </c>
      <c r="U296" s="203">
        <v>0</v>
      </c>
      <c r="V296" s="203">
        <v>-13055.89</v>
      </c>
      <c r="W296" s="529">
        <v>361429.56216000003</v>
      </c>
      <c r="X296" s="564">
        <v>3019172.87</v>
      </c>
      <c r="Y296" s="203">
        <v>3380602.4321600003</v>
      </c>
      <c r="Z296" s="203">
        <v>-356239.78215999994</v>
      </c>
      <c r="AA296" s="383">
        <f t="shared" si="4"/>
        <v>0</v>
      </c>
    </row>
    <row r="297" spans="3:27" ht="15">
      <c r="C297" s="431">
        <v>291</v>
      </c>
      <c r="D297" s="431">
        <v>288</v>
      </c>
      <c r="E297" s="443" t="s">
        <v>664</v>
      </c>
      <c r="F297" s="443" t="s">
        <v>1049</v>
      </c>
      <c r="G297" s="203">
        <v>-133452.24344700002</v>
      </c>
      <c r="H297" s="457" t="s">
        <v>2509</v>
      </c>
      <c r="K297" s="431">
        <v>291</v>
      </c>
      <c r="L297" s="431">
        <v>288</v>
      </c>
      <c r="M297" s="431"/>
      <c r="N297" s="561" t="s">
        <v>664</v>
      </c>
      <c r="O297" s="565" t="s">
        <v>2320</v>
      </c>
      <c r="P297" s="563">
        <v>185239.58</v>
      </c>
      <c r="Q297" s="203">
        <v>134122.01999999999</v>
      </c>
      <c r="R297" s="203">
        <v>117623</v>
      </c>
      <c r="S297" s="203">
        <v>13732.47</v>
      </c>
      <c r="T297" s="203">
        <v>1648.64</v>
      </c>
      <c r="U297" s="203">
        <v>0</v>
      </c>
      <c r="V297" s="203">
        <v>0</v>
      </c>
      <c r="W297" s="529">
        <v>51565.693447000005</v>
      </c>
      <c r="X297" s="564">
        <v>267126.13</v>
      </c>
      <c r="Y297" s="203">
        <v>318691.823447</v>
      </c>
      <c r="Z297" s="203">
        <v>-133452.24344700002</v>
      </c>
      <c r="AA297" s="383">
        <f t="shared" si="4"/>
        <v>0</v>
      </c>
    </row>
    <row r="298" spans="3:27" ht="15">
      <c r="C298" s="431">
        <v>292</v>
      </c>
      <c r="D298" s="431">
        <v>44</v>
      </c>
      <c r="E298" s="443" t="s">
        <v>235</v>
      </c>
      <c r="F298" s="443" t="s">
        <v>858</v>
      </c>
      <c r="G298" s="203">
        <v>-128237.93544099998</v>
      </c>
      <c r="H298" s="457" t="s">
        <v>2509</v>
      </c>
      <c r="K298" s="431">
        <v>292</v>
      </c>
      <c r="L298" s="431">
        <v>44</v>
      </c>
      <c r="M298" s="431"/>
      <c r="N298" s="561" t="s">
        <v>235</v>
      </c>
      <c r="O298" s="572" t="s">
        <v>2372</v>
      </c>
      <c r="P298" s="563">
        <v>455730.46</v>
      </c>
      <c r="Q298" s="203">
        <v>303615.2</v>
      </c>
      <c r="R298" s="203">
        <v>217184.45</v>
      </c>
      <c r="S298" s="203">
        <v>19428.14</v>
      </c>
      <c r="T298" s="203">
        <v>995</v>
      </c>
      <c r="U298" s="203">
        <v>0</v>
      </c>
      <c r="V298" s="203">
        <v>0</v>
      </c>
      <c r="W298" s="529">
        <v>42745.605441000007</v>
      </c>
      <c r="X298" s="564">
        <v>541222.79</v>
      </c>
      <c r="Y298" s="203">
        <v>583968.395441</v>
      </c>
      <c r="Z298" s="203">
        <v>-128237.93544099998</v>
      </c>
      <c r="AA298" s="383">
        <f t="shared" si="4"/>
        <v>0</v>
      </c>
    </row>
    <row r="299" spans="3:27" ht="15">
      <c r="C299" s="431">
        <v>293</v>
      </c>
      <c r="D299" s="431">
        <v>143</v>
      </c>
      <c r="E299" s="445" t="s">
        <v>402</v>
      </c>
      <c r="F299" s="454" t="s">
        <v>2377</v>
      </c>
      <c r="G299" s="203">
        <v>-105789.84381600001</v>
      </c>
      <c r="H299" s="457" t="s">
        <v>2509</v>
      </c>
      <c r="K299" s="431">
        <v>293</v>
      </c>
      <c r="L299" s="431">
        <v>143</v>
      </c>
      <c r="M299" s="431"/>
      <c r="N299" s="561" t="s">
        <v>402</v>
      </c>
      <c r="O299" s="584" t="s">
        <v>2377</v>
      </c>
      <c r="P299" s="563"/>
      <c r="Q299" s="203">
        <v>44087.88</v>
      </c>
      <c r="R299" s="203">
        <v>51914.5</v>
      </c>
      <c r="S299" s="203">
        <v>2105.7800000000002</v>
      </c>
      <c r="T299" s="203">
        <v>0</v>
      </c>
      <c r="U299" s="203">
        <v>0</v>
      </c>
      <c r="V299" s="203">
        <v>0</v>
      </c>
      <c r="W299" s="529">
        <v>7681.6838159999998</v>
      </c>
      <c r="X299" s="564">
        <v>98108.160000000003</v>
      </c>
      <c r="Y299" s="203">
        <v>105789.84381600001</v>
      </c>
      <c r="Z299" s="203">
        <v>-105789.84381600001</v>
      </c>
      <c r="AA299" s="383">
        <f t="shared" si="4"/>
        <v>0</v>
      </c>
    </row>
    <row r="300" spans="3:27" ht="15">
      <c r="C300" s="431">
        <v>294</v>
      </c>
      <c r="D300" s="431">
        <v>106</v>
      </c>
      <c r="E300" s="443" t="s">
        <v>356</v>
      </c>
      <c r="F300" s="443" t="s">
        <v>915</v>
      </c>
      <c r="G300" s="203">
        <v>-76031.021571999881</v>
      </c>
      <c r="H300" s="457" t="s">
        <v>2509</v>
      </c>
      <c r="K300" s="431">
        <v>294</v>
      </c>
      <c r="L300" s="431">
        <v>106</v>
      </c>
      <c r="M300" s="431" t="s">
        <v>2596</v>
      </c>
      <c r="N300" s="561" t="s">
        <v>356</v>
      </c>
      <c r="O300" s="565" t="s">
        <v>2163</v>
      </c>
      <c r="P300" s="563">
        <v>2410019.7799999998</v>
      </c>
      <c r="Q300" s="570">
        <v>374471.80000000005</v>
      </c>
      <c r="R300" s="570">
        <v>980116.94</v>
      </c>
      <c r="S300" s="566">
        <v>14025.690000000002</v>
      </c>
      <c r="T300" s="570">
        <v>937963.72</v>
      </c>
      <c r="U300" s="566">
        <v>0</v>
      </c>
      <c r="V300" s="567">
        <v>-136851.29</v>
      </c>
      <c r="W300" s="568">
        <v>316323.94157199998</v>
      </c>
      <c r="X300" s="564">
        <v>2169726.86</v>
      </c>
      <c r="Y300" s="203">
        <v>2486050.8015719997</v>
      </c>
      <c r="Z300" s="203">
        <v>-76031.021571999881</v>
      </c>
      <c r="AA300" s="383">
        <f t="shared" si="4"/>
        <v>0</v>
      </c>
    </row>
    <row r="301" spans="3:27" ht="15">
      <c r="C301" s="431">
        <v>295</v>
      </c>
      <c r="D301" s="431">
        <v>276</v>
      </c>
      <c r="E301" s="443" t="s">
        <v>644</v>
      </c>
      <c r="F301" s="443" t="s">
        <v>1039</v>
      </c>
      <c r="G301" s="203">
        <v>-652047.93568000011</v>
      </c>
      <c r="H301" s="457" t="s">
        <v>2509</v>
      </c>
      <c r="K301" s="431">
        <v>295</v>
      </c>
      <c r="L301" s="431">
        <v>276</v>
      </c>
      <c r="M301" s="431"/>
      <c r="N301" s="561" t="s">
        <v>644</v>
      </c>
      <c r="O301" s="565" t="s">
        <v>2309</v>
      </c>
      <c r="P301" s="563">
        <v>2540234.31</v>
      </c>
      <c r="Q301" s="203">
        <v>1069124.6100000001</v>
      </c>
      <c r="R301" s="203">
        <v>1727583.3399999999</v>
      </c>
      <c r="S301" s="203">
        <v>84114.98000000001</v>
      </c>
      <c r="T301" s="203">
        <v>20189.199999999997</v>
      </c>
      <c r="U301" s="203">
        <v>0</v>
      </c>
      <c r="V301" s="203">
        <v>0</v>
      </c>
      <c r="W301" s="529">
        <v>291270.11567999999</v>
      </c>
      <c r="X301" s="564">
        <v>2901012.1300000004</v>
      </c>
      <c r="Y301" s="203">
        <v>3192282.2456800002</v>
      </c>
      <c r="Z301" s="203">
        <v>-652047.93568000011</v>
      </c>
      <c r="AA301" s="383">
        <f t="shared" si="4"/>
        <v>0</v>
      </c>
    </row>
    <row r="302" spans="3:27" ht="15">
      <c r="C302" s="431">
        <v>296</v>
      </c>
      <c r="D302" s="431">
        <v>314</v>
      </c>
      <c r="E302" s="443" t="s">
        <v>711</v>
      </c>
      <c r="F302" s="443" t="s">
        <v>1068</v>
      </c>
      <c r="G302" s="203">
        <v>-76666.52463</v>
      </c>
      <c r="H302" s="457" t="s">
        <v>2509</v>
      </c>
      <c r="K302" s="431">
        <v>296</v>
      </c>
      <c r="L302" s="431">
        <v>314</v>
      </c>
      <c r="M302" s="431" t="s">
        <v>2596</v>
      </c>
      <c r="N302" s="561" t="s">
        <v>711</v>
      </c>
      <c r="O302" s="565" t="s">
        <v>2341</v>
      </c>
      <c r="P302" s="563">
        <v>646428.99</v>
      </c>
      <c r="Q302" s="570">
        <v>50458.81</v>
      </c>
      <c r="R302" s="566">
        <v>315313.90000000002</v>
      </c>
      <c r="S302" s="570">
        <v>200910.44</v>
      </c>
      <c r="T302" s="566">
        <v>13591.809999999998</v>
      </c>
      <c r="U302" s="566">
        <v>17677.98</v>
      </c>
      <c r="V302" s="566"/>
      <c r="W302" s="568">
        <v>125142.57463</v>
      </c>
      <c r="X302" s="564">
        <v>597952.93999999994</v>
      </c>
      <c r="Y302" s="203">
        <v>723095.51462999999</v>
      </c>
      <c r="Z302" s="203">
        <v>-76666.52463</v>
      </c>
      <c r="AA302" s="383">
        <f t="shared" si="4"/>
        <v>0</v>
      </c>
    </row>
    <row r="303" spans="3:27" ht="15">
      <c r="C303" s="431">
        <v>297</v>
      </c>
      <c r="D303" s="431">
        <v>200</v>
      </c>
      <c r="E303" s="443" t="s">
        <v>513</v>
      </c>
      <c r="F303" s="443" t="s">
        <v>986</v>
      </c>
      <c r="G303" s="203">
        <v>-718593.44943400053</v>
      </c>
      <c r="H303" s="457" t="s">
        <v>2509</v>
      </c>
      <c r="K303" s="431">
        <v>297</v>
      </c>
      <c r="L303" s="431">
        <v>200</v>
      </c>
      <c r="M303" s="431"/>
      <c r="N303" s="561" t="s">
        <v>513</v>
      </c>
      <c r="O303" s="565" t="s">
        <v>2241</v>
      </c>
      <c r="P303" s="563">
        <v>2686061.28</v>
      </c>
      <c r="Q303" s="203">
        <v>1142888.9099999999</v>
      </c>
      <c r="R303" s="203">
        <v>1738235.8399999999</v>
      </c>
      <c r="S303" s="203">
        <v>132923.14000000001</v>
      </c>
      <c r="T303" s="203">
        <v>98489.24</v>
      </c>
      <c r="U303" s="203">
        <v>62596.28</v>
      </c>
      <c r="V303" s="203">
        <v>-60978.25</v>
      </c>
      <c r="W303" s="529">
        <v>290499.569434</v>
      </c>
      <c r="X303" s="564">
        <v>3114155.16</v>
      </c>
      <c r="Y303" s="203">
        <v>3404654.7294340003</v>
      </c>
      <c r="Z303" s="203">
        <v>-718593.44943400053</v>
      </c>
      <c r="AA303" s="383">
        <f t="shared" si="4"/>
        <v>0</v>
      </c>
    </row>
    <row r="304" spans="3:27" ht="15">
      <c r="C304" s="431">
        <v>298</v>
      </c>
      <c r="D304" s="431">
        <v>265</v>
      </c>
      <c r="E304" s="443" t="s">
        <v>624</v>
      </c>
      <c r="F304" s="443" t="s">
        <v>1030</v>
      </c>
      <c r="G304" s="203">
        <v>-233121.17422500002</v>
      </c>
      <c r="H304" s="457" t="s">
        <v>2509</v>
      </c>
      <c r="K304" s="431">
        <v>298</v>
      </c>
      <c r="L304" s="431">
        <v>265</v>
      </c>
      <c r="M304" s="431"/>
      <c r="N304" s="561" t="s">
        <v>624</v>
      </c>
      <c r="O304" s="565" t="s">
        <v>2298</v>
      </c>
      <c r="P304" s="563">
        <v>280142.8</v>
      </c>
      <c r="Q304" s="203">
        <v>163575.88</v>
      </c>
      <c r="R304" s="203">
        <v>261836.31</v>
      </c>
      <c r="S304" s="203">
        <v>17689.36</v>
      </c>
      <c r="T304" s="203">
        <v>12489.44</v>
      </c>
      <c r="U304" s="203">
        <v>0</v>
      </c>
      <c r="V304" s="203">
        <v>0</v>
      </c>
      <c r="W304" s="529">
        <v>57672.984225</v>
      </c>
      <c r="X304" s="564">
        <v>455590.99</v>
      </c>
      <c r="Y304" s="203">
        <v>513263.97422500001</v>
      </c>
      <c r="Z304" s="203">
        <v>-233121.17422500002</v>
      </c>
      <c r="AA304" s="383">
        <f t="shared" si="4"/>
        <v>0</v>
      </c>
    </row>
    <row r="305" spans="3:27" ht="15">
      <c r="C305" s="431">
        <v>299</v>
      </c>
      <c r="D305" s="431">
        <v>29</v>
      </c>
      <c r="E305" s="443" t="s">
        <v>213</v>
      </c>
      <c r="F305" s="449" t="s">
        <v>849</v>
      </c>
      <c r="G305" s="203">
        <v>593707.795948999</v>
      </c>
      <c r="H305" s="457" t="s">
        <v>2509</v>
      </c>
      <c r="K305" s="431">
        <v>299</v>
      </c>
      <c r="L305" s="431">
        <v>29</v>
      </c>
      <c r="M305" s="431"/>
      <c r="N305" s="561" t="s">
        <v>213</v>
      </c>
      <c r="O305" s="565" t="s">
        <v>2092</v>
      </c>
      <c r="P305" s="563">
        <v>12782600.290000001</v>
      </c>
      <c r="Q305" s="203">
        <v>4664683.29</v>
      </c>
      <c r="R305" s="203">
        <v>5777932.9000000004</v>
      </c>
      <c r="S305" s="203">
        <v>300684.13</v>
      </c>
      <c r="T305" s="203">
        <v>206737.59999999998</v>
      </c>
      <c r="U305" s="203">
        <v>59093.51</v>
      </c>
      <c r="V305" s="203">
        <v>0</v>
      </c>
      <c r="W305" s="529">
        <v>1179761.0640509999</v>
      </c>
      <c r="X305" s="564">
        <v>11009131.430000002</v>
      </c>
      <c r="Y305" s="203">
        <v>12188892.494051002</v>
      </c>
      <c r="Z305" s="203">
        <v>593707.795948999</v>
      </c>
      <c r="AA305" s="383">
        <f t="shared" si="4"/>
        <v>0</v>
      </c>
    </row>
    <row r="306" spans="3:27" ht="15">
      <c r="C306" s="431">
        <v>300</v>
      </c>
      <c r="D306" s="431">
        <v>102</v>
      </c>
      <c r="E306" s="443" t="s">
        <v>348</v>
      </c>
      <c r="F306" s="443" t="s">
        <v>911</v>
      </c>
      <c r="G306" s="203">
        <v>-226601.84051700018</v>
      </c>
      <c r="H306" s="457" t="s">
        <v>2509</v>
      </c>
      <c r="K306" s="431">
        <v>300</v>
      </c>
      <c r="L306" s="431">
        <v>102</v>
      </c>
      <c r="M306" s="431"/>
      <c r="N306" s="561" t="s">
        <v>348</v>
      </c>
      <c r="O306" s="565" t="s">
        <v>2159</v>
      </c>
      <c r="P306" s="563">
        <v>869833.27999999991</v>
      </c>
      <c r="Q306" s="203">
        <v>302812.96000000002</v>
      </c>
      <c r="R306" s="203">
        <v>634763.87</v>
      </c>
      <c r="S306" s="203">
        <v>22845.170000000002</v>
      </c>
      <c r="T306" s="203">
        <v>14552.970000000001</v>
      </c>
      <c r="U306" s="203">
        <v>0</v>
      </c>
      <c r="V306" s="203">
        <v>-6204</v>
      </c>
      <c r="W306" s="529">
        <v>127664.150517</v>
      </c>
      <c r="X306" s="564">
        <v>968770.97000000009</v>
      </c>
      <c r="Y306" s="203">
        <v>1096435.1205170001</v>
      </c>
      <c r="Z306" s="203">
        <v>-226601.84051700018</v>
      </c>
      <c r="AA306" s="383">
        <f t="shared" si="4"/>
        <v>0</v>
      </c>
    </row>
    <row r="307" spans="3:27" ht="15">
      <c r="C307" s="431">
        <v>301</v>
      </c>
      <c r="D307" s="431">
        <v>283</v>
      </c>
      <c r="E307" s="443" t="s">
        <v>1547</v>
      </c>
      <c r="F307" s="443" t="s">
        <v>2506</v>
      </c>
      <c r="G307" s="203">
        <v>0</v>
      </c>
      <c r="H307" s="457" t="s">
        <v>2509</v>
      </c>
      <c r="K307" s="431">
        <v>301</v>
      </c>
      <c r="L307" s="431">
        <v>283</v>
      </c>
      <c r="M307" s="431"/>
      <c r="N307" s="561" t="s">
        <v>1547</v>
      </c>
      <c r="O307" s="587" t="s">
        <v>2611</v>
      </c>
      <c r="P307" s="563"/>
      <c r="Q307" s="203">
        <v>0</v>
      </c>
      <c r="R307" s="203">
        <v>0</v>
      </c>
      <c r="S307" s="203">
        <v>0</v>
      </c>
      <c r="T307" s="203">
        <v>0</v>
      </c>
      <c r="U307" s="203">
        <v>0</v>
      </c>
      <c r="V307" s="203">
        <v>0</v>
      </c>
      <c r="W307" s="529">
        <v>0</v>
      </c>
      <c r="X307" s="564">
        <v>0</v>
      </c>
      <c r="Y307" s="203">
        <v>0</v>
      </c>
      <c r="Z307" s="203">
        <v>0</v>
      </c>
      <c r="AA307" s="383">
        <f t="shared" si="4"/>
        <v>0</v>
      </c>
    </row>
    <row r="308" spans="3:27" ht="15">
      <c r="C308" s="431">
        <v>302</v>
      </c>
      <c r="D308" s="431">
        <v>284</v>
      </c>
      <c r="E308" s="443" t="s">
        <v>656</v>
      </c>
      <c r="F308" s="443" t="s">
        <v>1045</v>
      </c>
      <c r="G308" s="203">
        <v>-107898.40119000006</v>
      </c>
      <c r="H308" s="457" t="s">
        <v>2509</v>
      </c>
      <c r="K308" s="431">
        <v>302</v>
      </c>
      <c r="L308" s="431">
        <v>284</v>
      </c>
      <c r="M308" s="431"/>
      <c r="N308" s="561" t="s">
        <v>656</v>
      </c>
      <c r="O308" s="565" t="s">
        <v>2316</v>
      </c>
      <c r="P308" s="563">
        <v>276819.24</v>
      </c>
      <c r="Q308" s="203">
        <v>130698.12</v>
      </c>
      <c r="R308" s="203">
        <v>196577.29</v>
      </c>
      <c r="S308" s="203">
        <v>8191.26</v>
      </c>
      <c r="T308" s="203">
        <v>450</v>
      </c>
      <c r="U308" s="203">
        <v>0</v>
      </c>
      <c r="V308" s="203">
        <v>0</v>
      </c>
      <c r="W308" s="529">
        <v>48800.971190000004</v>
      </c>
      <c r="X308" s="564">
        <v>335916.67000000004</v>
      </c>
      <c r="Y308" s="203">
        <v>384717.64119000005</v>
      </c>
      <c r="Z308" s="203">
        <v>-107898.40119000006</v>
      </c>
      <c r="AA308" s="383">
        <f t="shared" si="4"/>
        <v>0</v>
      </c>
    </row>
    <row r="309" spans="3:27" ht="15">
      <c r="C309" s="431">
        <v>303</v>
      </c>
      <c r="D309" s="431">
        <v>66</v>
      </c>
      <c r="E309" s="443" t="s">
        <v>277</v>
      </c>
      <c r="F309" s="443" t="s">
        <v>878</v>
      </c>
      <c r="G309" s="203">
        <v>115968.70800600015</v>
      </c>
      <c r="H309" s="457" t="s">
        <v>2509</v>
      </c>
      <c r="K309" s="431">
        <v>303</v>
      </c>
      <c r="L309" s="431">
        <v>66</v>
      </c>
      <c r="M309" s="431" t="s">
        <v>2596</v>
      </c>
      <c r="N309" s="573" t="s">
        <v>277</v>
      </c>
      <c r="O309" s="574" t="s">
        <v>2123</v>
      </c>
      <c r="P309" s="575">
        <v>2298659.5200000005</v>
      </c>
      <c r="Q309" s="576">
        <v>777620.13</v>
      </c>
      <c r="R309" s="576">
        <v>906198.76</v>
      </c>
      <c r="S309" s="576">
        <v>30241.52</v>
      </c>
      <c r="T309" s="576">
        <v>301071.33</v>
      </c>
      <c r="U309" s="576">
        <v>0</v>
      </c>
      <c r="V309" s="576"/>
      <c r="W309" s="568">
        <v>167559.071994</v>
      </c>
      <c r="X309" s="564">
        <v>2015131.7400000002</v>
      </c>
      <c r="Y309" s="203">
        <v>2182690.8119940003</v>
      </c>
      <c r="Z309" s="203">
        <v>115968.70800600015</v>
      </c>
      <c r="AA309" s="383">
        <f t="shared" si="4"/>
        <v>0</v>
      </c>
    </row>
    <row r="310" spans="3:27" ht="15">
      <c r="C310" s="431">
        <v>304</v>
      </c>
      <c r="D310" s="431">
        <v>290</v>
      </c>
      <c r="E310" s="443" t="s">
        <v>667</v>
      </c>
      <c r="F310" s="443" t="s">
        <v>1050</v>
      </c>
      <c r="G310" s="203">
        <v>-70879.450551999966</v>
      </c>
      <c r="H310" s="457" t="s">
        <v>2509</v>
      </c>
      <c r="K310" s="431">
        <v>304</v>
      </c>
      <c r="L310" s="431">
        <v>290</v>
      </c>
      <c r="M310" s="431"/>
      <c r="N310" s="561" t="s">
        <v>667</v>
      </c>
      <c r="O310" s="565" t="s">
        <v>2322</v>
      </c>
      <c r="P310" s="563">
        <v>260652.51</v>
      </c>
      <c r="Q310" s="203">
        <v>140797.82999999999</v>
      </c>
      <c r="R310" s="203">
        <v>132098.63</v>
      </c>
      <c r="S310" s="203">
        <v>16241.16</v>
      </c>
      <c r="T310" s="203">
        <v>717.83</v>
      </c>
      <c r="U310" s="203">
        <v>0</v>
      </c>
      <c r="V310" s="203">
        <v>0</v>
      </c>
      <c r="W310" s="529">
        <v>41676.510552</v>
      </c>
      <c r="X310" s="564">
        <v>289855.44999999995</v>
      </c>
      <c r="Y310" s="203">
        <v>331531.96055199997</v>
      </c>
      <c r="Z310" s="203">
        <v>-70879.450551999966</v>
      </c>
      <c r="AA310" s="383">
        <f t="shared" si="4"/>
        <v>0</v>
      </c>
    </row>
    <row r="311" spans="3:27" ht="15">
      <c r="C311" s="431">
        <v>305</v>
      </c>
      <c r="D311" s="431">
        <v>286</v>
      </c>
      <c r="E311" s="443" t="s">
        <v>660</v>
      </c>
      <c r="F311" s="443" t="s">
        <v>1047</v>
      </c>
      <c r="G311" s="203">
        <v>136238.32727000024</v>
      </c>
      <c r="H311" s="457" t="s">
        <v>2509</v>
      </c>
      <c r="K311" s="431">
        <v>305</v>
      </c>
      <c r="L311" s="431">
        <v>286</v>
      </c>
      <c r="M311" s="431"/>
      <c r="N311" s="561" t="s">
        <v>660</v>
      </c>
      <c r="O311" s="565" t="s">
        <v>2318</v>
      </c>
      <c r="P311" s="563">
        <v>3731412.3</v>
      </c>
      <c r="Q311" s="203">
        <v>1416923.61</v>
      </c>
      <c r="R311" s="203">
        <v>1661549.64</v>
      </c>
      <c r="S311" s="203">
        <v>99005.34</v>
      </c>
      <c r="T311" s="203">
        <v>25170.65</v>
      </c>
      <c r="U311" s="203">
        <v>87165.65</v>
      </c>
      <c r="V311" s="203">
        <v>0</v>
      </c>
      <c r="W311" s="529">
        <v>305359.08273000002</v>
      </c>
      <c r="X311" s="564">
        <v>3289814.8899999997</v>
      </c>
      <c r="Y311" s="203">
        <v>3595173.9727299996</v>
      </c>
      <c r="Z311" s="203">
        <v>136238.32727000024</v>
      </c>
      <c r="AA311" s="383">
        <f t="shared" si="4"/>
        <v>0</v>
      </c>
    </row>
    <row r="312" spans="3:27" ht="15">
      <c r="C312" s="431">
        <v>306</v>
      </c>
      <c r="D312" s="431">
        <v>326</v>
      </c>
      <c r="E312" s="443" t="s">
        <v>734</v>
      </c>
      <c r="F312" s="443" t="s">
        <v>1079</v>
      </c>
      <c r="G312" s="203">
        <v>-186956.38959199982</v>
      </c>
      <c r="H312" s="457" t="s">
        <v>2509</v>
      </c>
      <c r="K312" s="431">
        <v>306</v>
      </c>
      <c r="L312" s="431">
        <v>326</v>
      </c>
      <c r="M312" s="431"/>
      <c r="N312" s="561" t="s">
        <v>734</v>
      </c>
      <c r="O312" s="565" t="s">
        <v>2353</v>
      </c>
      <c r="P312" s="563">
        <v>2868941.19</v>
      </c>
      <c r="Q312" s="203">
        <v>1242916.43</v>
      </c>
      <c r="R312" s="203">
        <v>1410372.94</v>
      </c>
      <c r="S312" s="203">
        <v>98333.34</v>
      </c>
      <c r="T312" s="203">
        <v>4073.94</v>
      </c>
      <c r="U312" s="203">
        <v>82965.69</v>
      </c>
      <c r="V312" s="203">
        <v>0</v>
      </c>
      <c r="W312" s="529">
        <v>217235.239592</v>
      </c>
      <c r="X312" s="564">
        <v>2838662.34</v>
      </c>
      <c r="Y312" s="203">
        <v>3055897.5795919998</v>
      </c>
      <c r="Z312" s="203">
        <v>-186956.38959199982</v>
      </c>
      <c r="AA312" s="383">
        <f t="shared" si="4"/>
        <v>0</v>
      </c>
    </row>
    <row r="313" spans="3:27" ht="15">
      <c r="C313" s="431">
        <v>307</v>
      </c>
      <c r="D313" s="431">
        <v>68</v>
      </c>
      <c r="E313" s="443" t="s">
        <v>281</v>
      </c>
      <c r="F313" s="443" t="s">
        <v>880</v>
      </c>
      <c r="G313" s="203">
        <v>-55324.907040000078</v>
      </c>
      <c r="H313" s="457" t="s">
        <v>2509</v>
      </c>
      <c r="K313" s="431">
        <v>307</v>
      </c>
      <c r="L313" s="431">
        <v>68</v>
      </c>
      <c r="M313" s="431"/>
      <c r="N313" s="561" t="s">
        <v>281</v>
      </c>
      <c r="O313" s="565" t="s">
        <v>2125</v>
      </c>
      <c r="P313" s="563">
        <v>690289.4800000001</v>
      </c>
      <c r="Q313" s="203">
        <v>338006.14</v>
      </c>
      <c r="R313" s="203">
        <v>336458.72000000003</v>
      </c>
      <c r="S313" s="203">
        <v>2094.5299999999997</v>
      </c>
      <c r="T313" s="203">
        <v>10187.549999999999</v>
      </c>
      <c r="U313" s="203">
        <v>0</v>
      </c>
      <c r="V313" s="203">
        <v>0</v>
      </c>
      <c r="W313" s="529">
        <v>58867.447040000006</v>
      </c>
      <c r="X313" s="564">
        <v>686746.94000000018</v>
      </c>
      <c r="Y313" s="203">
        <v>745614.38704000018</v>
      </c>
      <c r="Z313" s="203">
        <v>-55324.907040000078</v>
      </c>
      <c r="AA313" s="383">
        <f t="shared" si="4"/>
        <v>0</v>
      </c>
    </row>
    <row r="314" spans="3:27" ht="15">
      <c r="C314" s="431">
        <v>308</v>
      </c>
      <c r="D314" s="431">
        <v>33</v>
      </c>
      <c r="E314" s="443" t="s">
        <v>220</v>
      </c>
      <c r="F314" s="443" t="s">
        <v>852</v>
      </c>
      <c r="G314" s="203">
        <v>-874393.78468000004</v>
      </c>
      <c r="H314" s="457" t="s">
        <v>2509</v>
      </c>
      <c r="K314" s="431">
        <v>308</v>
      </c>
      <c r="L314" s="431">
        <v>33</v>
      </c>
      <c r="M314" s="431"/>
      <c r="N314" s="561" t="s">
        <v>220</v>
      </c>
      <c r="O314" s="582" t="s">
        <v>2096</v>
      </c>
      <c r="P314" s="563">
        <v>1089231.0899999999</v>
      </c>
      <c r="Q314" s="203">
        <v>440200.7</v>
      </c>
      <c r="R314" s="203">
        <v>1291281.99</v>
      </c>
      <c r="S314" s="203">
        <v>45339.659999999996</v>
      </c>
      <c r="T314" s="203">
        <v>8684.0500000000011</v>
      </c>
      <c r="U314" s="203">
        <v>0</v>
      </c>
      <c r="V314" s="203">
        <v>0</v>
      </c>
      <c r="W314" s="529">
        <v>178118.47467999998</v>
      </c>
      <c r="X314" s="564">
        <v>1785506.4</v>
      </c>
      <c r="Y314" s="203">
        <v>1963624.8746799999</v>
      </c>
      <c r="Z314" s="203">
        <v>-874393.78468000004</v>
      </c>
      <c r="AA314" s="383">
        <f t="shared" si="4"/>
        <v>0</v>
      </c>
    </row>
    <row r="315" spans="3:27" ht="15">
      <c r="C315" s="431">
        <v>309</v>
      </c>
      <c r="D315" s="431">
        <v>1</v>
      </c>
      <c r="E315" s="443" t="s">
        <v>163</v>
      </c>
      <c r="F315" s="443" t="s">
        <v>828</v>
      </c>
      <c r="G315" s="203">
        <v>-43384.350275000004</v>
      </c>
      <c r="H315" s="457" t="s">
        <v>2509</v>
      </c>
      <c r="K315" s="431">
        <v>309</v>
      </c>
      <c r="L315" s="431">
        <v>1</v>
      </c>
      <c r="M315" s="431"/>
      <c r="N315" s="561" t="s">
        <v>163</v>
      </c>
      <c r="O315" s="565" t="s">
        <v>2068</v>
      </c>
      <c r="P315" s="563">
        <v>79681.56</v>
      </c>
      <c r="Q315" s="203">
        <v>39345.17</v>
      </c>
      <c r="R315" s="203">
        <v>50775.73</v>
      </c>
      <c r="S315" s="203">
        <v>6106.53</v>
      </c>
      <c r="T315" s="203">
        <v>6730.49</v>
      </c>
      <c r="U315" s="203">
        <v>0</v>
      </c>
      <c r="V315" s="203">
        <v>0</v>
      </c>
      <c r="W315" s="529">
        <v>20107.990275</v>
      </c>
      <c r="X315" s="564">
        <v>102957.92</v>
      </c>
      <c r="Y315" s="203">
        <v>123065.910275</v>
      </c>
      <c r="Z315" s="203">
        <v>-43384.350275000004</v>
      </c>
      <c r="AA315" s="383">
        <f t="shared" si="4"/>
        <v>0</v>
      </c>
    </row>
    <row r="316" spans="3:27" ht="15">
      <c r="C316" s="431">
        <v>310</v>
      </c>
      <c r="D316" s="431">
        <v>54</v>
      </c>
      <c r="E316" s="443" t="s">
        <v>255</v>
      </c>
      <c r="F316" s="443" t="s">
        <v>868</v>
      </c>
      <c r="G316" s="203">
        <v>-53790.713889999955</v>
      </c>
      <c r="H316" s="457" t="s">
        <v>2509</v>
      </c>
      <c r="K316" s="431">
        <v>310</v>
      </c>
      <c r="L316" s="431">
        <v>54</v>
      </c>
      <c r="M316" s="431"/>
      <c r="N316" s="561" t="s">
        <v>255</v>
      </c>
      <c r="O316" s="565" t="s">
        <v>2113</v>
      </c>
      <c r="P316" s="563">
        <v>194885.65000000002</v>
      </c>
      <c r="Q316" s="203">
        <v>76256.84</v>
      </c>
      <c r="R316" s="203">
        <v>121123.37</v>
      </c>
      <c r="S316" s="203">
        <v>10231.9</v>
      </c>
      <c r="T316" s="203">
        <v>3147.83</v>
      </c>
      <c r="U316" s="203">
        <v>0</v>
      </c>
      <c r="V316" s="203">
        <v>0</v>
      </c>
      <c r="W316" s="529">
        <v>37916.423889999991</v>
      </c>
      <c r="X316" s="564">
        <v>210759.93999999997</v>
      </c>
      <c r="Y316" s="203">
        <v>248676.36388999998</v>
      </c>
      <c r="Z316" s="203">
        <v>-53790.713889999955</v>
      </c>
      <c r="AA316" s="383">
        <f t="shared" si="4"/>
        <v>0</v>
      </c>
    </row>
    <row r="317" spans="3:27" ht="15">
      <c r="C317" s="431">
        <v>311</v>
      </c>
      <c r="D317" s="431">
        <v>264</v>
      </c>
      <c r="E317" s="443" t="s">
        <v>622</v>
      </c>
      <c r="F317" s="443" t="s">
        <v>1029</v>
      </c>
      <c r="G317" s="203">
        <v>-260576.56551999995</v>
      </c>
      <c r="H317" s="457" t="s">
        <v>2509</v>
      </c>
      <c r="K317" s="431">
        <v>311</v>
      </c>
      <c r="L317" s="431">
        <v>264</v>
      </c>
      <c r="M317" s="431"/>
      <c r="N317" s="561" t="s">
        <v>622</v>
      </c>
      <c r="O317" s="565" t="s">
        <v>2297</v>
      </c>
      <c r="P317" s="563">
        <v>290462.40000000002</v>
      </c>
      <c r="Q317" s="203">
        <v>165371.15</v>
      </c>
      <c r="R317" s="203">
        <v>237366.85</v>
      </c>
      <c r="S317" s="203">
        <v>9654.09</v>
      </c>
      <c r="T317" s="203">
        <v>10056.66</v>
      </c>
      <c r="U317" s="203">
        <v>0</v>
      </c>
      <c r="V317" s="203">
        <v>0</v>
      </c>
      <c r="W317" s="529">
        <v>128590.21552</v>
      </c>
      <c r="X317" s="564">
        <v>422448.75</v>
      </c>
      <c r="Y317" s="203">
        <v>551038.96551999997</v>
      </c>
      <c r="Z317" s="203">
        <v>-260576.56551999995</v>
      </c>
      <c r="AA317" s="383">
        <f t="shared" si="4"/>
        <v>0</v>
      </c>
    </row>
    <row r="318" spans="3:27" ht="15">
      <c r="C318" s="431">
        <v>312</v>
      </c>
      <c r="D318" s="431">
        <v>20</v>
      </c>
      <c r="E318" s="443" t="s">
        <v>201</v>
      </c>
      <c r="F318" s="443" t="s">
        <v>843</v>
      </c>
      <c r="G318" s="203">
        <v>16901.067986000329</v>
      </c>
      <c r="H318" s="457" t="s">
        <v>2509</v>
      </c>
      <c r="K318" s="431">
        <v>312</v>
      </c>
      <c r="L318" s="431">
        <v>20</v>
      </c>
      <c r="M318" s="431"/>
      <c r="N318" s="561" t="s">
        <v>201</v>
      </c>
      <c r="O318" s="565" t="s">
        <v>2085</v>
      </c>
      <c r="P318" s="563">
        <v>4407601.08</v>
      </c>
      <c r="Q318" s="203">
        <v>1509929.38</v>
      </c>
      <c r="R318" s="203">
        <v>2387244.27</v>
      </c>
      <c r="S318" s="203">
        <v>176280.67</v>
      </c>
      <c r="T318" s="203">
        <v>36059.71</v>
      </c>
      <c r="U318" s="203">
        <v>0</v>
      </c>
      <c r="V318" s="203">
        <v>-80.38</v>
      </c>
      <c r="W318" s="529">
        <v>281266.36201400001</v>
      </c>
      <c r="X318" s="564">
        <v>4109433.65</v>
      </c>
      <c r="Y318" s="203">
        <v>4390700.0120139997</v>
      </c>
      <c r="Z318" s="203">
        <v>16901.067986000329</v>
      </c>
      <c r="AA318" s="383">
        <f t="shared" si="4"/>
        <v>0</v>
      </c>
    </row>
    <row r="319" spans="3:27" ht="15">
      <c r="C319" s="431">
        <v>313</v>
      </c>
      <c r="D319" s="431">
        <v>255</v>
      </c>
      <c r="E319" s="443" t="s">
        <v>613</v>
      </c>
      <c r="F319" s="443" t="s">
        <v>1677</v>
      </c>
      <c r="G319" s="203">
        <v>-317089.35920599988</v>
      </c>
      <c r="H319" s="457" t="s">
        <v>2509</v>
      </c>
      <c r="K319" s="431">
        <v>313</v>
      </c>
      <c r="L319" s="431">
        <v>255</v>
      </c>
      <c r="M319" s="431"/>
      <c r="N319" s="561" t="s">
        <v>613</v>
      </c>
      <c r="O319" s="565" t="s">
        <v>2607</v>
      </c>
      <c r="P319" s="563">
        <v>2355669.6800000002</v>
      </c>
      <c r="Q319" s="203">
        <v>1127692.1599999999</v>
      </c>
      <c r="R319" s="203">
        <v>1273465.74</v>
      </c>
      <c r="S319" s="203">
        <v>101376.68</v>
      </c>
      <c r="T319" s="203">
        <v>7520.3600000000006</v>
      </c>
      <c r="U319" s="203">
        <v>0</v>
      </c>
      <c r="V319" s="203">
        <v>0</v>
      </c>
      <c r="W319" s="529">
        <v>162704.09920600001</v>
      </c>
      <c r="X319" s="564">
        <v>2510054.94</v>
      </c>
      <c r="Y319" s="203">
        <v>2672759.039206</v>
      </c>
      <c r="Z319" s="203">
        <v>-317089.35920599988</v>
      </c>
      <c r="AA319" s="383">
        <f t="shared" si="4"/>
        <v>0</v>
      </c>
    </row>
    <row r="320" spans="3:27" ht="15">
      <c r="C320" s="431">
        <v>314</v>
      </c>
      <c r="D320" s="431">
        <v>327</v>
      </c>
      <c r="E320" s="443" t="s">
        <v>736</v>
      </c>
      <c r="F320" s="443" t="s">
        <v>1684</v>
      </c>
      <c r="G320" s="203">
        <v>85173.437147000339</v>
      </c>
      <c r="H320" s="457" t="s">
        <v>2509</v>
      </c>
      <c r="K320" s="431">
        <v>314</v>
      </c>
      <c r="L320" s="431">
        <v>327</v>
      </c>
      <c r="M320" s="431"/>
      <c r="N320" s="561" t="s">
        <v>736</v>
      </c>
      <c r="O320" s="565" t="s">
        <v>2613</v>
      </c>
      <c r="P320" s="563">
        <v>3142809.8</v>
      </c>
      <c r="Q320" s="203">
        <v>1267350.44</v>
      </c>
      <c r="R320" s="203">
        <v>1445453.45</v>
      </c>
      <c r="S320" s="203">
        <v>108900.86</v>
      </c>
      <c r="T320" s="203">
        <v>86867.91</v>
      </c>
      <c r="U320" s="203">
        <v>0</v>
      </c>
      <c r="V320" s="203">
        <v>-147948.45000000001</v>
      </c>
      <c r="W320" s="529">
        <v>297012.15285299998</v>
      </c>
      <c r="X320" s="564">
        <v>2760624.2099999995</v>
      </c>
      <c r="Y320" s="203">
        <v>3057636.3628529995</v>
      </c>
      <c r="Z320" s="203">
        <v>85173.437147000339</v>
      </c>
      <c r="AA320" s="383">
        <f t="shared" si="4"/>
        <v>0</v>
      </c>
    </row>
    <row r="321" spans="3:27" ht="15">
      <c r="C321" s="431">
        <v>315</v>
      </c>
      <c r="D321" s="431">
        <v>299</v>
      </c>
      <c r="E321" s="445" t="s">
        <v>1692</v>
      </c>
      <c r="F321" s="446" t="s">
        <v>2507</v>
      </c>
      <c r="G321" s="203">
        <v>-84770.4</v>
      </c>
      <c r="H321" s="457" t="s">
        <v>2509</v>
      </c>
      <c r="K321" s="431">
        <v>315</v>
      </c>
      <c r="L321" s="431">
        <v>299</v>
      </c>
      <c r="M321" s="431"/>
      <c r="N321" s="561" t="s">
        <v>1692</v>
      </c>
      <c r="O321" s="565" t="s">
        <v>2507</v>
      </c>
      <c r="P321" s="563"/>
      <c r="Q321" s="203">
        <v>84770.4</v>
      </c>
      <c r="R321" s="203">
        <v>0</v>
      </c>
      <c r="S321" s="203">
        <v>0</v>
      </c>
      <c r="T321" s="203">
        <v>0</v>
      </c>
      <c r="U321" s="203">
        <v>0</v>
      </c>
      <c r="V321" s="203">
        <v>0</v>
      </c>
      <c r="W321" s="529">
        <v>0</v>
      </c>
      <c r="X321" s="564">
        <v>84770.4</v>
      </c>
      <c r="Y321" s="203">
        <v>84770.4</v>
      </c>
      <c r="Z321" s="203">
        <v>-84770.4</v>
      </c>
      <c r="AA321" s="383">
        <f t="shared" si="4"/>
        <v>0</v>
      </c>
    </row>
    <row r="322" spans="3:27" ht="15">
      <c r="C322" s="431">
        <v>316</v>
      </c>
      <c r="D322" s="431">
        <v>161</v>
      </c>
      <c r="E322" s="443" t="s">
        <v>438</v>
      </c>
      <c r="F322" s="443" t="s">
        <v>949</v>
      </c>
      <c r="G322" s="203">
        <v>-77694.188728000037</v>
      </c>
      <c r="H322" s="457" t="s">
        <v>2509</v>
      </c>
      <c r="K322" s="431">
        <v>316</v>
      </c>
      <c r="L322" s="431">
        <v>161</v>
      </c>
      <c r="M322" s="431"/>
      <c r="N322" s="561" t="s">
        <v>438</v>
      </c>
      <c r="O322" s="565" t="s">
        <v>2203</v>
      </c>
      <c r="P322" s="563">
        <v>338006.79</v>
      </c>
      <c r="Q322" s="203">
        <v>190398.28</v>
      </c>
      <c r="R322" s="203">
        <v>173441.5</v>
      </c>
      <c r="S322" s="203">
        <v>4701.54</v>
      </c>
      <c r="T322" s="203">
        <v>1180.98</v>
      </c>
      <c r="U322" s="203">
        <v>0</v>
      </c>
      <c r="V322" s="203">
        <v>0</v>
      </c>
      <c r="W322" s="529">
        <v>45978.678728000006</v>
      </c>
      <c r="X322" s="564">
        <v>369722.3</v>
      </c>
      <c r="Y322" s="203">
        <v>415700.97872800002</v>
      </c>
      <c r="Z322" s="203">
        <v>-77694.188728000037</v>
      </c>
      <c r="AA322" s="383">
        <f t="shared" si="4"/>
        <v>0</v>
      </c>
    </row>
    <row r="323" spans="3:27" ht="15">
      <c r="C323" s="431">
        <v>317</v>
      </c>
      <c r="D323" s="431">
        <v>209</v>
      </c>
      <c r="E323" s="443" t="s">
        <v>531</v>
      </c>
      <c r="F323" s="443" t="s">
        <v>995</v>
      </c>
      <c r="G323" s="203">
        <v>-227227.47886200016</v>
      </c>
      <c r="H323" s="457" t="s">
        <v>2509</v>
      </c>
      <c r="K323" s="431">
        <v>317</v>
      </c>
      <c r="L323" s="431">
        <v>209</v>
      </c>
      <c r="M323" s="431" t="s">
        <v>2596</v>
      </c>
      <c r="N323" s="561" t="s">
        <v>531</v>
      </c>
      <c r="O323" s="565" t="s">
        <v>2250</v>
      </c>
      <c r="P323" s="563">
        <v>1926049.13</v>
      </c>
      <c r="Q323" s="567">
        <v>610323.17000000004</v>
      </c>
      <c r="R323" s="567">
        <v>1124727.56</v>
      </c>
      <c r="S323" s="567">
        <v>61031.199999999997</v>
      </c>
      <c r="T323" s="567">
        <v>194974.85</v>
      </c>
      <c r="U323" s="567">
        <v>0</v>
      </c>
      <c r="V323" s="567">
        <v>-36463.32</v>
      </c>
      <c r="W323" s="568">
        <v>198683.148862</v>
      </c>
      <c r="X323" s="564">
        <v>1954593.46</v>
      </c>
      <c r="Y323" s="203">
        <v>2153276.6088620001</v>
      </c>
      <c r="Z323" s="203">
        <v>-227227.47886200016</v>
      </c>
      <c r="AA323" s="383">
        <f t="shared" si="4"/>
        <v>0</v>
      </c>
    </row>
    <row r="324" spans="3:27" ht="15">
      <c r="C324" s="431">
        <v>318</v>
      </c>
      <c r="D324" s="431">
        <v>148</v>
      </c>
      <c r="E324" s="443" t="s">
        <v>412</v>
      </c>
      <c r="F324" s="443" t="s">
        <v>937</v>
      </c>
      <c r="G324" s="203">
        <v>-184124.48132999998</v>
      </c>
      <c r="H324" s="457" t="s">
        <v>2509</v>
      </c>
      <c r="K324" s="431">
        <v>318</v>
      </c>
      <c r="L324" s="431">
        <v>148</v>
      </c>
      <c r="M324" s="431"/>
      <c r="N324" s="561" t="s">
        <v>412</v>
      </c>
      <c r="O324" s="565" t="s">
        <v>2192</v>
      </c>
      <c r="P324" s="563">
        <v>422285.61</v>
      </c>
      <c r="Q324" s="203">
        <v>131370.9</v>
      </c>
      <c r="R324" s="203">
        <v>386935.45</v>
      </c>
      <c r="S324" s="203">
        <v>1147.8499999999999</v>
      </c>
      <c r="T324" s="203">
        <v>624</v>
      </c>
      <c r="U324" s="203">
        <v>0</v>
      </c>
      <c r="V324" s="203">
        <v>0</v>
      </c>
      <c r="W324" s="529">
        <v>86331.891329999999</v>
      </c>
      <c r="X324" s="564">
        <v>520078.19999999995</v>
      </c>
      <c r="Y324" s="203">
        <v>606410.09132999997</v>
      </c>
      <c r="Z324" s="203">
        <v>-184124.48132999998</v>
      </c>
      <c r="AA324" s="383">
        <f t="shared" si="4"/>
        <v>0</v>
      </c>
    </row>
    <row r="325" spans="3:27" ht="15">
      <c r="C325" s="431">
        <v>319</v>
      </c>
      <c r="D325" s="431">
        <v>124</v>
      </c>
      <c r="E325" s="443" t="s">
        <v>1696</v>
      </c>
      <c r="F325" s="443" t="s">
        <v>2508</v>
      </c>
      <c r="G325" s="203">
        <v>-52696.451803999982</v>
      </c>
      <c r="H325" s="457" t="s">
        <v>2509</v>
      </c>
      <c r="K325" s="431">
        <v>319</v>
      </c>
      <c r="L325" s="431">
        <v>124</v>
      </c>
      <c r="M325" s="431"/>
      <c r="N325" s="561" t="s">
        <v>1696</v>
      </c>
      <c r="O325" s="565" t="s">
        <v>2175</v>
      </c>
      <c r="P325" s="563">
        <v>27764.69</v>
      </c>
      <c r="Q325" s="203">
        <v>68813.289999999994</v>
      </c>
      <c r="R325" s="203">
        <v>10206.67</v>
      </c>
      <c r="S325" s="203">
        <v>0</v>
      </c>
      <c r="T325" s="203">
        <v>0</v>
      </c>
      <c r="U325" s="203">
        <v>0</v>
      </c>
      <c r="V325" s="203">
        <v>0</v>
      </c>
      <c r="W325" s="529">
        <v>1441.1818039999998</v>
      </c>
      <c r="X325" s="564">
        <v>79019.959999999992</v>
      </c>
      <c r="Y325" s="203">
        <v>80461.141803999984</v>
      </c>
      <c r="Z325" s="203">
        <v>-52696.451803999982</v>
      </c>
      <c r="AA325" s="383">
        <f t="shared" si="4"/>
        <v>0</v>
      </c>
    </row>
    <row r="326" spans="3:27" ht="15">
      <c r="C326" s="431">
        <v>320</v>
      </c>
      <c r="D326" s="431">
        <v>168</v>
      </c>
      <c r="E326" s="443" t="s">
        <v>452</v>
      </c>
      <c r="F326" s="443" t="s">
        <v>955</v>
      </c>
      <c r="G326" s="203">
        <v>-23144.727584000007</v>
      </c>
      <c r="H326" s="457" t="s">
        <v>2509</v>
      </c>
      <c r="K326" s="431">
        <v>320</v>
      </c>
      <c r="L326" s="431">
        <v>168</v>
      </c>
      <c r="M326" s="431"/>
      <c r="N326" s="561" t="s">
        <v>452</v>
      </c>
      <c r="O326" s="565" t="s">
        <v>2210</v>
      </c>
      <c r="P326" s="563">
        <v>125143.85999999999</v>
      </c>
      <c r="Q326" s="203">
        <v>48666.14</v>
      </c>
      <c r="R326" s="203">
        <v>76383.95</v>
      </c>
      <c r="S326" s="203">
        <v>1110.17</v>
      </c>
      <c r="T326" s="203">
        <v>3950</v>
      </c>
      <c r="U326" s="203">
        <v>0</v>
      </c>
      <c r="V326" s="203">
        <v>0</v>
      </c>
      <c r="W326" s="529">
        <v>18178.327583999999</v>
      </c>
      <c r="X326" s="564">
        <v>130110.26</v>
      </c>
      <c r="Y326" s="203">
        <v>148288.58758399999</v>
      </c>
      <c r="Z326" s="203">
        <v>-23144.727584000007</v>
      </c>
      <c r="AA326" s="383">
        <f t="shared" si="4"/>
        <v>0</v>
      </c>
    </row>
    <row r="327" spans="3:27" ht="15">
      <c r="C327" s="431">
        <v>321</v>
      </c>
      <c r="D327" s="431">
        <v>191</v>
      </c>
      <c r="E327" s="443" t="s">
        <v>495</v>
      </c>
      <c r="F327" s="443" t="s">
        <v>977</v>
      </c>
      <c r="G327" s="203">
        <v>-115107.94071</v>
      </c>
      <c r="H327" s="457" t="s">
        <v>2509</v>
      </c>
      <c r="K327" s="431">
        <v>321</v>
      </c>
      <c r="L327" s="431">
        <v>191</v>
      </c>
      <c r="M327" s="431"/>
      <c r="N327" s="561" t="s">
        <v>495</v>
      </c>
      <c r="O327" s="565" t="s">
        <v>2232</v>
      </c>
      <c r="P327" s="563">
        <v>271686.2</v>
      </c>
      <c r="Q327" s="203">
        <v>148559.18</v>
      </c>
      <c r="R327" s="203">
        <v>191661.96000000002</v>
      </c>
      <c r="S327" s="203">
        <v>1126.22</v>
      </c>
      <c r="T327" s="203">
        <v>2278.52</v>
      </c>
      <c r="U327" s="203">
        <v>0</v>
      </c>
      <c r="V327" s="203">
        <v>0</v>
      </c>
      <c r="W327" s="529">
        <v>43168.260710000002</v>
      </c>
      <c r="X327" s="564">
        <v>343625.88</v>
      </c>
      <c r="Y327" s="203">
        <v>386794.14071000001</v>
      </c>
      <c r="Z327" s="203">
        <v>-115107.94071</v>
      </c>
      <c r="AA327" s="383">
        <f t="shared" si="4"/>
        <v>0</v>
      </c>
    </row>
    <row r="328" spans="3:27" ht="15">
      <c r="C328" s="431">
        <v>322</v>
      </c>
      <c r="D328" s="431">
        <v>74</v>
      </c>
      <c r="E328" s="443" t="s">
        <v>293</v>
      </c>
      <c r="F328" s="443" t="s">
        <v>885</v>
      </c>
      <c r="G328" s="203">
        <v>-91850.734540000019</v>
      </c>
      <c r="H328" s="457" t="s">
        <v>2509</v>
      </c>
      <c r="K328" s="431">
        <v>322</v>
      </c>
      <c r="L328" s="431">
        <v>74</v>
      </c>
      <c r="M328" s="431"/>
      <c r="N328" s="561" t="s">
        <v>293</v>
      </c>
      <c r="O328" s="565" t="s">
        <v>2131</v>
      </c>
      <c r="P328" s="563">
        <v>112472.26</v>
      </c>
      <c r="Q328" s="203">
        <v>67143.75</v>
      </c>
      <c r="R328" s="203">
        <v>98034.35</v>
      </c>
      <c r="S328" s="203">
        <v>627.34</v>
      </c>
      <c r="T328" s="203">
        <v>11833.07</v>
      </c>
      <c r="U328" s="203">
        <v>0</v>
      </c>
      <c r="V328" s="203">
        <v>0</v>
      </c>
      <c r="W328" s="529">
        <v>26684.484540000001</v>
      </c>
      <c r="X328" s="564">
        <v>177638.51</v>
      </c>
      <c r="Y328" s="203">
        <v>204322.99454000001</v>
      </c>
      <c r="Z328" s="203">
        <v>-91850.734540000019</v>
      </c>
      <c r="AA328" s="383">
        <f t="shared" ref="AA328:AA336" si="5">+G328-Z328</f>
        <v>0</v>
      </c>
    </row>
    <row r="329" spans="3:27" ht="15">
      <c r="C329" s="431">
        <v>323</v>
      </c>
      <c r="D329" s="431">
        <v>155</v>
      </c>
      <c r="E329" s="443" t="s">
        <v>426</v>
      </c>
      <c r="F329" s="443" t="s">
        <v>943</v>
      </c>
      <c r="G329" s="203">
        <v>-108190.23421999998</v>
      </c>
      <c r="H329" s="457" t="s">
        <v>2509</v>
      </c>
      <c r="K329" s="431">
        <v>323</v>
      </c>
      <c r="L329" s="431">
        <v>155</v>
      </c>
      <c r="M329" s="431" t="s">
        <v>2596</v>
      </c>
      <c r="N329" s="561" t="s">
        <v>426</v>
      </c>
      <c r="O329" s="565" t="s">
        <v>2197</v>
      </c>
      <c r="P329" s="563">
        <v>662024</v>
      </c>
      <c r="Q329" s="566">
        <v>257800.12</v>
      </c>
      <c r="R329" s="566">
        <v>225703</v>
      </c>
      <c r="S329" s="566">
        <v>58636.800000000003</v>
      </c>
      <c r="T329" s="566">
        <v>94639.839999999982</v>
      </c>
      <c r="U329" s="566">
        <v>53659.26</v>
      </c>
      <c r="V329" s="566"/>
      <c r="W329" s="568">
        <v>79775.214219999994</v>
      </c>
      <c r="X329" s="564">
        <v>690439.02</v>
      </c>
      <c r="Y329" s="203">
        <v>770214.23421999998</v>
      </c>
      <c r="Z329" s="203">
        <v>-108190.23421999998</v>
      </c>
      <c r="AA329" s="383">
        <f t="shared" si="5"/>
        <v>0</v>
      </c>
    </row>
    <row r="330" spans="3:27" ht="15">
      <c r="C330" s="431">
        <v>324</v>
      </c>
      <c r="D330" s="431">
        <v>86</v>
      </c>
      <c r="E330" s="443" t="s">
        <v>316</v>
      </c>
      <c r="F330" s="443" t="s">
        <v>896</v>
      </c>
      <c r="G330" s="203">
        <v>-37898.843960000027</v>
      </c>
      <c r="H330" s="457" t="s">
        <v>2509</v>
      </c>
      <c r="K330" s="431">
        <v>324</v>
      </c>
      <c r="L330" s="431">
        <v>86</v>
      </c>
      <c r="M330" s="431"/>
      <c r="N330" s="561" t="s">
        <v>316</v>
      </c>
      <c r="O330" s="565" t="s">
        <v>2143</v>
      </c>
      <c r="P330" s="563">
        <v>186590.65</v>
      </c>
      <c r="Q330" s="203">
        <v>89553.12</v>
      </c>
      <c r="R330" s="203">
        <v>102026.17000000001</v>
      </c>
      <c r="S330" s="203">
        <v>1715.09</v>
      </c>
      <c r="T330" s="203">
        <v>1031.1399999999999</v>
      </c>
      <c r="U330" s="203">
        <v>0</v>
      </c>
      <c r="V330" s="203">
        <v>0</v>
      </c>
      <c r="W330" s="529">
        <v>30163.973960000003</v>
      </c>
      <c r="X330" s="564">
        <v>194325.52000000002</v>
      </c>
      <c r="Y330" s="203">
        <v>224489.49396000002</v>
      </c>
      <c r="Z330" s="203">
        <v>-37898.843960000027</v>
      </c>
      <c r="AA330" s="383">
        <f t="shared" si="5"/>
        <v>0</v>
      </c>
    </row>
    <row r="331" spans="3:27" ht="15">
      <c r="C331" s="431">
        <v>325</v>
      </c>
      <c r="D331" s="431">
        <v>140</v>
      </c>
      <c r="E331" s="443" t="s">
        <v>396</v>
      </c>
      <c r="F331" s="443" t="s">
        <v>933</v>
      </c>
      <c r="G331" s="203">
        <v>-36127.970199999996</v>
      </c>
      <c r="H331" s="457" t="s">
        <v>2509</v>
      </c>
      <c r="K331" s="431">
        <v>325</v>
      </c>
      <c r="L331" s="431">
        <v>140</v>
      </c>
      <c r="M331" s="431"/>
      <c r="N331" s="561" t="s">
        <v>396</v>
      </c>
      <c r="O331" s="565" t="s">
        <v>2187</v>
      </c>
      <c r="P331" s="563">
        <v>85466.69</v>
      </c>
      <c r="Q331" s="203">
        <v>39177.040000000001</v>
      </c>
      <c r="R331" s="203">
        <v>58190.5</v>
      </c>
      <c r="S331" s="203">
        <v>1246.67</v>
      </c>
      <c r="T331" s="203">
        <v>590.23</v>
      </c>
      <c r="U331" s="203">
        <v>0</v>
      </c>
      <c r="V331" s="203">
        <v>0</v>
      </c>
      <c r="W331" s="529">
        <v>22390.2202</v>
      </c>
      <c r="X331" s="564">
        <v>99204.44</v>
      </c>
      <c r="Y331" s="203">
        <v>121594.6602</v>
      </c>
      <c r="Z331" s="203">
        <v>-36127.970199999996</v>
      </c>
      <c r="AA331" s="383">
        <f t="shared" si="5"/>
        <v>0</v>
      </c>
    </row>
    <row r="332" spans="3:27" ht="15">
      <c r="C332" s="431">
        <v>326</v>
      </c>
      <c r="D332" s="431">
        <v>47</v>
      </c>
      <c r="E332" s="443" t="s">
        <v>241</v>
      </c>
      <c r="F332" s="443" t="s">
        <v>861</v>
      </c>
      <c r="G332" s="203">
        <v>-135973.9888960002</v>
      </c>
      <c r="H332" s="457" t="s">
        <v>2509</v>
      </c>
      <c r="K332" s="431">
        <v>326</v>
      </c>
      <c r="L332" s="431">
        <v>47</v>
      </c>
      <c r="M332" s="431" t="s">
        <v>2596</v>
      </c>
      <c r="N332" s="561" t="s">
        <v>241</v>
      </c>
      <c r="O332" s="565" t="s">
        <v>2106</v>
      </c>
      <c r="P332" s="563">
        <v>1248291.07</v>
      </c>
      <c r="Q332" s="566">
        <v>531889.93000000005</v>
      </c>
      <c r="R332" s="566">
        <v>740710.56</v>
      </c>
      <c r="S332" s="566">
        <v>2419.9900000000002</v>
      </c>
      <c r="T332" s="567">
        <v>23116.81</v>
      </c>
      <c r="U332" s="566">
        <v>0</v>
      </c>
      <c r="V332" s="567">
        <v>-6283.8</v>
      </c>
      <c r="W332" s="568">
        <v>92411.568896000012</v>
      </c>
      <c r="X332" s="564">
        <v>1291853.4900000002</v>
      </c>
      <c r="Y332" s="203">
        <v>1384265.0588960003</v>
      </c>
      <c r="Z332" s="203">
        <v>-135973.9888960002</v>
      </c>
      <c r="AA332" s="383">
        <f t="shared" si="5"/>
        <v>0</v>
      </c>
    </row>
    <row r="333" spans="3:27" ht="15">
      <c r="C333" s="431">
        <v>327</v>
      </c>
      <c r="D333" s="431">
        <v>330</v>
      </c>
      <c r="E333" s="455" t="s">
        <v>1555</v>
      </c>
      <c r="F333" s="456" t="s">
        <v>2389</v>
      </c>
      <c r="G333" s="203">
        <v>0</v>
      </c>
      <c r="H333" s="457" t="s">
        <v>2509</v>
      </c>
      <c r="K333" s="431">
        <v>327</v>
      </c>
      <c r="L333" s="431">
        <v>330</v>
      </c>
      <c r="M333" s="431"/>
      <c r="N333" s="580" t="s">
        <v>1555</v>
      </c>
      <c r="O333" s="583" t="s">
        <v>2389</v>
      </c>
      <c r="P333" s="579"/>
      <c r="Q333" s="203">
        <v>0</v>
      </c>
      <c r="R333" s="203">
        <v>0</v>
      </c>
      <c r="S333" s="203">
        <v>0</v>
      </c>
      <c r="T333" s="203">
        <v>0</v>
      </c>
      <c r="U333" s="203">
        <v>0</v>
      </c>
      <c r="V333" s="203">
        <v>0</v>
      </c>
      <c r="W333" s="529">
        <v>0</v>
      </c>
      <c r="X333" s="564">
        <v>0</v>
      </c>
      <c r="Y333" s="203">
        <v>0</v>
      </c>
      <c r="Z333" s="203">
        <v>0</v>
      </c>
      <c r="AA333" s="383">
        <f t="shared" si="5"/>
        <v>0</v>
      </c>
    </row>
    <row r="334" spans="3:27" ht="15">
      <c r="C334" s="431">
        <v>328</v>
      </c>
      <c r="D334" s="431">
        <v>316</v>
      </c>
      <c r="E334" s="443" t="s">
        <v>715</v>
      </c>
      <c r="F334" s="443" t="s">
        <v>1070</v>
      </c>
      <c r="G334" s="203">
        <v>1091505.6013939995</v>
      </c>
      <c r="H334" s="457" t="s">
        <v>2509</v>
      </c>
      <c r="K334" s="431">
        <v>328</v>
      </c>
      <c r="L334" s="431">
        <v>316</v>
      </c>
      <c r="M334" s="431"/>
      <c r="N334" s="561" t="s">
        <v>715</v>
      </c>
      <c r="O334" s="565" t="s">
        <v>2343</v>
      </c>
      <c r="P334" s="563">
        <v>12508293.83</v>
      </c>
      <c r="Q334" s="203">
        <v>4306815.17</v>
      </c>
      <c r="R334" s="203">
        <v>5901105.4399999995</v>
      </c>
      <c r="S334" s="203">
        <v>135750.46</v>
      </c>
      <c r="T334" s="203">
        <v>224509.32</v>
      </c>
      <c r="U334" s="203">
        <v>20229.22</v>
      </c>
      <c r="V334" s="203">
        <v>0</v>
      </c>
      <c r="W334" s="529">
        <v>828378.61860599997</v>
      </c>
      <c r="X334" s="564">
        <v>10588409.610000001</v>
      </c>
      <c r="Y334" s="203">
        <v>11416788.228606001</v>
      </c>
      <c r="Z334" s="203">
        <v>1091505.6013939995</v>
      </c>
      <c r="AA334" s="383">
        <f t="shared" si="5"/>
        <v>0</v>
      </c>
    </row>
    <row r="335" spans="3:27" ht="15">
      <c r="C335" s="431">
        <v>329</v>
      </c>
      <c r="D335" s="431">
        <v>274</v>
      </c>
      <c r="E335" s="443" t="s">
        <v>640</v>
      </c>
      <c r="F335" s="443" t="s">
        <v>1037</v>
      </c>
      <c r="G335" s="203">
        <v>-573713.72177000018</v>
      </c>
      <c r="H335" s="457" t="s">
        <v>2509</v>
      </c>
      <c r="K335" s="431">
        <v>329</v>
      </c>
      <c r="L335" s="431">
        <v>274</v>
      </c>
      <c r="M335" s="431"/>
      <c r="N335" s="561" t="s">
        <v>640</v>
      </c>
      <c r="O335" s="582" t="s">
        <v>2307</v>
      </c>
      <c r="P335" s="563">
        <v>3184697.74</v>
      </c>
      <c r="Q335" s="203">
        <v>1411800.86</v>
      </c>
      <c r="R335" s="203">
        <v>1860335.1300000001</v>
      </c>
      <c r="S335" s="203">
        <v>105604.7</v>
      </c>
      <c r="T335" s="203">
        <v>7101.5199999999995</v>
      </c>
      <c r="U335" s="203">
        <v>41214.67</v>
      </c>
      <c r="V335" s="203">
        <v>-2449.0500000000002</v>
      </c>
      <c r="W335" s="529">
        <v>334803.63176999998</v>
      </c>
      <c r="X335" s="564">
        <v>3423607.8300000005</v>
      </c>
      <c r="Y335" s="203">
        <v>3758411.4617700004</v>
      </c>
      <c r="Z335" s="203">
        <v>-573713.72177000018</v>
      </c>
      <c r="AA335" s="383">
        <f t="shared" si="5"/>
        <v>0</v>
      </c>
    </row>
    <row r="336" spans="3:27" ht="15">
      <c r="C336" s="431">
        <v>330</v>
      </c>
      <c r="D336" s="431">
        <v>325</v>
      </c>
      <c r="E336" s="443" t="s">
        <v>732</v>
      </c>
      <c r="F336" s="443" t="s">
        <v>1078</v>
      </c>
      <c r="G336" s="203">
        <v>-89082.706864000065</v>
      </c>
      <c r="H336" s="457" t="s">
        <v>2509</v>
      </c>
      <c r="K336" s="431">
        <v>330</v>
      </c>
      <c r="L336" s="431">
        <v>325</v>
      </c>
      <c r="M336" s="431"/>
      <c r="N336" s="561" t="s">
        <v>732</v>
      </c>
      <c r="O336" s="582" t="s">
        <v>2352</v>
      </c>
      <c r="P336" s="563">
        <v>1129940.73</v>
      </c>
      <c r="Q336" s="203">
        <v>558507.02</v>
      </c>
      <c r="R336" s="203">
        <v>445322.29</v>
      </c>
      <c r="S336" s="203">
        <v>56699.53</v>
      </c>
      <c r="T336" s="203">
        <v>17906.09</v>
      </c>
      <c r="U336" s="203">
        <v>0</v>
      </c>
      <c r="V336" s="203">
        <v>0</v>
      </c>
      <c r="W336" s="529">
        <v>140588.50686399997</v>
      </c>
      <c r="X336" s="564">
        <v>1078434.9300000002</v>
      </c>
      <c r="Y336" s="203">
        <v>1219023.436864</v>
      </c>
      <c r="Z336" s="203">
        <v>-89082.706864000065</v>
      </c>
      <c r="AA336" s="383">
        <f t="shared" si="5"/>
        <v>0</v>
      </c>
    </row>
  </sheetData>
  <sortState xmlns:xlrd2="http://schemas.microsoft.com/office/spreadsheetml/2017/richdata2" ref="K7:Z336">
    <sortCondition ref="K7:K336"/>
  </sortState>
  <conditionalFormatting sqref="F8">
    <cfRule type="duplicateValues" dxfId="28" priority="29"/>
  </conditionalFormatting>
  <conditionalFormatting sqref="F21">
    <cfRule type="duplicateValues" dxfId="27" priority="28"/>
  </conditionalFormatting>
  <conditionalFormatting sqref="F27">
    <cfRule type="duplicateValues" dxfId="26" priority="27"/>
  </conditionalFormatting>
  <conditionalFormatting sqref="F131">
    <cfRule type="duplicateValues" dxfId="25" priority="26"/>
  </conditionalFormatting>
  <conditionalFormatting sqref="F139">
    <cfRule type="duplicateValues" dxfId="24" priority="25"/>
  </conditionalFormatting>
  <conditionalFormatting sqref="F140">
    <cfRule type="duplicateValues" dxfId="23" priority="24"/>
  </conditionalFormatting>
  <conditionalFormatting sqref="F149">
    <cfRule type="duplicateValues" dxfId="22" priority="23"/>
  </conditionalFormatting>
  <conditionalFormatting sqref="F152">
    <cfRule type="duplicateValues" dxfId="21" priority="22"/>
  </conditionalFormatting>
  <conditionalFormatting sqref="F157">
    <cfRule type="duplicateValues" dxfId="20" priority="21"/>
  </conditionalFormatting>
  <conditionalFormatting sqref="F192">
    <cfRule type="duplicateValues" dxfId="19" priority="20"/>
  </conditionalFormatting>
  <conditionalFormatting sqref="F233">
    <cfRule type="duplicateValues" dxfId="18" priority="19"/>
  </conditionalFormatting>
  <conditionalFormatting sqref="F251">
    <cfRule type="duplicateValues" dxfId="17" priority="18"/>
  </conditionalFormatting>
  <conditionalFormatting sqref="F305">
    <cfRule type="duplicateValues" dxfId="16" priority="17"/>
  </conditionalFormatting>
  <conditionalFormatting sqref="O8">
    <cfRule type="duplicateValues" dxfId="15" priority="15"/>
  </conditionalFormatting>
  <conditionalFormatting sqref="O21">
    <cfRule type="duplicateValues" dxfId="14" priority="14"/>
  </conditionalFormatting>
  <conditionalFormatting sqref="O27">
    <cfRule type="duplicateValues" dxfId="13" priority="13"/>
  </conditionalFormatting>
  <conditionalFormatting sqref="O34">
    <cfRule type="duplicateValues" dxfId="12" priority="12"/>
  </conditionalFormatting>
  <conditionalFormatting sqref="O124">
    <cfRule type="duplicateValues" dxfId="11" priority="11"/>
  </conditionalFormatting>
  <conditionalFormatting sqref="O131">
    <cfRule type="duplicateValues" dxfId="10" priority="10"/>
  </conditionalFormatting>
  <conditionalFormatting sqref="O139:O140">
    <cfRule type="duplicateValues" dxfId="9" priority="9"/>
  </conditionalFormatting>
  <conditionalFormatting sqref="O149">
    <cfRule type="duplicateValues" dxfId="8" priority="8"/>
  </conditionalFormatting>
  <conditionalFormatting sqref="O152">
    <cfRule type="duplicateValues" dxfId="7" priority="7"/>
  </conditionalFormatting>
  <conditionalFormatting sqref="O157">
    <cfRule type="duplicateValues" dxfId="6" priority="6"/>
  </conditionalFormatting>
  <conditionalFormatting sqref="O192">
    <cfRule type="duplicateValues" dxfId="5" priority="5"/>
  </conditionalFormatting>
  <conditionalFormatting sqref="O233">
    <cfRule type="duplicateValues" dxfId="4" priority="4"/>
  </conditionalFormatting>
  <conditionalFormatting sqref="O251">
    <cfRule type="duplicateValues" dxfId="3" priority="3"/>
  </conditionalFormatting>
  <conditionalFormatting sqref="O305:O307">
    <cfRule type="duplicateValues" dxfId="2" priority="2"/>
  </conditionalFormatting>
  <conditionalFormatting sqref="O319">
    <cfRule type="duplicateValues" dxfId="1" priority="1"/>
  </conditionalFormatting>
  <conditionalFormatting sqref="O320:O334 O7 O141:O146 O150:O151 O153:O156 O308:O313 O9:O20 O22:O26 O28:O33 O35:O43 O69 O71:O121 O123 O125:O130 O132:O136 O138 O148 O158:O191 O193:O219 O221:O230 O232 O234:O250 O252:O263 O265:O287 O290:O304 O315:O318 O47:O67">
    <cfRule type="duplicateValues" dxfId="0" priority="16"/>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E26"/>
  <sheetViews>
    <sheetView workbookViewId="0">
      <selection activeCell="E6" sqref="E6"/>
    </sheetView>
  </sheetViews>
  <sheetFormatPr defaultRowHeight="14.4"/>
  <cols>
    <col min="1" max="1" width="37.33203125" bestFit="1" customWidth="1"/>
    <col min="2" max="4" width="12" customWidth="1"/>
  </cols>
  <sheetData>
    <row r="1" spans="1:5">
      <c r="A1" s="679" t="s">
        <v>104</v>
      </c>
      <c r="B1" s="679"/>
      <c r="C1" s="679"/>
      <c r="D1" s="679"/>
      <c r="E1" s="679"/>
    </row>
    <row r="2" spans="1:5">
      <c r="A2" s="679" t="s">
        <v>105</v>
      </c>
      <c r="B2" s="679"/>
      <c r="C2" s="679"/>
      <c r="D2" s="679"/>
      <c r="E2" s="679"/>
    </row>
    <row r="3" spans="1:5">
      <c r="A3" s="6" t="s">
        <v>39</v>
      </c>
    </row>
    <row r="5" spans="1:5">
      <c r="B5" t="s">
        <v>3</v>
      </c>
      <c r="C5" t="s">
        <v>4</v>
      </c>
      <c r="D5" t="s">
        <v>7</v>
      </c>
      <c r="E5" t="s">
        <v>5</v>
      </c>
    </row>
    <row r="6" spans="1:5">
      <c r="A6" s="7" t="s">
        <v>72</v>
      </c>
      <c r="B6" s="20">
        <f>SUM(B7:B26)</f>
        <v>0</v>
      </c>
      <c r="C6" s="20">
        <f>SUM(C7:C26)</f>
        <v>0</v>
      </c>
      <c r="D6" s="20">
        <f>SUM(D7:D26)</f>
        <v>0</v>
      </c>
      <c r="E6" s="65"/>
    </row>
    <row r="7" spans="1:5">
      <c r="A7" s="11" t="s">
        <v>106</v>
      </c>
      <c r="B7" s="18">
        <v>0</v>
      </c>
      <c r="C7" s="18">
        <v>0</v>
      </c>
      <c r="D7" s="18">
        <v>0</v>
      </c>
      <c r="E7" s="62"/>
    </row>
    <row r="8" spans="1:5">
      <c r="B8" s="18"/>
      <c r="C8" s="18"/>
      <c r="D8" s="18"/>
      <c r="E8" s="62"/>
    </row>
    <row r="9" spans="1:5">
      <c r="B9" s="18"/>
      <c r="C9" s="18"/>
      <c r="D9" s="18"/>
      <c r="E9" s="62"/>
    </row>
    <row r="10" spans="1:5">
      <c r="B10" s="18"/>
      <c r="C10" s="18"/>
      <c r="D10" s="18"/>
      <c r="E10" s="62"/>
    </row>
    <row r="11" spans="1:5">
      <c r="B11" s="18"/>
      <c r="C11" s="18"/>
      <c r="D11" s="18"/>
      <c r="E11" s="62"/>
    </row>
    <row r="12" spans="1:5">
      <c r="B12" s="18"/>
      <c r="C12" s="18"/>
      <c r="D12" s="18"/>
      <c r="E12" s="62"/>
    </row>
    <row r="13" spans="1:5">
      <c r="B13" s="18"/>
      <c r="C13" s="18"/>
      <c r="D13" s="18"/>
      <c r="E13" s="62"/>
    </row>
    <row r="14" spans="1:5">
      <c r="B14" s="18"/>
      <c r="C14" s="18"/>
      <c r="D14" s="18"/>
      <c r="E14" s="62"/>
    </row>
    <row r="15" spans="1:5">
      <c r="B15" s="18"/>
      <c r="C15" s="18"/>
      <c r="D15" s="18"/>
      <c r="E15" s="62"/>
    </row>
    <row r="16" spans="1:5">
      <c r="B16" s="18"/>
      <c r="C16" s="18"/>
      <c r="D16" s="18"/>
      <c r="E16" s="62"/>
    </row>
    <row r="17" spans="2:5">
      <c r="B17" s="18"/>
      <c r="C17" s="18"/>
      <c r="D17" s="18"/>
      <c r="E17" s="62"/>
    </row>
    <row r="18" spans="2:5">
      <c r="B18" s="18"/>
      <c r="C18" s="18"/>
      <c r="D18" s="18"/>
      <c r="E18" s="62"/>
    </row>
    <row r="19" spans="2:5">
      <c r="B19" s="18"/>
      <c r="C19" s="18"/>
      <c r="D19" s="18"/>
      <c r="E19" s="62"/>
    </row>
    <row r="20" spans="2:5">
      <c r="B20" s="18"/>
      <c r="C20" s="18"/>
      <c r="D20" s="18"/>
      <c r="E20" s="62"/>
    </row>
    <row r="21" spans="2:5">
      <c r="B21" s="18"/>
      <c r="C21" s="18"/>
      <c r="D21" s="18"/>
      <c r="E21" s="62"/>
    </row>
    <row r="22" spans="2:5">
      <c r="B22" s="18"/>
      <c r="C22" s="18"/>
      <c r="D22" s="18"/>
      <c r="E22" s="62"/>
    </row>
    <row r="23" spans="2:5">
      <c r="B23" s="18"/>
      <c r="C23" s="18"/>
      <c r="D23" s="18"/>
      <c r="E23" s="62"/>
    </row>
    <row r="24" spans="2:5">
      <c r="B24" s="18"/>
      <c r="C24" s="18"/>
      <c r="D24" s="18"/>
      <c r="E24" s="62"/>
    </row>
    <row r="25" spans="2:5">
      <c r="B25" s="18"/>
      <c r="C25" s="18"/>
      <c r="D25" s="18"/>
      <c r="E25" s="62"/>
    </row>
    <row r="26" spans="2:5">
      <c r="B26" s="18"/>
      <c r="C26" s="18"/>
      <c r="D26" s="18"/>
      <c r="E26" s="62"/>
    </row>
  </sheetData>
  <mergeCells count="2">
    <mergeCell ref="A1:E1"/>
    <mergeCell ref="A2:E2"/>
  </mergeCells>
  <hyperlinks>
    <hyperlink ref="A3" location="'Fund Balance Summary'!A1" display="(Return to summary sheet)" xr:uid="{00000000-0004-0000-0E00-000000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E6"/>
  <sheetViews>
    <sheetView workbookViewId="0">
      <selection sqref="A1:E1"/>
    </sheetView>
  </sheetViews>
  <sheetFormatPr defaultRowHeight="14.4"/>
  <cols>
    <col min="1" max="1" width="44.5546875" bestFit="1" customWidth="1"/>
    <col min="2" max="2" width="14.33203125" bestFit="1" customWidth="1"/>
    <col min="3" max="3" width="15.33203125" bestFit="1" customWidth="1"/>
    <col min="4" max="4" width="16.33203125" bestFit="1" customWidth="1"/>
    <col min="5" max="5" width="15.33203125" bestFit="1" customWidth="1"/>
  </cols>
  <sheetData>
    <row r="1" spans="1:5">
      <c r="A1" s="679" t="s">
        <v>108</v>
      </c>
      <c r="B1" s="679"/>
      <c r="C1" s="679"/>
      <c r="D1" s="679"/>
      <c r="E1" s="679"/>
    </row>
    <row r="2" spans="1:5">
      <c r="A2" s="679" t="s">
        <v>109</v>
      </c>
      <c r="B2" s="679"/>
      <c r="C2" s="679"/>
      <c r="D2" s="679"/>
      <c r="E2" s="679"/>
    </row>
    <row r="3" spans="1:5">
      <c r="A3" s="6" t="s">
        <v>39</v>
      </c>
    </row>
    <row r="5" spans="1:5">
      <c r="B5" t="s">
        <v>51</v>
      </c>
      <c r="C5" t="s">
        <v>5</v>
      </c>
      <c r="D5" t="s">
        <v>4</v>
      </c>
      <c r="E5" t="s">
        <v>7</v>
      </c>
    </row>
    <row r="6" spans="1:5">
      <c r="A6" t="s">
        <v>162</v>
      </c>
      <c r="B6" s="23">
        <v>0</v>
      </c>
      <c r="C6" s="23">
        <v>0</v>
      </c>
      <c r="D6" s="23">
        <v>0</v>
      </c>
      <c r="E6" s="23">
        <v>0</v>
      </c>
    </row>
  </sheetData>
  <mergeCells count="2">
    <mergeCell ref="A1:E1"/>
    <mergeCell ref="A2:E2"/>
  </mergeCells>
  <hyperlinks>
    <hyperlink ref="A3" location="'Fund Balance Summary'!A1" display="(Return to summary sheet)" xr:uid="{00000000-0004-0000-0F00-000000000000}"/>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A1:G24"/>
  <sheetViews>
    <sheetView workbookViewId="0">
      <selection activeCell="A3" sqref="A3"/>
    </sheetView>
  </sheetViews>
  <sheetFormatPr defaultRowHeight="14.4"/>
  <cols>
    <col min="1" max="1" width="48" bestFit="1" customWidth="1"/>
    <col min="2" max="2" width="12.5546875" bestFit="1" customWidth="1"/>
    <col min="5" max="5" width="15" customWidth="1"/>
  </cols>
  <sheetData>
    <row r="1" spans="1:7">
      <c r="A1" s="679" t="s">
        <v>0</v>
      </c>
      <c r="B1" s="679"/>
      <c r="C1" s="679"/>
      <c r="D1" s="679"/>
      <c r="E1" s="679"/>
      <c r="F1" s="679"/>
      <c r="G1" s="679"/>
    </row>
    <row r="2" spans="1:7">
      <c r="A2" s="679" t="s">
        <v>90</v>
      </c>
      <c r="B2" s="679"/>
      <c r="C2" s="679"/>
      <c r="D2" s="679"/>
      <c r="E2" s="679"/>
      <c r="F2" s="679"/>
      <c r="G2" s="679"/>
    </row>
    <row r="3" spans="1:7">
      <c r="A3" s="6" t="s">
        <v>39</v>
      </c>
    </row>
    <row r="5" spans="1:7">
      <c r="A5" s="10" t="s">
        <v>51</v>
      </c>
    </row>
    <row r="6" spans="1:7">
      <c r="A6" t="s">
        <v>91</v>
      </c>
      <c r="B6" s="1">
        <v>0</v>
      </c>
    </row>
    <row r="7" spans="1:7">
      <c r="A7" t="s">
        <v>92</v>
      </c>
      <c r="B7" s="1">
        <v>0</v>
      </c>
    </row>
    <row r="8" spans="1:7">
      <c r="A8" t="s">
        <v>93</v>
      </c>
      <c r="B8" s="1">
        <v>0</v>
      </c>
    </row>
    <row r="9" spans="1:7">
      <c r="A9" t="s">
        <v>94</v>
      </c>
      <c r="B9" s="13">
        <f>SUM(B6:B8)</f>
        <v>0</v>
      </c>
    </row>
    <row r="13" spans="1:7">
      <c r="A13" s="10" t="s">
        <v>95</v>
      </c>
    </row>
    <row r="14" spans="1:7">
      <c r="A14" t="s">
        <v>91</v>
      </c>
      <c r="B14" s="1">
        <v>0</v>
      </c>
    </row>
    <row r="15" spans="1:7">
      <c r="A15" t="s">
        <v>93</v>
      </c>
      <c r="B15" s="1">
        <v>0</v>
      </c>
    </row>
    <row r="16" spans="1:7">
      <c r="A16" t="s">
        <v>96</v>
      </c>
      <c r="B16" s="13">
        <f>B14+B15</f>
        <v>0</v>
      </c>
    </row>
    <row r="20" spans="1:2">
      <c r="A20" s="10" t="s">
        <v>98</v>
      </c>
    </row>
    <row r="21" spans="1:2">
      <c r="A21" t="s">
        <v>91</v>
      </c>
      <c r="B21" s="1">
        <v>0</v>
      </c>
    </row>
    <row r="22" spans="1:2">
      <c r="B22" s="1">
        <v>0</v>
      </c>
    </row>
    <row r="23" spans="1:2">
      <c r="A23" t="s">
        <v>93</v>
      </c>
      <c r="B23" s="1">
        <v>0</v>
      </c>
    </row>
    <row r="24" spans="1:2">
      <c r="A24" t="s">
        <v>94</v>
      </c>
      <c r="B24" s="13">
        <f>SUM(B21:B23)</f>
        <v>0</v>
      </c>
    </row>
  </sheetData>
  <mergeCells count="2">
    <mergeCell ref="A1:G1"/>
    <mergeCell ref="A2:G2"/>
  </mergeCells>
  <hyperlinks>
    <hyperlink ref="A3" location="'Fund Balance Summary'!A1" display="(Return to summary sheet)" xr:uid="{00000000-0004-0000-1000-000000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V369"/>
  <sheetViews>
    <sheetView workbookViewId="0">
      <pane ySplit="1" topLeftCell="A302" activePane="bottomLeft" state="frozen"/>
      <selection pane="bottomLeft" activeCell="J330" sqref="J330"/>
    </sheetView>
  </sheetViews>
  <sheetFormatPr defaultRowHeight="14.4"/>
  <cols>
    <col min="1" max="2" width="1.6640625" customWidth="1"/>
    <col min="3" max="3" width="4" bestFit="1" customWidth="1"/>
    <col min="4" max="4" width="6.88671875" style="66" bestFit="1" customWidth="1"/>
    <col min="5" max="5" width="34.88671875" bestFit="1" customWidth="1"/>
    <col min="6" max="6" width="5.21875" bestFit="1" customWidth="1"/>
    <col min="7" max="7" width="7.21875" bestFit="1" customWidth="1"/>
    <col min="8" max="8" width="8.33203125" bestFit="1" customWidth="1"/>
    <col min="9" max="9" width="3.88671875" style="66" customWidth="1"/>
    <col min="11" max="12" width="2" bestFit="1" customWidth="1"/>
    <col min="13" max="13" width="2.5546875" customWidth="1"/>
    <col min="14" max="14" width="2" bestFit="1" customWidth="1"/>
    <col min="15" max="15" width="2.109375" customWidth="1"/>
    <col min="16" max="16" width="6.88671875" bestFit="1" customWidth="1"/>
    <col min="17" max="17" width="42.109375" bestFit="1" customWidth="1"/>
    <col min="18" max="18" width="5.21875" style="24" bestFit="1" customWidth="1"/>
    <col min="19" max="19" width="7.21875" style="25" bestFit="1" customWidth="1"/>
    <col min="20" max="20" width="8.33203125" style="25" bestFit="1" customWidth="1"/>
    <col min="21" max="21" width="4.77734375" style="66" customWidth="1"/>
    <col min="22" max="25" width="3.6640625" customWidth="1"/>
  </cols>
  <sheetData>
    <row r="1" spans="3:22">
      <c r="D1" s="308" t="s">
        <v>79</v>
      </c>
      <c r="E1" s="289" t="s">
        <v>2676</v>
      </c>
      <c r="F1" s="290" t="s">
        <v>739</v>
      </c>
      <c r="G1" s="290" t="s">
        <v>740</v>
      </c>
      <c r="H1" s="291" t="s">
        <v>741</v>
      </c>
      <c r="I1" s="66">
        <f>SUM(I2:I334)</f>
        <v>99</v>
      </c>
      <c r="K1">
        <f>SUM(W2:W334)</f>
        <v>0</v>
      </c>
      <c r="L1">
        <f>SUM(X2:X334)</f>
        <v>0</v>
      </c>
      <c r="M1" s="66"/>
      <c r="P1" s="288" t="s">
        <v>79</v>
      </c>
      <c r="Q1" s="542" t="s">
        <v>2581</v>
      </c>
      <c r="R1" s="290" t="s">
        <v>739</v>
      </c>
      <c r="S1" s="290" t="s">
        <v>740</v>
      </c>
      <c r="T1" s="291" t="s">
        <v>741</v>
      </c>
      <c r="U1" s="66">
        <f>SUM(U2:U334)</f>
        <v>99</v>
      </c>
    </row>
    <row r="2" spans="3:22">
      <c r="C2" s="66">
        <v>1</v>
      </c>
      <c r="D2" s="309" t="s">
        <v>297</v>
      </c>
      <c r="E2" s="139" t="s">
        <v>298</v>
      </c>
      <c r="F2" s="66">
        <v>1</v>
      </c>
      <c r="G2" s="66" t="s">
        <v>773</v>
      </c>
      <c r="H2" s="74" t="s">
        <v>771</v>
      </c>
      <c r="I2" s="307">
        <f t="shared" ref="I2:I65" si="0">IF(+G2="cash",1,0)</f>
        <v>0</v>
      </c>
      <c r="K2" s="66">
        <f t="shared" ref="K2:K65" si="1">+F2-R2</f>
        <v>0</v>
      </c>
      <c r="L2" s="66">
        <f t="shared" ref="L2:L65" si="2">+I2-U2</f>
        <v>0</v>
      </c>
      <c r="M2" s="66"/>
      <c r="N2" s="315">
        <f t="shared" ref="N2:N65" si="3">+P2-D2</f>
        <v>0</v>
      </c>
      <c r="P2" s="292" t="s">
        <v>297</v>
      </c>
      <c r="Q2" s="139" t="s">
        <v>1787</v>
      </c>
      <c r="R2" s="66">
        <v>1</v>
      </c>
      <c r="S2" s="66" t="s">
        <v>773</v>
      </c>
      <c r="T2" s="74" t="s">
        <v>771</v>
      </c>
      <c r="U2" s="307">
        <f t="shared" ref="U2:U65" si="4">IF(+S2="cash",1,0)</f>
        <v>0</v>
      </c>
      <c r="V2" s="161"/>
    </row>
    <row r="3" spans="3:22">
      <c r="C3" s="366">
        <v>2</v>
      </c>
      <c r="D3" s="309" t="s">
        <v>424</v>
      </c>
      <c r="E3" s="139" t="s">
        <v>425</v>
      </c>
      <c r="F3" s="66">
        <v>2</v>
      </c>
      <c r="G3" s="66" t="s">
        <v>773</v>
      </c>
      <c r="H3" s="74" t="s">
        <v>771</v>
      </c>
      <c r="I3" s="307">
        <f t="shared" si="0"/>
        <v>0</v>
      </c>
      <c r="K3" s="66">
        <f t="shared" si="1"/>
        <v>0</v>
      </c>
      <c r="L3" s="66">
        <f t="shared" si="2"/>
        <v>0</v>
      </c>
      <c r="M3" s="66"/>
      <c r="N3" s="315">
        <f t="shared" si="3"/>
        <v>0</v>
      </c>
      <c r="P3" s="292" t="s">
        <v>424</v>
      </c>
      <c r="Q3" s="139" t="s">
        <v>1854</v>
      </c>
      <c r="R3" s="66">
        <v>2</v>
      </c>
      <c r="S3" s="66" t="s">
        <v>773</v>
      </c>
      <c r="T3" s="74" t="s">
        <v>771</v>
      </c>
      <c r="U3" s="307">
        <f t="shared" si="4"/>
        <v>0</v>
      </c>
      <c r="V3" s="161"/>
    </row>
    <row r="4" spans="3:22">
      <c r="C4" s="366">
        <v>3</v>
      </c>
      <c r="D4" s="309" t="s">
        <v>446</v>
      </c>
      <c r="E4" s="139" t="s">
        <v>447</v>
      </c>
      <c r="F4" s="66">
        <v>2</v>
      </c>
      <c r="G4" s="66" t="s">
        <v>770</v>
      </c>
      <c r="H4" s="74" t="s">
        <v>772</v>
      </c>
      <c r="I4" s="307">
        <f t="shared" si="0"/>
        <v>1</v>
      </c>
      <c r="K4" s="66">
        <f t="shared" si="1"/>
        <v>0</v>
      </c>
      <c r="L4" s="66">
        <f t="shared" si="2"/>
        <v>0</v>
      </c>
      <c r="M4" s="66"/>
      <c r="N4" s="315">
        <f t="shared" si="3"/>
        <v>0</v>
      </c>
      <c r="P4" s="292" t="s">
        <v>446</v>
      </c>
      <c r="Q4" s="139" t="s">
        <v>1865</v>
      </c>
      <c r="R4" s="66">
        <v>2</v>
      </c>
      <c r="S4" s="66" t="s">
        <v>770</v>
      </c>
      <c r="T4" s="74" t="s">
        <v>771</v>
      </c>
      <c r="U4" s="307">
        <f t="shared" si="4"/>
        <v>1</v>
      </c>
      <c r="V4" s="161"/>
    </row>
    <row r="5" spans="3:22">
      <c r="C5" s="366">
        <v>4</v>
      </c>
      <c r="D5" s="309" t="s">
        <v>548</v>
      </c>
      <c r="E5" s="139" t="s">
        <v>549</v>
      </c>
      <c r="F5" s="66">
        <v>1</v>
      </c>
      <c r="G5" s="66" t="s">
        <v>773</v>
      </c>
      <c r="H5" s="74" t="s">
        <v>771</v>
      </c>
      <c r="I5" s="307">
        <f t="shared" si="0"/>
        <v>0</v>
      </c>
      <c r="K5" s="66">
        <f t="shared" si="1"/>
        <v>0</v>
      </c>
      <c r="L5" s="66">
        <f t="shared" si="2"/>
        <v>0</v>
      </c>
      <c r="M5" s="66"/>
      <c r="N5" s="315">
        <f t="shared" si="3"/>
        <v>0</v>
      </c>
      <c r="P5" s="292" t="s">
        <v>548</v>
      </c>
      <c r="Q5" s="139" t="s">
        <v>1915</v>
      </c>
      <c r="R5" s="66">
        <v>1</v>
      </c>
      <c r="S5" s="66" t="s">
        <v>773</v>
      </c>
      <c r="T5" s="74" t="s">
        <v>771</v>
      </c>
      <c r="U5" s="307">
        <f t="shared" si="4"/>
        <v>0</v>
      </c>
      <c r="V5" s="161"/>
    </row>
    <row r="6" spans="3:22">
      <c r="C6" s="366">
        <v>5</v>
      </c>
      <c r="D6" s="309" t="s">
        <v>572</v>
      </c>
      <c r="E6" s="139" t="s">
        <v>573</v>
      </c>
      <c r="F6" s="66">
        <v>1</v>
      </c>
      <c r="G6" s="66" t="s">
        <v>773</v>
      </c>
      <c r="H6" s="74" t="s">
        <v>771</v>
      </c>
      <c r="I6" s="307">
        <f t="shared" si="0"/>
        <v>0</v>
      </c>
      <c r="K6" s="66">
        <f t="shared" si="1"/>
        <v>0</v>
      </c>
      <c r="L6" s="66">
        <f t="shared" si="2"/>
        <v>0</v>
      </c>
      <c r="M6" s="66"/>
      <c r="N6" s="315">
        <f t="shared" si="3"/>
        <v>0</v>
      </c>
      <c r="P6" s="292" t="s">
        <v>572</v>
      </c>
      <c r="Q6" s="139" t="s">
        <v>1927</v>
      </c>
      <c r="R6" s="66">
        <v>1</v>
      </c>
      <c r="S6" s="66" t="s">
        <v>773</v>
      </c>
      <c r="T6" s="74" t="s">
        <v>771</v>
      </c>
      <c r="U6" s="307">
        <f t="shared" si="4"/>
        <v>0</v>
      </c>
      <c r="V6" s="161"/>
    </row>
    <row r="7" spans="3:22">
      <c r="C7" s="366">
        <v>6</v>
      </c>
      <c r="D7" s="309" t="s">
        <v>175</v>
      </c>
      <c r="E7" s="139" t="s">
        <v>176</v>
      </c>
      <c r="F7" s="66">
        <v>2</v>
      </c>
      <c r="G7" s="66" t="s">
        <v>770</v>
      </c>
      <c r="H7" s="74" t="s">
        <v>771</v>
      </c>
      <c r="I7" s="307">
        <f t="shared" si="0"/>
        <v>1</v>
      </c>
      <c r="K7" s="66">
        <f t="shared" si="1"/>
        <v>0</v>
      </c>
      <c r="L7" s="66">
        <f t="shared" si="2"/>
        <v>0</v>
      </c>
      <c r="M7" s="66"/>
      <c r="N7" s="315">
        <f t="shared" si="3"/>
        <v>0</v>
      </c>
      <c r="P7" s="292" t="s">
        <v>175</v>
      </c>
      <c r="Q7" s="139" t="s">
        <v>1724</v>
      </c>
      <c r="R7" s="66">
        <v>2</v>
      </c>
      <c r="S7" s="66" t="s">
        <v>770</v>
      </c>
      <c r="T7" s="74" t="s">
        <v>771</v>
      </c>
      <c r="U7" s="307">
        <f t="shared" si="4"/>
        <v>1</v>
      </c>
      <c r="V7" s="161"/>
    </row>
    <row r="8" spans="3:22">
      <c r="C8" s="366">
        <v>7</v>
      </c>
      <c r="D8" s="309" t="s">
        <v>97</v>
      </c>
      <c r="E8" s="139" t="s">
        <v>360</v>
      </c>
      <c r="F8" s="66">
        <v>1</v>
      </c>
      <c r="G8" s="66" t="s">
        <v>773</v>
      </c>
      <c r="H8" s="74" t="s">
        <v>771</v>
      </c>
      <c r="I8" s="307">
        <f t="shared" si="0"/>
        <v>0</v>
      </c>
      <c r="K8" s="66">
        <f t="shared" si="1"/>
        <v>0</v>
      </c>
      <c r="L8" s="66">
        <f t="shared" si="2"/>
        <v>0</v>
      </c>
      <c r="M8" s="66"/>
      <c r="N8" s="315">
        <f t="shared" si="3"/>
        <v>0</v>
      </c>
      <c r="P8" s="292" t="s">
        <v>97</v>
      </c>
      <c r="Q8" s="139" t="s">
        <v>1819</v>
      </c>
      <c r="R8" s="66">
        <v>1</v>
      </c>
      <c r="S8" s="66" t="s">
        <v>773</v>
      </c>
      <c r="T8" s="74" t="s">
        <v>771</v>
      </c>
      <c r="U8" s="307">
        <f t="shared" si="4"/>
        <v>0</v>
      </c>
      <c r="V8" s="161"/>
    </row>
    <row r="9" spans="3:22">
      <c r="C9" s="366">
        <v>8</v>
      </c>
      <c r="D9" s="309" t="s">
        <v>376</v>
      </c>
      <c r="E9" s="139" t="s">
        <v>377</v>
      </c>
      <c r="F9" s="66">
        <v>1</v>
      </c>
      <c r="G9" s="66" t="s">
        <v>773</v>
      </c>
      <c r="H9" s="74" t="s">
        <v>771</v>
      </c>
      <c r="I9" s="307">
        <f t="shared" si="0"/>
        <v>0</v>
      </c>
      <c r="K9" s="66">
        <f t="shared" si="1"/>
        <v>0</v>
      </c>
      <c r="L9" s="66">
        <f t="shared" si="2"/>
        <v>0</v>
      </c>
      <c r="M9" s="66"/>
      <c r="N9" s="315">
        <f t="shared" si="3"/>
        <v>0</v>
      </c>
      <c r="P9" s="292" t="s">
        <v>376</v>
      </c>
      <c r="Q9" s="139" t="s">
        <v>1829</v>
      </c>
      <c r="R9" s="66">
        <v>1</v>
      </c>
      <c r="S9" s="66" t="s">
        <v>773</v>
      </c>
      <c r="T9" s="74" t="s">
        <v>771</v>
      </c>
      <c r="U9" s="307">
        <f t="shared" si="4"/>
        <v>0</v>
      </c>
      <c r="V9" s="161"/>
    </row>
    <row r="10" spans="3:22">
      <c r="C10" s="366">
        <v>9</v>
      </c>
      <c r="D10" s="309" t="s">
        <v>225</v>
      </c>
      <c r="E10" s="139" t="s">
        <v>226</v>
      </c>
      <c r="F10" s="66">
        <v>1</v>
      </c>
      <c r="G10" s="66" t="s">
        <v>773</v>
      </c>
      <c r="H10" s="74" t="s">
        <v>771</v>
      </c>
      <c r="I10" s="307">
        <f t="shared" si="0"/>
        <v>0</v>
      </c>
      <c r="K10" s="66">
        <f t="shared" si="1"/>
        <v>0</v>
      </c>
      <c r="L10" s="66">
        <f t="shared" si="2"/>
        <v>0</v>
      </c>
      <c r="M10" s="66"/>
      <c r="N10" s="315">
        <f t="shared" si="3"/>
        <v>0</v>
      </c>
      <c r="P10" s="292" t="s">
        <v>225</v>
      </c>
      <c r="Q10" s="139" t="s">
        <v>1751</v>
      </c>
      <c r="R10" s="66">
        <v>1</v>
      </c>
      <c r="S10" s="66" t="s">
        <v>773</v>
      </c>
      <c r="T10" s="74" t="s">
        <v>771</v>
      </c>
      <c r="U10" s="307">
        <f t="shared" si="4"/>
        <v>0</v>
      </c>
      <c r="V10" s="161"/>
    </row>
    <row r="11" spans="3:22">
      <c r="C11" s="366">
        <v>10</v>
      </c>
      <c r="D11" s="309" t="s">
        <v>354</v>
      </c>
      <c r="E11" s="139" t="s">
        <v>355</v>
      </c>
      <c r="F11" s="66">
        <v>1</v>
      </c>
      <c r="G11" s="66" t="s">
        <v>773</v>
      </c>
      <c r="H11" s="74" t="s">
        <v>771</v>
      </c>
      <c r="I11" s="307">
        <f t="shared" si="0"/>
        <v>0</v>
      </c>
      <c r="K11" s="66">
        <f t="shared" si="1"/>
        <v>0</v>
      </c>
      <c r="L11" s="66">
        <f t="shared" si="2"/>
        <v>0</v>
      </c>
      <c r="M11" s="66"/>
      <c r="N11" s="315">
        <f t="shared" si="3"/>
        <v>0</v>
      </c>
      <c r="P11" s="292" t="s">
        <v>354</v>
      </c>
      <c r="Q11" s="139" t="s">
        <v>1816</v>
      </c>
      <c r="R11" s="66">
        <v>1</v>
      </c>
      <c r="S11" s="66" t="s">
        <v>773</v>
      </c>
      <c r="T11" s="74" t="s">
        <v>771</v>
      </c>
      <c r="U11" s="307">
        <f t="shared" si="4"/>
        <v>0</v>
      </c>
      <c r="V11" s="161"/>
    </row>
    <row r="12" spans="3:22">
      <c r="C12" s="366">
        <v>11</v>
      </c>
      <c r="D12" s="309" t="s">
        <v>671</v>
      </c>
      <c r="E12" s="139" t="s">
        <v>672</v>
      </c>
      <c r="F12" s="66">
        <v>1</v>
      </c>
      <c r="G12" s="66" t="s">
        <v>773</v>
      </c>
      <c r="H12" s="74" t="s">
        <v>771</v>
      </c>
      <c r="I12" s="307">
        <f t="shared" si="0"/>
        <v>0</v>
      </c>
      <c r="K12" s="66">
        <f t="shared" si="1"/>
        <v>0</v>
      </c>
      <c r="L12" s="66">
        <f t="shared" si="2"/>
        <v>0</v>
      </c>
      <c r="M12" s="66"/>
      <c r="N12" s="315">
        <f t="shared" si="3"/>
        <v>0</v>
      </c>
      <c r="P12" s="292" t="s">
        <v>671</v>
      </c>
      <c r="Q12" s="139" t="s">
        <v>1980</v>
      </c>
      <c r="R12" s="66">
        <v>1</v>
      </c>
      <c r="S12" s="66" t="s">
        <v>773</v>
      </c>
      <c r="T12" s="74" t="s">
        <v>771</v>
      </c>
      <c r="U12" s="307">
        <f t="shared" si="4"/>
        <v>0</v>
      </c>
      <c r="V12" s="161"/>
    </row>
    <row r="13" spans="3:22">
      <c r="C13" s="366">
        <v>12</v>
      </c>
      <c r="D13" s="309" t="s">
        <v>165</v>
      </c>
      <c r="E13" s="139" t="s">
        <v>166</v>
      </c>
      <c r="F13" s="66">
        <v>2</v>
      </c>
      <c r="G13" s="66" t="s">
        <v>770</v>
      </c>
      <c r="H13" s="74" t="s">
        <v>772</v>
      </c>
      <c r="I13" s="307">
        <f t="shared" si="0"/>
        <v>1</v>
      </c>
      <c r="K13" s="66">
        <f t="shared" si="1"/>
        <v>0</v>
      </c>
      <c r="L13" s="66">
        <f t="shared" si="2"/>
        <v>0</v>
      </c>
      <c r="M13" s="66"/>
      <c r="N13" s="315">
        <f t="shared" si="3"/>
        <v>0</v>
      </c>
      <c r="P13" s="292" t="s">
        <v>165</v>
      </c>
      <c r="Q13" s="139" t="s">
        <v>1719</v>
      </c>
      <c r="R13" s="66">
        <v>2</v>
      </c>
      <c r="S13" s="66" t="s">
        <v>770</v>
      </c>
      <c r="T13" s="74" t="s">
        <v>772</v>
      </c>
      <c r="U13" s="307">
        <f t="shared" si="4"/>
        <v>1</v>
      </c>
      <c r="V13" s="161"/>
    </row>
    <row r="14" spans="3:22">
      <c r="C14" s="366">
        <v>13</v>
      </c>
      <c r="D14" s="309" t="s">
        <v>527</v>
      </c>
      <c r="E14" s="139" t="s">
        <v>528</v>
      </c>
      <c r="F14" s="66">
        <v>1</v>
      </c>
      <c r="G14" s="66" t="s">
        <v>773</v>
      </c>
      <c r="H14" s="74" t="s">
        <v>771</v>
      </c>
      <c r="I14" s="307">
        <f t="shared" si="0"/>
        <v>0</v>
      </c>
      <c r="K14" s="66">
        <f t="shared" si="1"/>
        <v>0</v>
      </c>
      <c r="L14" s="66">
        <f t="shared" si="2"/>
        <v>0</v>
      </c>
      <c r="M14" s="66"/>
      <c r="N14" s="315">
        <f t="shared" si="3"/>
        <v>0</v>
      </c>
      <c r="P14" s="292" t="s">
        <v>527</v>
      </c>
      <c r="Q14" s="139" t="s">
        <v>1904</v>
      </c>
      <c r="R14" s="66">
        <v>1</v>
      </c>
      <c r="S14" s="66" t="s">
        <v>773</v>
      </c>
      <c r="T14" s="74" t="s">
        <v>771</v>
      </c>
      <c r="U14" s="307">
        <f t="shared" si="4"/>
        <v>0</v>
      </c>
      <c r="V14" s="161"/>
    </row>
    <row r="15" spans="3:22">
      <c r="C15" s="366">
        <v>14</v>
      </c>
      <c r="D15" s="309" t="s">
        <v>398</v>
      </c>
      <c r="E15" s="139" t="s">
        <v>399</v>
      </c>
      <c r="F15" s="66">
        <v>2</v>
      </c>
      <c r="G15" s="66" t="s">
        <v>770</v>
      </c>
      <c r="H15" s="74" t="s">
        <v>771</v>
      </c>
      <c r="I15" s="307">
        <f t="shared" si="0"/>
        <v>1</v>
      </c>
      <c r="K15" s="66">
        <f t="shared" si="1"/>
        <v>0</v>
      </c>
      <c r="L15" s="66">
        <f t="shared" si="2"/>
        <v>0</v>
      </c>
      <c r="M15" s="66"/>
      <c r="N15" s="315">
        <f t="shared" si="3"/>
        <v>0</v>
      </c>
      <c r="P15" s="292" t="s">
        <v>398</v>
      </c>
      <c r="Q15" s="139" t="s">
        <v>1841</v>
      </c>
      <c r="R15" s="66">
        <v>2</v>
      </c>
      <c r="S15" s="66" t="s">
        <v>770</v>
      </c>
      <c r="T15" s="74" t="s">
        <v>771</v>
      </c>
      <c r="U15" s="307">
        <f t="shared" si="4"/>
        <v>1</v>
      </c>
      <c r="V15" s="161"/>
    </row>
    <row r="16" spans="3:22">
      <c r="C16" s="366">
        <v>15</v>
      </c>
      <c r="D16" s="309" t="s">
        <v>675</v>
      </c>
      <c r="E16" s="139" t="s">
        <v>676</v>
      </c>
      <c r="F16" s="66">
        <v>1</v>
      </c>
      <c r="G16" s="66" t="s">
        <v>773</v>
      </c>
      <c r="H16" s="74" t="s">
        <v>771</v>
      </c>
      <c r="I16" s="307">
        <f t="shared" si="0"/>
        <v>0</v>
      </c>
      <c r="K16" s="66">
        <f t="shared" si="1"/>
        <v>0</v>
      </c>
      <c r="L16" s="66">
        <f t="shared" si="2"/>
        <v>0</v>
      </c>
      <c r="M16" s="66"/>
      <c r="N16" s="315">
        <f t="shared" si="3"/>
        <v>0</v>
      </c>
      <c r="P16" s="292" t="s">
        <v>675</v>
      </c>
      <c r="Q16" s="139" t="s">
        <v>1982</v>
      </c>
      <c r="R16" s="66">
        <v>1</v>
      </c>
      <c r="S16" s="66" t="s">
        <v>773</v>
      </c>
      <c r="T16" s="74" t="s">
        <v>771</v>
      </c>
      <c r="U16" s="307">
        <f t="shared" si="4"/>
        <v>0</v>
      </c>
      <c r="V16" s="161"/>
    </row>
    <row r="17" spans="3:22">
      <c r="C17" s="366">
        <v>16</v>
      </c>
      <c r="D17" s="309" t="s">
        <v>428</v>
      </c>
      <c r="E17" s="139" t="s">
        <v>429</v>
      </c>
      <c r="F17" s="66">
        <v>2</v>
      </c>
      <c r="G17" s="66" t="s">
        <v>770</v>
      </c>
      <c r="H17" s="74" t="s">
        <v>772</v>
      </c>
      <c r="I17" s="307">
        <f t="shared" si="0"/>
        <v>1</v>
      </c>
      <c r="K17" s="66">
        <f t="shared" si="1"/>
        <v>0</v>
      </c>
      <c r="L17" s="66">
        <f t="shared" si="2"/>
        <v>0</v>
      </c>
      <c r="M17" s="66"/>
      <c r="N17" s="315">
        <f t="shared" si="3"/>
        <v>0</v>
      </c>
      <c r="P17" s="292" t="s">
        <v>428</v>
      </c>
      <c r="Q17" s="139" t="s">
        <v>1856</v>
      </c>
      <c r="R17" s="66">
        <v>2</v>
      </c>
      <c r="S17" s="66" t="s">
        <v>770</v>
      </c>
      <c r="T17" s="74" t="s">
        <v>771</v>
      </c>
      <c r="U17" s="307">
        <f t="shared" si="4"/>
        <v>1</v>
      </c>
      <c r="V17" s="161"/>
    </row>
    <row r="18" spans="3:22">
      <c r="C18" s="366">
        <v>17</v>
      </c>
      <c r="D18" s="309" t="s">
        <v>374</v>
      </c>
      <c r="E18" s="139" t="s">
        <v>375</v>
      </c>
      <c r="F18" s="66">
        <v>1</v>
      </c>
      <c r="G18" s="66" t="s">
        <v>773</v>
      </c>
      <c r="H18" s="74" t="s">
        <v>771</v>
      </c>
      <c r="I18" s="307">
        <f t="shared" si="0"/>
        <v>0</v>
      </c>
      <c r="K18" s="66">
        <f t="shared" si="1"/>
        <v>0</v>
      </c>
      <c r="L18" s="66">
        <f t="shared" si="2"/>
        <v>0</v>
      </c>
      <c r="M18" s="66"/>
      <c r="N18" s="315">
        <f t="shared" si="3"/>
        <v>0</v>
      </c>
      <c r="P18" s="292" t="s">
        <v>374</v>
      </c>
      <c r="Q18" s="139" t="s">
        <v>1828</v>
      </c>
      <c r="R18" s="66">
        <v>1</v>
      </c>
      <c r="S18" s="66" t="s">
        <v>773</v>
      </c>
      <c r="T18" s="74" t="s">
        <v>771</v>
      </c>
      <c r="U18" s="307">
        <f t="shared" si="4"/>
        <v>0</v>
      </c>
      <c r="V18" s="161"/>
    </row>
    <row r="19" spans="3:22">
      <c r="C19" s="366">
        <v>18</v>
      </c>
      <c r="D19" s="309" t="s">
        <v>478</v>
      </c>
      <c r="E19" s="139" t="s">
        <v>479</v>
      </c>
      <c r="F19" s="66">
        <v>2</v>
      </c>
      <c r="G19" s="66" t="s">
        <v>773</v>
      </c>
      <c r="H19" s="74" t="s">
        <v>771</v>
      </c>
      <c r="I19" s="307">
        <f t="shared" si="0"/>
        <v>0</v>
      </c>
      <c r="K19" s="66">
        <f t="shared" si="1"/>
        <v>0</v>
      </c>
      <c r="L19" s="66">
        <f t="shared" si="2"/>
        <v>0</v>
      </c>
      <c r="M19" s="66"/>
      <c r="N19" s="315">
        <f t="shared" si="3"/>
        <v>0</v>
      </c>
      <c r="P19" s="292" t="s">
        <v>478</v>
      </c>
      <c r="Q19" s="139" t="s">
        <v>1880</v>
      </c>
      <c r="R19" s="66">
        <v>2</v>
      </c>
      <c r="S19" s="66" t="s">
        <v>773</v>
      </c>
      <c r="T19" s="74" t="s">
        <v>771</v>
      </c>
      <c r="U19" s="307">
        <f t="shared" si="4"/>
        <v>0</v>
      </c>
      <c r="V19" s="161"/>
    </row>
    <row r="20" spans="3:22">
      <c r="C20" s="366">
        <v>19</v>
      </c>
      <c r="D20" s="309" t="s">
        <v>247</v>
      </c>
      <c r="E20" s="139" t="s">
        <v>248</v>
      </c>
      <c r="F20" s="66">
        <v>2</v>
      </c>
      <c r="G20" s="66" t="s">
        <v>773</v>
      </c>
      <c r="H20" s="74" t="s">
        <v>771</v>
      </c>
      <c r="I20" s="307">
        <f t="shared" si="0"/>
        <v>0</v>
      </c>
      <c r="K20" s="66">
        <f t="shared" si="1"/>
        <v>0</v>
      </c>
      <c r="L20" s="66">
        <f t="shared" si="2"/>
        <v>0</v>
      </c>
      <c r="M20" s="66"/>
      <c r="N20" s="315">
        <f t="shared" si="3"/>
        <v>0</v>
      </c>
      <c r="P20" s="292" t="s">
        <v>247</v>
      </c>
      <c r="Q20" s="139" t="s">
        <v>1762</v>
      </c>
      <c r="R20" s="66">
        <v>2</v>
      </c>
      <c r="S20" s="66" t="s">
        <v>773</v>
      </c>
      <c r="T20" s="74" t="s">
        <v>771</v>
      </c>
      <c r="U20" s="307">
        <f t="shared" si="4"/>
        <v>0</v>
      </c>
      <c r="V20" s="161"/>
    </row>
    <row r="21" spans="3:22">
      <c r="C21" s="366">
        <v>20</v>
      </c>
      <c r="D21" s="309" t="s">
        <v>330</v>
      </c>
      <c r="E21" s="139" t="s">
        <v>331</v>
      </c>
      <c r="F21" s="66">
        <v>2</v>
      </c>
      <c r="G21" s="66" t="s">
        <v>770</v>
      </c>
      <c r="H21" s="74" t="s">
        <v>772</v>
      </c>
      <c r="I21" s="307">
        <f t="shared" si="0"/>
        <v>1</v>
      </c>
      <c r="K21" s="66">
        <f t="shared" si="1"/>
        <v>0</v>
      </c>
      <c r="L21" s="66">
        <f t="shared" si="2"/>
        <v>0</v>
      </c>
      <c r="M21" s="66"/>
      <c r="N21" s="315">
        <f t="shared" si="3"/>
        <v>0</v>
      </c>
      <c r="P21" s="292" t="s">
        <v>330</v>
      </c>
      <c r="Q21" s="139" t="s">
        <v>1804</v>
      </c>
      <c r="R21" s="66">
        <v>2</v>
      </c>
      <c r="S21" s="66" t="s">
        <v>770</v>
      </c>
      <c r="T21" s="74" t="s">
        <v>772</v>
      </c>
      <c r="U21" s="307">
        <f t="shared" si="4"/>
        <v>1</v>
      </c>
      <c r="V21" s="161"/>
    </row>
    <row r="22" spans="3:22">
      <c r="C22" s="366">
        <v>21</v>
      </c>
      <c r="D22" s="309" t="s">
        <v>545</v>
      </c>
      <c r="E22" s="139" t="s">
        <v>1136</v>
      </c>
      <c r="F22" s="66">
        <v>1</v>
      </c>
      <c r="G22" s="66" t="s">
        <v>773</v>
      </c>
      <c r="H22" s="74" t="s">
        <v>771</v>
      </c>
      <c r="I22" s="307">
        <f t="shared" si="0"/>
        <v>0</v>
      </c>
      <c r="K22" s="66">
        <f t="shared" si="1"/>
        <v>0</v>
      </c>
      <c r="L22" s="66">
        <f t="shared" si="2"/>
        <v>0</v>
      </c>
      <c r="M22" s="66"/>
      <c r="N22" s="315">
        <f t="shared" si="3"/>
        <v>0</v>
      </c>
      <c r="P22" s="292" t="s">
        <v>545</v>
      </c>
      <c r="Q22" s="139" t="s">
        <v>1913</v>
      </c>
      <c r="R22" s="66">
        <v>1</v>
      </c>
      <c r="S22" s="66" t="s">
        <v>773</v>
      </c>
      <c r="T22" s="74" t="s">
        <v>771</v>
      </c>
      <c r="U22" s="307">
        <f t="shared" si="4"/>
        <v>0</v>
      </c>
      <c r="V22" s="161"/>
    </row>
    <row r="23" spans="3:22">
      <c r="C23" s="366">
        <v>22</v>
      </c>
      <c r="D23" s="309" t="s">
        <v>223</v>
      </c>
      <c r="E23" s="139" t="s">
        <v>224</v>
      </c>
      <c r="F23" s="66">
        <v>1</v>
      </c>
      <c r="G23" s="66" t="s">
        <v>773</v>
      </c>
      <c r="H23" s="74" t="s">
        <v>771</v>
      </c>
      <c r="I23" s="307">
        <f t="shared" si="0"/>
        <v>0</v>
      </c>
      <c r="K23" s="66">
        <f t="shared" si="1"/>
        <v>0</v>
      </c>
      <c r="L23" s="66">
        <f t="shared" si="2"/>
        <v>0</v>
      </c>
      <c r="M23" s="66"/>
      <c r="N23" s="315">
        <f t="shared" si="3"/>
        <v>0</v>
      </c>
      <c r="P23" s="292" t="s">
        <v>223</v>
      </c>
      <c r="Q23" s="139" t="s">
        <v>1750</v>
      </c>
      <c r="R23" s="66">
        <v>1</v>
      </c>
      <c r="S23" s="66" t="s">
        <v>773</v>
      </c>
      <c r="T23" s="74" t="s">
        <v>771</v>
      </c>
      <c r="U23" s="307">
        <f t="shared" si="4"/>
        <v>0</v>
      </c>
      <c r="V23" s="161"/>
    </row>
    <row r="24" spans="3:22">
      <c r="C24" s="366">
        <v>23</v>
      </c>
      <c r="D24" s="309" t="s">
        <v>209</v>
      </c>
      <c r="E24" s="139" t="s">
        <v>210</v>
      </c>
      <c r="F24" s="66">
        <v>2</v>
      </c>
      <c r="G24" s="66" t="s">
        <v>773</v>
      </c>
      <c r="H24" s="74" t="s">
        <v>771</v>
      </c>
      <c r="I24" s="307">
        <f t="shared" si="0"/>
        <v>0</v>
      </c>
      <c r="K24" s="66">
        <f t="shared" si="1"/>
        <v>0</v>
      </c>
      <c r="L24" s="66">
        <f t="shared" si="2"/>
        <v>0</v>
      </c>
      <c r="M24" s="66"/>
      <c r="N24" s="315">
        <f t="shared" si="3"/>
        <v>0</v>
      </c>
      <c r="P24" s="292" t="s">
        <v>209</v>
      </c>
      <c r="Q24" s="139" t="s">
        <v>1741</v>
      </c>
      <c r="R24" s="66">
        <v>2</v>
      </c>
      <c r="S24" s="66" t="s">
        <v>773</v>
      </c>
      <c r="T24" s="74" t="s">
        <v>771</v>
      </c>
      <c r="U24" s="307">
        <f t="shared" si="4"/>
        <v>0</v>
      </c>
      <c r="V24" s="161"/>
    </row>
    <row r="25" spans="3:22">
      <c r="C25" s="366">
        <v>24</v>
      </c>
      <c r="D25" s="309" t="s">
        <v>511</v>
      </c>
      <c r="E25" s="139" t="s">
        <v>512</v>
      </c>
      <c r="F25" s="66">
        <v>2</v>
      </c>
      <c r="G25" s="66" t="s">
        <v>770</v>
      </c>
      <c r="H25" s="74" t="s">
        <v>772</v>
      </c>
      <c r="I25" s="307">
        <f t="shared" si="0"/>
        <v>1</v>
      </c>
      <c r="K25" s="66">
        <f t="shared" si="1"/>
        <v>0</v>
      </c>
      <c r="L25" s="66">
        <f t="shared" si="2"/>
        <v>0</v>
      </c>
      <c r="M25" s="66"/>
      <c r="N25" s="315">
        <f t="shared" si="3"/>
        <v>0</v>
      </c>
      <c r="P25" s="292" t="s">
        <v>511</v>
      </c>
      <c r="Q25" s="139" t="s">
        <v>1897</v>
      </c>
      <c r="R25" s="66">
        <v>2</v>
      </c>
      <c r="S25" s="66" t="s">
        <v>770</v>
      </c>
      <c r="T25" s="74" t="s">
        <v>772</v>
      </c>
      <c r="U25" s="307">
        <f t="shared" si="4"/>
        <v>1</v>
      </c>
      <c r="V25" s="161"/>
    </row>
    <row r="26" spans="3:22">
      <c r="C26" s="366">
        <v>25</v>
      </c>
      <c r="D26" s="309" t="s">
        <v>199</v>
      </c>
      <c r="E26" s="139" t="s">
        <v>200</v>
      </c>
      <c r="F26" s="66">
        <v>2</v>
      </c>
      <c r="G26" s="66" t="s">
        <v>773</v>
      </c>
      <c r="H26" s="74" t="s">
        <v>771</v>
      </c>
      <c r="I26" s="307">
        <f t="shared" si="0"/>
        <v>0</v>
      </c>
      <c r="K26" s="66">
        <f t="shared" si="1"/>
        <v>0</v>
      </c>
      <c r="L26" s="66">
        <f t="shared" si="2"/>
        <v>0</v>
      </c>
      <c r="M26" s="66"/>
      <c r="N26" s="315">
        <f t="shared" si="3"/>
        <v>0</v>
      </c>
      <c r="P26" s="292" t="s">
        <v>199</v>
      </c>
      <c r="Q26" s="139" t="s">
        <v>1736</v>
      </c>
      <c r="R26" s="66">
        <v>2</v>
      </c>
      <c r="S26" s="66" t="s">
        <v>773</v>
      </c>
      <c r="T26" s="74" t="s">
        <v>771</v>
      </c>
      <c r="U26" s="307">
        <f t="shared" si="4"/>
        <v>0</v>
      </c>
      <c r="V26" s="161"/>
    </row>
    <row r="27" spans="3:22">
      <c r="C27" s="366">
        <v>26</v>
      </c>
      <c r="D27" s="309" t="s">
        <v>197</v>
      </c>
      <c r="E27" s="139" t="s">
        <v>198</v>
      </c>
      <c r="F27" s="66">
        <v>2</v>
      </c>
      <c r="G27" s="66" t="s">
        <v>773</v>
      </c>
      <c r="H27" s="74" t="s">
        <v>771</v>
      </c>
      <c r="I27" s="307">
        <f t="shared" si="0"/>
        <v>0</v>
      </c>
      <c r="K27" s="66">
        <f t="shared" si="1"/>
        <v>0</v>
      </c>
      <c r="L27" s="66">
        <f t="shared" si="2"/>
        <v>0</v>
      </c>
      <c r="M27" s="66"/>
      <c r="N27" s="315">
        <f t="shared" si="3"/>
        <v>0</v>
      </c>
      <c r="P27" s="292" t="s">
        <v>197</v>
      </c>
      <c r="Q27" s="139" t="s">
        <v>2576</v>
      </c>
      <c r="R27" s="66">
        <v>2</v>
      </c>
      <c r="S27" s="66" t="s">
        <v>773</v>
      </c>
      <c r="T27" s="74" t="s">
        <v>771</v>
      </c>
      <c r="U27" s="307">
        <f t="shared" si="4"/>
        <v>0</v>
      </c>
      <c r="V27" s="161"/>
    </row>
    <row r="28" spans="3:22">
      <c r="C28" s="366">
        <v>27</v>
      </c>
      <c r="D28" s="309" t="s">
        <v>237</v>
      </c>
      <c r="E28" s="139" t="s">
        <v>238</v>
      </c>
      <c r="F28" s="66">
        <v>2</v>
      </c>
      <c r="G28" s="66" t="s">
        <v>773</v>
      </c>
      <c r="H28" s="74" t="s">
        <v>771</v>
      </c>
      <c r="I28" s="307">
        <f t="shared" si="0"/>
        <v>0</v>
      </c>
      <c r="K28" s="66">
        <f t="shared" si="1"/>
        <v>0</v>
      </c>
      <c r="L28" s="66">
        <f t="shared" si="2"/>
        <v>0</v>
      </c>
      <c r="M28" s="66"/>
      <c r="N28" s="315">
        <f t="shared" si="3"/>
        <v>0</v>
      </c>
      <c r="P28" s="292" t="s">
        <v>237</v>
      </c>
      <c r="Q28" s="139" t="s">
        <v>1757</v>
      </c>
      <c r="R28" s="66">
        <v>2</v>
      </c>
      <c r="S28" s="66" t="s">
        <v>773</v>
      </c>
      <c r="T28" s="74" t="s">
        <v>771</v>
      </c>
      <c r="U28" s="307">
        <f t="shared" si="4"/>
        <v>0</v>
      </c>
      <c r="V28" s="161"/>
    </row>
    <row r="29" spans="3:22">
      <c r="C29" s="366">
        <v>28</v>
      </c>
      <c r="D29" s="310" t="s">
        <v>1623</v>
      </c>
      <c r="E29" s="73" t="s">
        <v>1630</v>
      </c>
      <c r="F29" s="66">
        <v>2</v>
      </c>
      <c r="G29" s="66" t="s">
        <v>773</v>
      </c>
      <c r="H29" s="74" t="s">
        <v>771</v>
      </c>
      <c r="I29" s="307">
        <f t="shared" si="0"/>
        <v>0</v>
      </c>
      <c r="K29" s="66">
        <f t="shared" si="1"/>
        <v>0</v>
      </c>
      <c r="L29" s="66">
        <f t="shared" si="2"/>
        <v>0</v>
      </c>
      <c r="M29" s="66"/>
      <c r="N29" s="315">
        <f t="shared" si="3"/>
        <v>0</v>
      </c>
      <c r="P29" s="172" t="s">
        <v>1623</v>
      </c>
      <c r="Q29" s="73" t="s">
        <v>2023</v>
      </c>
      <c r="R29" s="66">
        <v>2</v>
      </c>
      <c r="S29" s="66" t="s">
        <v>773</v>
      </c>
      <c r="T29" s="74" t="s">
        <v>771</v>
      </c>
      <c r="U29" s="307">
        <f t="shared" si="4"/>
        <v>0</v>
      </c>
      <c r="V29" s="161"/>
    </row>
    <row r="30" spans="3:22">
      <c r="C30" s="366">
        <v>29</v>
      </c>
      <c r="D30" s="309" t="s">
        <v>400</v>
      </c>
      <c r="E30" s="139" t="s">
        <v>401</v>
      </c>
      <c r="F30" s="66">
        <v>2</v>
      </c>
      <c r="G30" s="66" t="s">
        <v>770</v>
      </c>
      <c r="H30" s="74" t="s">
        <v>772</v>
      </c>
      <c r="I30" s="307">
        <f t="shared" si="0"/>
        <v>1</v>
      </c>
      <c r="K30" s="66">
        <f t="shared" si="1"/>
        <v>0</v>
      </c>
      <c r="L30" s="66">
        <f t="shared" si="2"/>
        <v>0</v>
      </c>
      <c r="M30" s="66"/>
      <c r="N30" s="315">
        <f t="shared" si="3"/>
        <v>0</v>
      </c>
      <c r="P30" s="292" t="s">
        <v>400</v>
      </c>
      <c r="Q30" s="139" t="s">
        <v>1842</v>
      </c>
      <c r="R30" s="66">
        <v>2</v>
      </c>
      <c r="S30" s="66" t="s">
        <v>770</v>
      </c>
      <c r="T30" s="74" t="s">
        <v>772</v>
      </c>
      <c r="U30" s="307">
        <f t="shared" si="4"/>
        <v>1</v>
      </c>
      <c r="V30" s="161"/>
    </row>
    <row r="31" spans="3:22">
      <c r="C31" s="366">
        <v>30</v>
      </c>
      <c r="D31" s="309" t="s">
        <v>380</v>
      </c>
      <c r="E31" s="139" t="s">
        <v>381</v>
      </c>
      <c r="F31" s="66">
        <v>1</v>
      </c>
      <c r="G31" s="66" t="s">
        <v>773</v>
      </c>
      <c r="H31" s="74" t="s">
        <v>771</v>
      </c>
      <c r="I31" s="307">
        <f t="shared" si="0"/>
        <v>0</v>
      </c>
      <c r="K31" s="66">
        <f t="shared" si="1"/>
        <v>0</v>
      </c>
      <c r="L31" s="66">
        <f t="shared" si="2"/>
        <v>0</v>
      </c>
      <c r="M31" s="66"/>
      <c r="N31" s="315">
        <f t="shared" si="3"/>
        <v>0</v>
      </c>
      <c r="P31" s="292" t="s">
        <v>380</v>
      </c>
      <c r="Q31" s="139" t="s">
        <v>1831</v>
      </c>
      <c r="R31" s="66">
        <v>1</v>
      </c>
      <c r="S31" s="66" t="s">
        <v>773</v>
      </c>
      <c r="T31" s="74" t="s">
        <v>771</v>
      </c>
      <c r="U31" s="307">
        <f t="shared" si="4"/>
        <v>0</v>
      </c>
      <c r="V31" s="161"/>
    </row>
    <row r="32" spans="3:22">
      <c r="C32" s="366">
        <v>31</v>
      </c>
      <c r="D32" s="309" t="s">
        <v>604</v>
      </c>
      <c r="E32" s="139" t="s">
        <v>605</v>
      </c>
      <c r="F32" s="66">
        <v>1</v>
      </c>
      <c r="G32" s="66" t="s">
        <v>773</v>
      </c>
      <c r="H32" s="74" t="s">
        <v>771</v>
      </c>
      <c r="I32" s="307">
        <f t="shared" si="0"/>
        <v>0</v>
      </c>
      <c r="K32" s="66">
        <f t="shared" si="1"/>
        <v>0</v>
      </c>
      <c r="L32" s="66">
        <f t="shared" si="2"/>
        <v>0</v>
      </c>
      <c r="M32" s="66"/>
      <c r="N32" s="315">
        <f t="shared" si="3"/>
        <v>0</v>
      </c>
      <c r="P32" s="292" t="s">
        <v>604</v>
      </c>
      <c r="Q32" s="139" t="s">
        <v>1943</v>
      </c>
      <c r="R32" s="66">
        <v>1</v>
      </c>
      <c r="S32" s="66" t="s">
        <v>773</v>
      </c>
      <c r="T32" s="74" t="s">
        <v>771</v>
      </c>
      <c r="U32" s="307">
        <f t="shared" si="4"/>
        <v>0</v>
      </c>
      <c r="V32" s="161"/>
    </row>
    <row r="33" spans="3:22">
      <c r="C33" s="366">
        <v>32</v>
      </c>
      <c r="D33" s="309" t="s">
        <v>440</v>
      </c>
      <c r="E33" s="139" t="s">
        <v>441</v>
      </c>
      <c r="F33" s="66">
        <v>1</v>
      </c>
      <c r="G33" s="66" t="s">
        <v>773</v>
      </c>
      <c r="H33" s="74" t="s">
        <v>771</v>
      </c>
      <c r="I33" s="307">
        <f t="shared" si="0"/>
        <v>0</v>
      </c>
      <c r="K33" s="66">
        <f t="shared" si="1"/>
        <v>0</v>
      </c>
      <c r="L33" s="66">
        <f t="shared" si="2"/>
        <v>0</v>
      </c>
      <c r="M33" s="66"/>
      <c r="N33" s="315">
        <f t="shared" si="3"/>
        <v>0</v>
      </c>
      <c r="P33" s="292" t="s">
        <v>440</v>
      </c>
      <c r="Q33" s="139" t="s">
        <v>1862</v>
      </c>
      <c r="R33" s="66">
        <v>1</v>
      </c>
      <c r="S33" s="66" t="s">
        <v>773</v>
      </c>
      <c r="T33" s="74" t="s">
        <v>771</v>
      </c>
      <c r="U33" s="307">
        <f t="shared" si="4"/>
        <v>0</v>
      </c>
      <c r="V33" s="161"/>
    </row>
    <row r="34" spans="3:22">
      <c r="C34" s="366">
        <v>33</v>
      </c>
      <c r="D34" s="309" t="s">
        <v>436</v>
      </c>
      <c r="E34" s="139" t="s">
        <v>437</v>
      </c>
      <c r="F34" s="66">
        <v>1</v>
      </c>
      <c r="G34" s="66" t="s">
        <v>773</v>
      </c>
      <c r="H34" s="74" t="s">
        <v>771</v>
      </c>
      <c r="I34" s="307">
        <f t="shared" si="0"/>
        <v>0</v>
      </c>
      <c r="K34" s="66">
        <f t="shared" si="1"/>
        <v>0</v>
      </c>
      <c r="L34" s="66">
        <f t="shared" si="2"/>
        <v>0</v>
      </c>
      <c r="M34" s="66"/>
      <c r="N34" s="315">
        <f t="shared" si="3"/>
        <v>0</v>
      </c>
      <c r="P34" s="292" t="s">
        <v>436</v>
      </c>
      <c r="Q34" s="139" t="s">
        <v>1860</v>
      </c>
      <c r="R34" s="66">
        <v>1</v>
      </c>
      <c r="S34" s="66" t="s">
        <v>773</v>
      </c>
      <c r="T34" s="74" t="s">
        <v>771</v>
      </c>
      <c r="U34" s="307">
        <f t="shared" si="4"/>
        <v>0</v>
      </c>
      <c r="V34" s="161"/>
    </row>
    <row r="35" spans="3:22">
      <c r="C35" s="366">
        <v>34</v>
      </c>
      <c r="D35" s="309" t="s">
        <v>608</v>
      </c>
      <c r="E35" s="139" t="s">
        <v>609</v>
      </c>
      <c r="F35" s="66">
        <v>1</v>
      </c>
      <c r="G35" s="66" t="s">
        <v>773</v>
      </c>
      <c r="H35" s="74" t="s">
        <v>771</v>
      </c>
      <c r="I35" s="307">
        <f t="shared" si="0"/>
        <v>0</v>
      </c>
      <c r="K35" s="66">
        <f t="shared" si="1"/>
        <v>0</v>
      </c>
      <c r="L35" s="66">
        <f t="shared" si="2"/>
        <v>0</v>
      </c>
      <c r="M35" s="66"/>
      <c r="N35" s="315">
        <f t="shared" si="3"/>
        <v>0</v>
      </c>
      <c r="P35" s="292" t="s">
        <v>608</v>
      </c>
      <c r="Q35" s="139" t="s">
        <v>1945</v>
      </c>
      <c r="R35" s="66">
        <v>1</v>
      </c>
      <c r="S35" s="66" t="s">
        <v>773</v>
      </c>
      <c r="T35" s="74" t="s">
        <v>771</v>
      </c>
      <c r="U35" s="307">
        <f t="shared" si="4"/>
        <v>0</v>
      </c>
      <c r="V35" s="161"/>
    </row>
    <row r="36" spans="3:22">
      <c r="C36" s="366">
        <v>35</v>
      </c>
      <c r="D36" s="309" t="s">
        <v>620</v>
      </c>
      <c r="E36" s="139" t="s">
        <v>621</v>
      </c>
      <c r="F36" s="66">
        <v>2</v>
      </c>
      <c r="G36" s="66" t="s">
        <v>773</v>
      </c>
      <c r="H36" s="74" t="s">
        <v>771</v>
      </c>
      <c r="I36" s="307">
        <f t="shared" si="0"/>
        <v>0</v>
      </c>
      <c r="K36" s="66">
        <f t="shared" si="1"/>
        <v>0</v>
      </c>
      <c r="L36" s="66">
        <f t="shared" si="2"/>
        <v>0</v>
      </c>
      <c r="M36" s="66"/>
      <c r="N36" s="315">
        <f t="shared" si="3"/>
        <v>0</v>
      </c>
      <c r="P36" s="292" t="s">
        <v>620</v>
      </c>
      <c r="Q36" s="139" t="s">
        <v>1952</v>
      </c>
      <c r="R36" s="66">
        <v>2</v>
      </c>
      <c r="S36" s="66" t="s">
        <v>773</v>
      </c>
      <c r="T36" s="74" t="s">
        <v>771</v>
      </c>
      <c r="U36" s="307">
        <f t="shared" si="4"/>
        <v>0</v>
      </c>
      <c r="V36" s="161"/>
    </row>
    <row r="37" spans="3:22">
      <c r="C37" s="366">
        <v>36</v>
      </c>
      <c r="D37" s="311" t="s">
        <v>1553</v>
      </c>
      <c r="E37" s="294" t="s">
        <v>1594</v>
      </c>
      <c r="F37" s="66">
        <v>2</v>
      </c>
      <c r="G37" s="66" t="s">
        <v>773</v>
      </c>
      <c r="H37" s="74" t="s">
        <v>771</v>
      </c>
      <c r="I37" s="307">
        <f t="shared" si="0"/>
        <v>0</v>
      </c>
      <c r="K37" s="66">
        <f t="shared" si="1"/>
        <v>0</v>
      </c>
      <c r="L37" s="66">
        <f t="shared" si="2"/>
        <v>0</v>
      </c>
      <c r="M37" s="66"/>
      <c r="N37" s="315">
        <f t="shared" si="3"/>
        <v>0</v>
      </c>
      <c r="P37" s="293" t="s">
        <v>1553</v>
      </c>
      <c r="Q37" s="294" t="s">
        <v>1908</v>
      </c>
      <c r="R37" s="66">
        <v>2</v>
      </c>
      <c r="S37" s="66" t="s">
        <v>773</v>
      </c>
      <c r="T37" s="74" t="s">
        <v>771</v>
      </c>
      <c r="U37" s="307">
        <f t="shared" si="4"/>
        <v>0</v>
      </c>
      <c r="V37" s="161"/>
    </row>
    <row r="38" spans="3:22">
      <c r="C38" s="366">
        <v>37</v>
      </c>
      <c r="D38" s="309" t="s">
        <v>334</v>
      </c>
      <c r="E38" s="139" t="s">
        <v>335</v>
      </c>
      <c r="F38" s="66">
        <v>2</v>
      </c>
      <c r="G38" s="66" t="s">
        <v>773</v>
      </c>
      <c r="H38" s="74" t="s">
        <v>771</v>
      </c>
      <c r="I38" s="307">
        <f t="shared" si="0"/>
        <v>0</v>
      </c>
      <c r="K38" s="66">
        <f t="shared" si="1"/>
        <v>0</v>
      </c>
      <c r="L38" s="66">
        <f t="shared" si="2"/>
        <v>0</v>
      </c>
      <c r="M38" s="66"/>
      <c r="N38" s="315">
        <f t="shared" si="3"/>
        <v>0</v>
      </c>
      <c r="P38" s="292" t="s">
        <v>334</v>
      </c>
      <c r="Q38" s="139" t="s">
        <v>1806</v>
      </c>
      <c r="R38" s="66">
        <v>2</v>
      </c>
      <c r="S38" s="66" t="s">
        <v>773</v>
      </c>
      <c r="T38" s="74" t="s">
        <v>771</v>
      </c>
      <c r="U38" s="307">
        <f t="shared" si="4"/>
        <v>0</v>
      </c>
      <c r="V38" s="161"/>
    </row>
    <row r="39" spans="3:22">
      <c r="C39" s="366">
        <v>38</v>
      </c>
      <c r="D39" s="309" t="s">
        <v>173</v>
      </c>
      <c r="E39" s="139" t="s">
        <v>174</v>
      </c>
      <c r="F39" s="66">
        <v>1</v>
      </c>
      <c r="G39" s="66" t="s">
        <v>773</v>
      </c>
      <c r="H39" s="74" t="s">
        <v>771</v>
      </c>
      <c r="I39" s="307">
        <f t="shared" si="0"/>
        <v>0</v>
      </c>
      <c r="K39" s="66">
        <f t="shared" si="1"/>
        <v>0</v>
      </c>
      <c r="L39" s="66">
        <f t="shared" si="2"/>
        <v>0</v>
      </c>
      <c r="M39" s="66"/>
      <c r="N39" s="315">
        <f t="shared" si="3"/>
        <v>0</v>
      </c>
      <c r="P39" s="292" t="s">
        <v>173</v>
      </c>
      <c r="Q39" s="139" t="s">
        <v>1723</v>
      </c>
      <c r="R39" s="66">
        <v>1</v>
      </c>
      <c r="S39" s="66" t="s">
        <v>773</v>
      </c>
      <c r="T39" s="74" t="s">
        <v>771</v>
      </c>
      <c r="U39" s="307">
        <f t="shared" si="4"/>
        <v>0</v>
      </c>
      <c r="V39" s="161"/>
    </row>
    <row r="40" spans="3:22">
      <c r="C40" s="366">
        <v>39</v>
      </c>
      <c r="D40" s="309" t="s">
        <v>394</v>
      </c>
      <c r="E40" s="139" t="s">
        <v>395</v>
      </c>
      <c r="F40" s="66">
        <v>2</v>
      </c>
      <c r="G40" s="66" t="s">
        <v>773</v>
      </c>
      <c r="H40" s="74" t="s">
        <v>771</v>
      </c>
      <c r="I40" s="307">
        <f t="shared" si="0"/>
        <v>0</v>
      </c>
      <c r="K40" s="66">
        <f t="shared" si="1"/>
        <v>0</v>
      </c>
      <c r="L40" s="66">
        <f t="shared" si="2"/>
        <v>0</v>
      </c>
      <c r="M40" s="66"/>
      <c r="N40" s="315">
        <f t="shared" si="3"/>
        <v>0</v>
      </c>
      <c r="P40" s="292" t="s">
        <v>394</v>
      </c>
      <c r="Q40" s="139" t="s">
        <v>1839</v>
      </c>
      <c r="R40" s="66">
        <v>2</v>
      </c>
      <c r="S40" s="66" t="s">
        <v>773</v>
      </c>
      <c r="T40" s="74" t="s">
        <v>771</v>
      </c>
      <c r="U40" s="307">
        <f t="shared" si="4"/>
        <v>0</v>
      </c>
      <c r="V40" s="161"/>
    </row>
    <row r="41" spans="3:22">
      <c r="C41" s="366">
        <v>40</v>
      </c>
      <c r="D41" s="309" t="s">
        <v>521</v>
      </c>
      <c r="E41" s="139" t="s">
        <v>522</v>
      </c>
      <c r="F41" s="66">
        <v>1</v>
      </c>
      <c r="G41" s="66" t="s">
        <v>773</v>
      </c>
      <c r="H41" s="74" t="s">
        <v>771</v>
      </c>
      <c r="I41" s="307">
        <f t="shared" si="0"/>
        <v>0</v>
      </c>
      <c r="K41" s="66">
        <f t="shared" si="1"/>
        <v>0</v>
      </c>
      <c r="L41" s="66">
        <f t="shared" si="2"/>
        <v>0</v>
      </c>
      <c r="M41" s="66"/>
      <c r="N41" s="315">
        <f t="shared" si="3"/>
        <v>0</v>
      </c>
      <c r="P41" s="292" t="s">
        <v>521</v>
      </c>
      <c r="Q41" s="139" t="s">
        <v>1901</v>
      </c>
      <c r="R41" s="66">
        <v>1</v>
      </c>
      <c r="S41" s="66" t="s">
        <v>773</v>
      </c>
      <c r="T41" s="74" t="s">
        <v>771</v>
      </c>
      <c r="U41" s="307">
        <f t="shared" si="4"/>
        <v>0</v>
      </c>
      <c r="V41" s="161"/>
    </row>
    <row r="42" spans="3:22">
      <c r="C42" s="366">
        <v>41</v>
      </c>
      <c r="D42" s="309" t="s">
        <v>693</v>
      </c>
      <c r="E42" s="139" t="s">
        <v>694</v>
      </c>
      <c r="F42" s="66">
        <v>2</v>
      </c>
      <c r="G42" s="66" t="s">
        <v>770</v>
      </c>
      <c r="H42" s="74" t="s">
        <v>771</v>
      </c>
      <c r="I42" s="307">
        <f t="shared" si="0"/>
        <v>1</v>
      </c>
      <c r="K42" s="66">
        <f t="shared" si="1"/>
        <v>0</v>
      </c>
      <c r="L42" s="66">
        <f t="shared" si="2"/>
        <v>0</v>
      </c>
      <c r="M42" s="66"/>
      <c r="N42" s="315">
        <f t="shared" si="3"/>
        <v>0</v>
      </c>
      <c r="P42" s="292" t="s">
        <v>693</v>
      </c>
      <c r="Q42" s="139" t="s">
        <v>1992</v>
      </c>
      <c r="R42" s="66">
        <v>2</v>
      </c>
      <c r="S42" s="66" t="s">
        <v>770</v>
      </c>
      <c r="T42" s="74" t="s">
        <v>771</v>
      </c>
      <c r="U42" s="307">
        <f t="shared" si="4"/>
        <v>1</v>
      </c>
      <c r="V42" s="161"/>
    </row>
    <row r="43" spans="3:22">
      <c r="C43" s="366">
        <v>42</v>
      </c>
      <c r="D43" s="309" t="s">
        <v>662</v>
      </c>
      <c r="E43" s="139" t="s">
        <v>663</v>
      </c>
      <c r="F43" s="66">
        <v>2</v>
      </c>
      <c r="G43" s="66" t="s">
        <v>773</v>
      </c>
      <c r="H43" s="74" t="s">
        <v>772</v>
      </c>
      <c r="I43" s="307">
        <f t="shared" si="0"/>
        <v>0</v>
      </c>
      <c r="K43" s="66">
        <f t="shared" si="1"/>
        <v>0</v>
      </c>
      <c r="L43" s="66">
        <f t="shared" si="2"/>
        <v>0</v>
      </c>
      <c r="M43" s="66"/>
      <c r="N43" s="315">
        <f t="shared" si="3"/>
        <v>0</v>
      </c>
      <c r="P43" s="292" t="s">
        <v>662</v>
      </c>
      <c r="Q43" s="139" t="s">
        <v>1975</v>
      </c>
      <c r="R43" s="66">
        <v>2</v>
      </c>
      <c r="S43" s="66" t="s">
        <v>773</v>
      </c>
      <c r="T43" s="74" t="s">
        <v>771</v>
      </c>
      <c r="U43" s="307">
        <f t="shared" si="4"/>
        <v>0</v>
      </c>
      <c r="V43" s="161"/>
    </row>
    <row r="44" spans="3:22">
      <c r="C44" s="366">
        <v>43</v>
      </c>
      <c r="D44" s="309" t="s">
        <v>701</v>
      </c>
      <c r="E44" s="139" t="s">
        <v>702</v>
      </c>
      <c r="F44" s="66">
        <v>2</v>
      </c>
      <c r="G44" s="66" t="s">
        <v>770</v>
      </c>
      <c r="H44" s="74" t="s">
        <v>771</v>
      </c>
      <c r="I44" s="307">
        <f t="shared" si="0"/>
        <v>1</v>
      </c>
      <c r="K44" s="66">
        <f t="shared" si="1"/>
        <v>0</v>
      </c>
      <c r="L44" s="66">
        <f t="shared" si="2"/>
        <v>0</v>
      </c>
      <c r="M44" s="66"/>
      <c r="N44" s="315">
        <f t="shared" si="3"/>
        <v>0</v>
      </c>
      <c r="P44" s="292" t="s">
        <v>701</v>
      </c>
      <c r="Q44" s="139" t="s">
        <v>1996</v>
      </c>
      <c r="R44" s="66">
        <v>2</v>
      </c>
      <c r="S44" s="66" t="s">
        <v>770</v>
      </c>
      <c r="T44" s="74" t="s">
        <v>771</v>
      </c>
      <c r="U44" s="307">
        <f t="shared" si="4"/>
        <v>1</v>
      </c>
      <c r="V44" s="161"/>
    </row>
    <row r="45" spans="3:22">
      <c r="C45" s="366">
        <v>44</v>
      </c>
      <c r="D45" s="309" t="s">
        <v>633</v>
      </c>
      <c r="E45" s="139" t="s">
        <v>805</v>
      </c>
      <c r="F45" s="66">
        <v>2</v>
      </c>
      <c r="G45" s="66" t="s">
        <v>770</v>
      </c>
      <c r="H45" s="74" t="s">
        <v>771</v>
      </c>
      <c r="I45" s="307">
        <f t="shared" si="0"/>
        <v>1</v>
      </c>
      <c r="K45" s="66">
        <f t="shared" si="1"/>
        <v>0</v>
      </c>
      <c r="L45" s="66">
        <f t="shared" si="2"/>
        <v>0</v>
      </c>
      <c r="M45" s="66"/>
      <c r="N45" s="315">
        <f t="shared" si="3"/>
        <v>0</v>
      </c>
      <c r="P45" s="292" t="s">
        <v>633</v>
      </c>
      <c r="Q45" s="139" t="s">
        <v>1959</v>
      </c>
      <c r="R45" s="66">
        <v>2</v>
      </c>
      <c r="S45" s="66" t="s">
        <v>770</v>
      </c>
      <c r="T45" s="74" t="s">
        <v>771</v>
      </c>
      <c r="U45" s="307">
        <f t="shared" si="4"/>
        <v>1</v>
      </c>
      <c r="V45" s="161"/>
    </row>
    <row r="46" spans="3:22">
      <c r="C46" s="366">
        <v>45</v>
      </c>
      <c r="D46" s="309" t="s">
        <v>666</v>
      </c>
      <c r="E46" s="139" t="s">
        <v>806</v>
      </c>
      <c r="F46" s="66">
        <v>2</v>
      </c>
      <c r="G46" s="66" t="s">
        <v>773</v>
      </c>
      <c r="H46" s="74" t="s">
        <v>771</v>
      </c>
      <c r="I46" s="307">
        <f t="shared" si="0"/>
        <v>0</v>
      </c>
      <c r="K46" s="66">
        <f t="shared" si="1"/>
        <v>0</v>
      </c>
      <c r="L46" s="66">
        <f t="shared" si="2"/>
        <v>0</v>
      </c>
      <c r="M46" s="66"/>
      <c r="N46" s="315">
        <f t="shared" si="3"/>
        <v>0</v>
      </c>
      <c r="P46" s="292" t="s">
        <v>666</v>
      </c>
      <c r="Q46" s="139" t="s">
        <v>1977</v>
      </c>
      <c r="R46" s="66">
        <v>2</v>
      </c>
      <c r="S46" s="66" t="s">
        <v>773</v>
      </c>
      <c r="T46" s="74" t="s">
        <v>771</v>
      </c>
      <c r="U46" s="307">
        <f t="shared" si="4"/>
        <v>0</v>
      </c>
      <c r="V46" s="161"/>
    </row>
    <row r="47" spans="3:22">
      <c r="C47" s="366">
        <v>46</v>
      </c>
      <c r="D47" s="309" t="s">
        <v>626</v>
      </c>
      <c r="E47" s="139" t="s">
        <v>627</v>
      </c>
      <c r="F47" s="66">
        <v>2</v>
      </c>
      <c r="G47" s="66" t="s">
        <v>773</v>
      </c>
      <c r="H47" s="74" t="s">
        <v>771</v>
      </c>
      <c r="I47" s="307">
        <f t="shared" si="0"/>
        <v>0</v>
      </c>
      <c r="K47" s="66">
        <f t="shared" si="1"/>
        <v>0</v>
      </c>
      <c r="L47" s="66">
        <f t="shared" si="2"/>
        <v>0</v>
      </c>
      <c r="M47" s="66"/>
      <c r="N47" s="315">
        <f t="shared" si="3"/>
        <v>0</v>
      </c>
      <c r="P47" s="292" t="s">
        <v>626</v>
      </c>
      <c r="Q47" s="139" t="s">
        <v>1955</v>
      </c>
      <c r="R47" s="66">
        <v>2</v>
      </c>
      <c r="S47" s="66" t="s">
        <v>773</v>
      </c>
      <c r="T47" s="74" t="s">
        <v>771</v>
      </c>
      <c r="U47" s="307">
        <f t="shared" si="4"/>
        <v>0</v>
      </c>
      <c r="V47" s="161"/>
    </row>
    <row r="48" spans="3:22">
      <c r="C48" s="366">
        <v>47</v>
      </c>
      <c r="D48" s="309" t="s">
        <v>543</v>
      </c>
      <c r="E48" s="139" t="s">
        <v>544</v>
      </c>
      <c r="F48" s="66">
        <v>2</v>
      </c>
      <c r="G48" s="66" t="s">
        <v>773</v>
      </c>
      <c r="H48" s="74" t="s">
        <v>771</v>
      </c>
      <c r="I48" s="307">
        <f t="shared" si="0"/>
        <v>0</v>
      </c>
      <c r="K48" s="66">
        <f t="shared" si="1"/>
        <v>0</v>
      </c>
      <c r="L48" s="66">
        <f t="shared" si="2"/>
        <v>0</v>
      </c>
      <c r="M48" s="66"/>
      <c r="N48" s="315">
        <f t="shared" si="3"/>
        <v>0</v>
      </c>
      <c r="P48" s="292" t="s">
        <v>543</v>
      </c>
      <c r="Q48" s="139" t="s">
        <v>1912</v>
      </c>
      <c r="R48" s="66">
        <v>2</v>
      </c>
      <c r="S48" s="66" t="s">
        <v>773</v>
      </c>
      <c r="T48" s="74" t="s">
        <v>771</v>
      </c>
      <c r="U48" s="307">
        <f t="shared" si="4"/>
        <v>0</v>
      </c>
      <c r="V48" s="161"/>
    </row>
    <row r="49" spans="3:22">
      <c r="C49" s="366">
        <v>48</v>
      </c>
      <c r="D49" s="309" t="s">
        <v>552</v>
      </c>
      <c r="E49" s="139" t="s">
        <v>553</v>
      </c>
      <c r="F49" s="66">
        <v>2</v>
      </c>
      <c r="G49" s="66" t="s">
        <v>773</v>
      </c>
      <c r="H49" s="74" t="s">
        <v>772</v>
      </c>
      <c r="I49" s="307">
        <f t="shared" si="0"/>
        <v>0</v>
      </c>
      <c r="K49" s="66">
        <f t="shared" si="1"/>
        <v>0</v>
      </c>
      <c r="L49" s="66">
        <f t="shared" si="2"/>
        <v>0</v>
      </c>
      <c r="M49" s="66"/>
      <c r="N49" s="315">
        <f t="shared" si="3"/>
        <v>0</v>
      </c>
      <c r="P49" s="292" t="s">
        <v>552</v>
      </c>
      <c r="Q49" s="139" t="s">
        <v>1917</v>
      </c>
      <c r="R49" s="66">
        <v>2</v>
      </c>
      <c r="S49" s="66" t="s">
        <v>773</v>
      </c>
      <c r="T49" s="74" t="s">
        <v>772</v>
      </c>
      <c r="U49" s="307">
        <f t="shared" si="4"/>
        <v>0</v>
      </c>
      <c r="V49" s="161"/>
    </row>
    <row r="50" spans="3:22">
      <c r="C50" s="366">
        <v>49</v>
      </c>
      <c r="D50" s="309" t="s">
        <v>312</v>
      </c>
      <c r="E50" s="139" t="s">
        <v>313</v>
      </c>
      <c r="F50" s="66">
        <v>2</v>
      </c>
      <c r="G50" s="66" t="s">
        <v>770</v>
      </c>
      <c r="H50" s="74" t="s">
        <v>772</v>
      </c>
      <c r="I50" s="307">
        <f t="shared" si="0"/>
        <v>1</v>
      </c>
      <c r="K50" s="66">
        <f t="shared" si="1"/>
        <v>0</v>
      </c>
      <c r="L50" s="66">
        <f t="shared" si="2"/>
        <v>0</v>
      </c>
      <c r="M50" s="66"/>
      <c r="N50" s="315">
        <f t="shared" si="3"/>
        <v>0</v>
      </c>
      <c r="P50" s="292" t="s">
        <v>312</v>
      </c>
      <c r="Q50" s="139" t="s">
        <v>1795</v>
      </c>
      <c r="R50" s="66">
        <v>2</v>
      </c>
      <c r="S50" s="66" t="s">
        <v>770</v>
      </c>
      <c r="T50" s="74" t="s">
        <v>772</v>
      </c>
      <c r="U50" s="307">
        <f t="shared" si="4"/>
        <v>1</v>
      </c>
      <c r="V50" s="161"/>
    </row>
    <row r="51" spans="3:22">
      <c r="C51" s="366">
        <v>50</v>
      </c>
      <c r="D51" s="309" t="s">
        <v>283</v>
      </c>
      <c r="E51" s="139" t="s">
        <v>284</v>
      </c>
      <c r="F51" s="66">
        <v>2</v>
      </c>
      <c r="G51" s="66" t="s">
        <v>770</v>
      </c>
      <c r="H51" s="74" t="s">
        <v>771</v>
      </c>
      <c r="I51" s="307">
        <f t="shared" si="0"/>
        <v>1</v>
      </c>
      <c r="K51" s="66">
        <f t="shared" si="1"/>
        <v>0</v>
      </c>
      <c r="L51" s="66">
        <f t="shared" si="2"/>
        <v>0</v>
      </c>
      <c r="M51" s="66"/>
      <c r="N51" s="315">
        <f t="shared" si="3"/>
        <v>0</v>
      </c>
      <c r="P51" s="292" t="s">
        <v>283</v>
      </c>
      <c r="Q51" s="139" t="s">
        <v>1780</v>
      </c>
      <c r="R51" s="66">
        <v>2</v>
      </c>
      <c r="S51" s="66" t="s">
        <v>770</v>
      </c>
      <c r="T51" s="74" t="s">
        <v>771</v>
      </c>
      <c r="U51" s="307">
        <f t="shared" si="4"/>
        <v>1</v>
      </c>
      <c r="V51" s="161"/>
    </row>
    <row r="52" spans="3:22">
      <c r="C52" s="366">
        <v>51</v>
      </c>
      <c r="D52" s="309" t="s">
        <v>324</v>
      </c>
      <c r="E52" s="139" t="s">
        <v>325</v>
      </c>
      <c r="F52" s="66">
        <v>2</v>
      </c>
      <c r="G52" s="66" t="s">
        <v>773</v>
      </c>
      <c r="H52" s="74" t="s">
        <v>771</v>
      </c>
      <c r="I52" s="307">
        <f t="shared" si="0"/>
        <v>0</v>
      </c>
      <c r="K52" s="66">
        <f t="shared" si="1"/>
        <v>0</v>
      </c>
      <c r="L52" s="66">
        <f t="shared" si="2"/>
        <v>0</v>
      </c>
      <c r="M52" s="66"/>
      <c r="N52" s="315">
        <f t="shared" si="3"/>
        <v>0</v>
      </c>
      <c r="P52" s="292" t="s">
        <v>324</v>
      </c>
      <c r="Q52" s="139" t="s">
        <v>1801</v>
      </c>
      <c r="R52" s="66">
        <v>2</v>
      </c>
      <c r="S52" s="66" t="s">
        <v>773</v>
      </c>
      <c r="T52" s="74" t="s">
        <v>771</v>
      </c>
      <c r="U52" s="307">
        <f t="shared" si="4"/>
        <v>0</v>
      </c>
      <c r="V52" s="161"/>
    </row>
    <row r="53" spans="3:22">
      <c r="C53" s="366">
        <v>52</v>
      </c>
      <c r="D53" s="309" t="s">
        <v>205</v>
      </c>
      <c r="E53" s="139" t="s">
        <v>206</v>
      </c>
      <c r="F53" s="66">
        <v>2</v>
      </c>
      <c r="G53" s="66" t="s">
        <v>773</v>
      </c>
      <c r="H53" s="74" t="s">
        <v>771</v>
      </c>
      <c r="I53" s="307">
        <f t="shared" si="0"/>
        <v>0</v>
      </c>
      <c r="K53" s="66">
        <f t="shared" si="1"/>
        <v>0</v>
      </c>
      <c r="L53" s="66">
        <f t="shared" si="2"/>
        <v>0</v>
      </c>
      <c r="M53" s="66"/>
      <c r="N53" s="315">
        <f t="shared" si="3"/>
        <v>0</v>
      </c>
      <c r="P53" s="292" t="s">
        <v>205</v>
      </c>
      <c r="Q53" s="139" t="s">
        <v>1739</v>
      </c>
      <c r="R53" s="66">
        <v>2</v>
      </c>
      <c r="S53" s="66" t="s">
        <v>773</v>
      </c>
      <c r="T53" s="74" t="s">
        <v>771</v>
      </c>
      <c r="U53" s="307">
        <f t="shared" si="4"/>
        <v>0</v>
      </c>
      <c r="V53" s="161"/>
    </row>
    <row r="54" spans="3:22">
      <c r="C54" s="366">
        <v>53</v>
      </c>
      <c r="D54" s="309" t="s">
        <v>448</v>
      </c>
      <c r="E54" s="139" t="s">
        <v>449</v>
      </c>
      <c r="F54" s="66">
        <v>2</v>
      </c>
      <c r="G54" s="66" t="s">
        <v>770</v>
      </c>
      <c r="H54" s="74" t="s">
        <v>771</v>
      </c>
      <c r="I54" s="307">
        <f t="shared" si="0"/>
        <v>1</v>
      </c>
      <c r="K54" s="66">
        <f t="shared" si="1"/>
        <v>0</v>
      </c>
      <c r="L54" s="66">
        <f t="shared" si="2"/>
        <v>0</v>
      </c>
      <c r="M54" s="66"/>
      <c r="N54" s="315">
        <f t="shared" si="3"/>
        <v>0</v>
      </c>
      <c r="P54" s="292" t="s">
        <v>448</v>
      </c>
      <c r="Q54" s="139" t="s">
        <v>1866</v>
      </c>
      <c r="R54" s="66">
        <v>2</v>
      </c>
      <c r="S54" s="66" t="s">
        <v>770</v>
      </c>
      <c r="T54" s="74" t="s">
        <v>771</v>
      </c>
      <c r="U54" s="307">
        <f t="shared" si="4"/>
        <v>1</v>
      </c>
      <c r="V54" s="161"/>
    </row>
    <row r="55" spans="3:22">
      <c r="C55" s="366">
        <v>54</v>
      </c>
      <c r="D55" s="309" t="s">
        <v>259</v>
      </c>
      <c r="E55" s="139" t="s">
        <v>260</v>
      </c>
      <c r="F55" s="66">
        <v>2</v>
      </c>
      <c r="G55" s="66" t="s">
        <v>770</v>
      </c>
      <c r="H55" s="74" t="s">
        <v>771</v>
      </c>
      <c r="I55" s="307">
        <f t="shared" si="0"/>
        <v>1</v>
      </c>
      <c r="K55" s="66">
        <f t="shared" si="1"/>
        <v>0</v>
      </c>
      <c r="L55" s="66">
        <f t="shared" si="2"/>
        <v>0</v>
      </c>
      <c r="M55" s="66"/>
      <c r="N55" s="315">
        <f t="shared" si="3"/>
        <v>0</v>
      </c>
      <c r="P55" s="292" t="s">
        <v>259</v>
      </c>
      <c r="Q55" s="139" t="s">
        <v>1768</v>
      </c>
      <c r="R55" s="66">
        <v>2</v>
      </c>
      <c r="S55" s="66" t="s">
        <v>770</v>
      </c>
      <c r="T55" s="74" t="s">
        <v>771</v>
      </c>
      <c r="U55" s="307">
        <f t="shared" si="4"/>
        <v>1</v>
      </c>
      <c r="V55" s="161"/>
    </row>
    <row r="56" spans="3:22">
      <c r="C56" s="366">
        <v>55</v>
      </c>
      <c r="D56" s="309" t="s">
        <v>501</v>
      </c>
      <c r="E56" s="139" t="s">
        <v>502</v>
      </c>
      <c r="F56" s="66">
        <v>2</v>
      </c>
      <c r="G56" s="66" t="s">
        <v>770</v>
      </c>
      <c r="H56" s="74" t="s">
        <v>771</v>
      </c>
      <c r="I56" s="307">
        <f t="shared" si="0"/>
        <v>1</v>
      </c>
      <c r="K56" s="66">
        <f t="shared" si="1"/>
        <v>0</v>
      </c>
      <c r="L56" s="66">
        <f t="shared" si="2"/>
        <v>0</v>
      </c>
      <c r="M56" s="66"/>
      <c r="N56" s="315">
        <f t="shared" si="3"/>
        <v>0</v>
      </c>
      <c r="P56" s="292" t="s">
        <v>501</v>
      </c>
      <c r="Q56" s="139" t="s">
        <v>1892</v>
      </c>
      <c r="R56" s="66">
        <v>2</v>
      </c>
      <c r="S56" s="66" t="s">
        <v>770</v>
      </c>
      <c r="T56" s="74" t="s">
        <v>771</v>
      </c>
      <c r="U56" s="307">
        <f t="shared" si="4"/>
        <v>1</v>
      </c>
      <c r="V56" s="161"/>
    </row>
    <row r="57" spans="3:22">
      <c r="C57" s="366">
        <v>56</v>
      </c>
      <c r="D57" s="309" t="s">
        <v>384</v>
      </c>
      <c r="E57" s="139" t="s">
        <v>385</v>
      </c>
      <c r="F57" s="66">
        <v>2</v>
      </c>
      <c r="G57" s="66" t="s">
        <v>770</v>
      </c>
      <c r="H57" s="74" t="s">
        <v>772</v>
      </c>
      <c r="I57" s="307">
        <f t="shared" si="0"/>
        <v>1</v>
      </c>
      <c r="K57" s="66">
        <f t="shared" si="1"/>
        <v>0</v>
      </c>
      <c r="L57" s="66">
        <f t="shared" si="2"/>
        <v>0</v>
      </c>
      <c r="M57" s="66"/>
      <c r="N57" s="315">
        <f t="shared" si="3"/>
        <v>0</v>
      </c>
      <c r="P57" s="292" t="s">
        <v>384</v>
      </c>
      <c r="Q57" s="139" t="s">
        <v>1834</v>
      </c>
      <c r="R57" s="66">
        <v>2</v>
      </c>
      <c r="S57" s="66" t="s">
        <v>770</v>
      </c>
      <c r="T57" s="74" t="s">
        <v>772</v>
      </c>
      <c r="U57" s="307">
        <f t="shared" si="4"/>
        <v>1</v>
      </c>
      <c r="V57" s="161"/>
    </row>
    <row r="58" spans="3:22">
      <c r="C58" s="366">
        <v>57</v>
      </c>
      <c r="D58" s="309" t="s">
        <v>586</v>
      </c>
      <c r="E58" s="139" t="s">
        <v>587</v>
      </c>
      <c r="F58" s="66">
        <v>2</v>
      </c>
      <c r="G58" s="66" t="s">
        <v>773</v>
      </c>
      <c r="H58" s="74" t="s">
        <v>771</v>
      </c>
      <c r="I58" s="307">
        <f t="shared" si="0"/>
        <v>0</v>
      </c>
      <c r="K58" s="66">
        <f t="shared" si="1"/>
        <v>0</v>
      </c>
      <c r="L58" s="66">
        <f t="shared" si="2"/>
        <v>0</v>
      </c>
      <c r="M58" s="66"/>
      <c r="N58" s="315">
        <f t="shared" si="3"/>
        <v>0</v>
      </c>
      <c r="P58" s="292" t="s">
        <v>586</v>
      </c>
      <c r="Q58" s="139" t="s">
        <v>1934</v>
      </c>
      <c r="R58" s="66">
        <v>2</v>
      </c>
      <c r="S58" s="66" t="s">
        <v>773</v>
      </c>
      <c r="T58" s="74" t="s">
        <v>771</v>
      </c>
      <c r="U58" s="307">
        <f t="shared" si="4"/>
        <v>0</v>
      </c>
      <c r="V58" s="161"/>
    </row>
    <row r="59" spans="3:22">
      <c r="C59" s="366">
        <v>58</v>
      </c>
      <c r="D59" s="309" t="s">
        <v>456</v>
      </c>
      <c r="E59" s="139" t="s">
        <v>457</v>
      </c>
      <c r="F59" s="66">
        <v>2</v>
      </c>
      <c r="G59" s="66" t="s">
        <v>770</v>
      </c>
      <c r="H59" s="74" t="s">
        <v>771</v>
      </c>
      <c r="I59" s="307">
        <f t="shared" si="0"/>
        <v>1</v>
      </c>
      <c r="K59" s="66">
        <f t="shared" si="1"/>
        <v>0</v>
      </c>
      <c r="L59" s="66">
        <f t="shared" si="2"/>
        <v>0</v>
      </c>
      <c r="M59" s="66"/>
      <c r="N59" s="315">
        <f t="shared" si="3"/>
        <v>0</v>
      </c>
      <c r="P59" s="292" t="s">
        <v>456</v>
      </c>
      <c r="Q59" s="139" t="s">
        <v>1870</v>
      </c>
      <c r="R59" s="66">
        <v>2</v>
      </c>
      <c r="S59" s="66" t="s">
        <v>770</v>
      </c>
      <c r="T59" s="74" t="s">
        <v>771</v>
      </c>
      <c r="U59" s="307">
        <f t="shared" si="4"/>
        <v>1</v>
      </c>
      <c r="V59" s="161"/>
    </row>
    <row r="60" spans="3:22">
      <c r="C60" s="366">
        <v>59</v>
      </c>
      <c r="D60" s="309" t="s">
        <v>229</v>
      </c>
      <c r="E60" s="139" t="s">
        <v>230</v>
      </c>
      <c r="F60" s="66">
        <v>2</v>
      </c>
      <c r="G60" s="66" t="s">
        <v>770</v>
      </c>
      <c r="H60" s="74" t="s">
        <v>771</v>
      </c>
      <c r="I60" s="307">
        <f t="shared" si="0"/>
        <v>1</v>
      </c>
      <c r="K60" s="66">
        <f t="shared" si="1"/>
        <v>0</v>
      </c>
      <c r="L60" s="66">
        <f t="shared" si="2"/>
        <v>0</v>
      </c>
      <c r="M60" s="66"/>
      <c r="N60" s="315">
        <f t="shared" si="3"/>
        <v>0</v>
      </c>
      <c r="P60" s="292" t="s">
        <v>229</v>
      </c>
      <c r="Q60" s="139" t="s">
        <v>1753</v>
      </c>
      <c r="R60" s="66">
        <v>2</v>
      </c>
      <c r="S60" s="66" t="s">
        <v>770</v>
      </c>
      <c r="T60" s="74" t="s">
        <v>771</v>
      </c>
      <c r="U60" s="307">
        <f t="shared" si="4"/>
        <v>1</v>
      </c>
      <c r="V60" s="161"/>
    </row>
    <row r="61" spans="3:22">
      <c r="C61" s="366">
        <v>60</v>
      </c>
      <c r="D61" s="309" t="s">
        <v>614</v>
      </c>
      <c r="E61" s="139" t="s">
        <v>615</v>
      </c>
      <c r="F61" s="66">
        <v>1</v>
      </c>
      <c r="G61" s="66" t="s">
        <v>773</v>
      </c>
      <c r="H61" s="74" t="s">
        <v>771</v>
      </c>
      <c r="I61" s="307">
        <f t="shared" si="0"/>
        <v>0</v>
      </c>
      <c r="K61" s="66">
        <f t="shared" si="1"/>
        <v>0</v>
      </c>
      <c r="L61" s="66">
        <f t="shared" si="2"/>
        <v>0</v>
      </c>
      <c r="M61" s="66"/>
      <c r="N61" s="315">
        <f t="shared" si="3"/>
        <v>0</v>
      </c>
      <c r="P61" s="292" t="s">
        <v>614</v>
      </c>
      <c r="Q61" s="139" t="s">
        <v>1949</v>
      </c>
      <c r="R61" s="66">
        <v>1</v>
      </c>
      <c r="S61" s="66" t="s">
        <v>773</v>
      </c>
      <c r="T61" s="74" t="s">
        <v>771</v>
      </c>
      <c r="U61" s="307">
        <f t="shared" si="4"/>
        <v>0</v>
      </c>
      <c r="V61" s="161"/>
    </row>
    <row r="62" spans="3:22">
      <c r="C62" s="366">
        <v>61</v>
      </c>
      <c r="D62" s="309" t="s">
        <v>517</v>
      </c>
      <c r="E62" s="139" t="s">
        <v>518</v>
      </c>
      <c r="F62" s="66">
        <v>2</v>
      </c>
      <c r="G62" s="66" t="s">
        <v>773</v>
      </c>
      <c r="H62" s="74" t="s">
        <v>772</v>
      </c>
      <c r="I62" s="307">
        <f t="shared" si="0"/>
        <v>0</v>
      </c>
      <c r="K62" s="66">
        <f t="shared" si="1"/>
        <v>0</v>
      </c>
      <c r="L62" s="66">
        <f t="shared" si="2"/>
        <v>0</v>
      </c>
      <c r="M62" s="66"/>
      <c r="N62" s="315">
        <f t="shared" si="3"/>
        <v>0</v>
      </c>
      <c r="P62" s="292" t="s">
        <v>517</v>
      </c>
      <c r="Q62" s="139" t="s">
        <v>1899</v>
      </c>
      <c r="R62" s="66">
        <v>2</v>
      </c>
      <c r="S62" s="66" t="s">
        <v>773</v>
      </c>
      <c r="T62" s="74" t="s">
        <v>772</v>
      </c>
      <c r="U62" s="307">
        <f t="shared" si="4"/>
        <v>0</v>
      </c>
      <c r="V62" s="161"/>
    </row>
    <row r="63" spans="3:22">
      <c r="C63" s="366">
        <v>62</v>
      </c>
      <c r="D63" s="309" t="s">
        <v>658</v>
      </c>
      <c r="E63" s="139" t="s">
        <v>659</v>
      </c>
      <c r="F63" s="66">
        <v>2</v>
      </c>
      <c r="G63" s="66" t="s">
        <v>770</v>
      </c>
      <c r="H63" s="74" t="s">
        <v>772</v>
      </c>
      <c r="I63" s="307">
        <f t="shared" si="0"/>
        <v>1</v>
      </c>
      <c r="K63" s="66">
        <f t="shared" si="1"/>
        <v>0</v>
      </c>
      <c r="L63" s="66">
        <f t="shared" si="2"/>
        <v>0</v>
      </c>
      <c r="M63" s="66"/>
      <c r="N63" s="315">
        <f t="shared" si="3"/>
        <v>0</v>
      </c>
      <c r="P63" s="292" t="s">
        <v>658</v>
      </c>
      <c r="Q63" s="139" t="s">
        <v>1973</v>
      </c>
      <c r="R63" s="66">
        <v>2</v>
      </c>
      <c r="S63" s="66" t="s">
        <v>770</v>
      </c>
      <c r="T63" s="74" t="s">
        <v>772</v>
      </c>
      <c r="U63" s="307">
        <f t="shared" si="4"/>
        <v>1</v>
      </c>
      <c r="V63" s="161"/>
    </row>
    <row r="64" spans="3:22">
      <c r="C64" s="366">
        <v>63</v>
      </c>
      <c r="D64" s="309" t="s">
        <v>610</v>
      </c>
      <c r="E64" s="139" t="s">
        <v>802</v>
      </c>
      <c r="F64" s="66">
        <v>1</v>
      </c>
      <c r="G64" s="66" t="s">
        <v>773</v>
      </c>
      <c r="H64" s="74" t="s">
        <v>771</v>
      </c>
      <c r="I64" s="307">
        <f t="shared" si="0"/>
        <v>0</v>
      </c>
      <c r="K64" s="66">
        <f t="shared" si="1"/>
        <v>0</v>
      </c>
      <c r="L64" s="66">
        <f t="shared" si="2"/>
        <v>0</v>
      </c>
      <c r="M64" s="66"/>
      <c r="N64" s="315">
        <f t="shared" si="3"/>
        <v>0</v>
      </c>
      <c r="P64" s="292" t="s">
        <v>610</v>
      </c>
      <c r="Q64" s="139" t="s">
        <v>1946</v>
      </c>
      <c r="R64" s="66">
        <v>1</v>
      </c>
      <c r="S64" s="66" t="s">
        <v>773</v>
      </c>
      <c r="T64" s="74" t="s">
        <v>771</v>
      </c>
      <c r="U64" s="307">
        <f t="shared" si="4"/>
        <v>0</v>
      </c>
      <c r="V64" s="161"/>
    </row>
    <row r="65" spans="3:22">
      <c r="C65" s="366">
        <v>64</v>
      </c>
      <c r="D65" s="309" t="s">
        <v>717</v>
      </c>
      <c r="E65" s="139" t="s">
        <v>807</v>
      </c>
      <c r="F65" s="66">
        <v>1</v>
      </c>
      <c r="G65" s="66" t="s">
        <v>773</v>
      </c>
      <c r="H65" s="74" t="s">
        <v>771</v>
      </c>
      <c r="I65" s="307">
        <f t="shared" si="0"/>
        <v>0</v>
      </c>
      <c r="K65" s="66">
        <f t="shared" si="1"/>
        <v>0</v>
      </c>
      <c r="L65" s="66">
        <f t="shared" si="2"/>
        <v>0</v>
      </c>
      <c r="M65" s="66"/>
      <c r="N65" s="315">
        <f t="shared" si="3"/>
        <v>0</v>
      </c>
      <c r="P65" s="292" t="s">
        <v>717</v>
      </c>
      <c r="Q65" s="139" t="s">
        <v>2004</v>
      </c>
      <c r="R65" s="66">
        <v>1</v>
      </c>
      <c r="S65" s="66" t="s">
        <v>773</v>
      </c>
      <c r="T65" s="74" t="s">
        <v>771</v>
      </c>
      <c r="U65" s="307">
        <f t="shared" si="4"/>
        <v>0</v>
      </c>
      <c r="V65" s="161"/>
    </row>
    <row r="66" spans="3:22">
      <c r="C66" s="366">
        <v>65</v>
      </c>
      <c r="D66" s="309" t="s">
        <v>251</v>
      </c>
      <c r="E66" s="139" t="s">
        <v>252</v>
      </c>
      <c r="F66" s="66">
        <v>1</v>
      </c>
      <c r="G66" s="66" t="s">
        <v>773</v>
      </c>
      <c r="H66" s="74" t="s">
        <v>771</v>
      </c>
      <c r="I66" s="307">
        <f t="shared" ref="I66:I129" si="5">IF(+G66="cash",1,0)</f>
        <v>0</v>
      </c>
      <c r="K66" s="66">
        <f t="shared" ref="K66:K129" si="6">+F66-R66</f>
        <v>0</v>
      </c>
      <c r="L66" s="66">
        <f t="shared" ref="L66:L129" si="7">+I66-U66</f>
        <v>0</v>
      </c>
      <c r="M66" s="66"/>
      <c r="N66" s="315">
        <f t="shared" ref="N66:N129" si="8">+P66-D66</f>
        <v>0</v>
      </c>
      <c r="P66" s="292" t="s">
        <v>251</v>
      </c>
      <c r="Q66" s="139" t="s">
        <v>1764</v>
      </c>
      <c r="R66" s="66">
        <v>1</v>
      </c>
      <c r="S66" s="66" t="s">
        <v>773</v>
      </c>
      <c r="T66" s="74" t="s">
        <v>771</v>
      </c>
      <c r="U66" s="307">
        <f t="shared" ref="U66:U129" si="9">IF(+S66="cash",1,0)</f>
        <v>0</v>
      </c>
      <c r="V66" s="161"/>
    </row>
    <row r="67" spans="3:22">
      <c r="C67" s="366">
        <v>66</v>
      </c>
      <c r="D67" s="309" t="s">
        <v>386</v>
      </c>
      <c r="E67" s="139" t="s">
        <v>387</v>
      </c>
      <c r="F67" s="66">
        <v>2</v>
      </c>
      <c r="G67" s="66" t="s">
        <v>773</v>
      </c>
      <c r="H67" s="74" t="s">
        <v>771</v>
      </c>
      <c r="I67" s="307">
        <f t="shared" si="5"/>
        <v>0</v>
      </c>
      <c r="K67" s="66">
        <f t="shared" si="6"/>
        <v>0</v>
      </c>
      <c r="L67" s="66">
        <f t="shared" si="7"/>
        <v>0</v>
      </c>
      <c r="M67" s="66"/>
      <c r="N67" s="315">
        <f t="shared" si="8"/>
        <v>0</v>
      </c>
      <c r="P67" s="292" t="s">
        <v>386</v>
      </c>
      <c r="Q67" s="139" t="s">
        <v>1835</v>
      </c>
      <c r="R67" s="66">
        <v>2</v>
      </c>
      <c r="S67" s="66" t="s">
        <v>773</v>
      </c>
      <c r="T67" s="74" t="s">
        <v>771</v>
      </c>
      <c r="U67" s="307">
        <f t="shared" si="9"/>
        <v>0</v>
      </c>
      <c r="V67" s="161"/>
    </row>
    <row r="68" spans="3:22">
      <c r="C68" s="366">
        <v>67</v>
      </c>
      <c r="D68" s="309" t="s">
        <v>529</v>
      </c>
      <c r="E68" s="139" t="s">
        <v>530</v>
      </c>
      <c r="F68" s="66">
        <v>2</v>
      </c>
      <c r="G68" s="66" t="s">
        <v>773</v>
      </c>
      <c r="H68" s="74" t="s">
        <v>771</v>
      </c>
      <c r="I68" s="307">
        <f t="shared" si="5"/>
        <v>0</v>
      </c>
      <c r="K68" s="66">
        <f t="shared" si="6"/>
        <v>0</v>
      </c>
      <c r="L68" s="66">
        <f t="shared" si="7"/>
        <v>0</v>
      </c>
      <c r="M68" s="66"/>
      <c r="N68" s="315">
        <f t="shared" si="8"/>
        <v>0</v>
      </c>
      <c r="P68" s="292" t="s">
        <v>529</v>
      </c>
      <c r="Q68" s="139" t="s">
        <v>1905</v>
      </c>
      <c r="R68" s="66">
        <v>2</v>
      </c>
      <c r="S68" s="66" t="s">
        <v>773</v>
      </c>
      <c r="T68" s="74" t="s">
        <v>771</v>
      </c>
      <c r="U68" s="307">
        <f t="shared" si="9"/>
        <v>0</v>
      </c>
      <c r="V68" s="161"/>
    </row>
    <row r="69" spans="3:22">
      <c r="C69" s="366">
        <v>68</v>
      </c>
      <c r="D69" s="309" t="s">
        <v>570</v>
      </c>
      <c r="E69" s="139" t="s">
        <v>571</v>
      </c>
      <c r="F69" s="66">
        <v>1</v>
      </c>
      <c r="G69" s="66" t="s">
        <v>773</v>
      </c>
      <c r="H69" s="74" t="s">
        <v>771</v>
      </c>
      <c r="I69" s="307">
        <f t="shared" si="5"/>
        <v>0</v>
      </c>
      <c r="K69" s="66">
        <f t="shared" si="6"/>
        <v>0</v>
      </c>
      <c r="L69" s="66">
        <f t="shared" si="7"/>
        <v>0</v>
      </c>
      <c r="M69" s="66"/>
      <c r="N69" s="315">
        <f t="shared" si="8"/>
        <v>0</v>
      </c>
      <c r="P69" s="292" t="s">
        <v>570</v>
      </c>
      <c r="Q69" s="139" t="s">
        <v>1926</v>
      </c>
      <c r="R69" s="66">
        <v>1</v>
      </c>
      <c r="S69" s="66" t="s">
        <v>773</v>
      </c>
      <c r="T69" s="74" t="s">
        <v>771</v>
      </c>
      <c r="U69" s="307">
        <f t="shared" si="9"/>
        <v>0</v>
      </c>
      <c r="V69" s="161"/>
    </row>
    <row r="70" spans="3:22">
      <c r="C70" s="366">
        <v>69</v>
      </c>
      <c r="D70" s="309" t="s">
        <v>390</v>
      </c>
      <c r="E70" s="139" t="s">
        <v>391</v>
      </c>
      <c r="F70" s="66">
        <v>1</v>
      </c>
      <c r="G70" s="66" t="s">
        <v>773</v>
      </c>
      <c r="H70" s="74" t="s">
        <v>771</v>
      </c>
      <c r="I70" s="307">
        <f t="shared" si="5"/>
        <v>0</v>
      </c>
      <c r="K70" s="66">
        <f t="shared" si="6"/>
        <v>0</v>
      </c>
      <c r="L70" s="66">
        <f t="shared" si="7"/>
        <v>0</v>
      </c>
      <c r="M70" s="66"/>
      <c r="N70" s="315">
        <f t="shared" si="8"/>
        <v>0</v>
      </c>
      <c r="P70" s="292" t="s">
        <v>390</v>
      </c>
      <c r="Q70" s="139" t="s">
        <v>1837</v>
      </c>
      <c r="R70" s="66">
        <v>1</v>
      </c>
      <c r="S70" s="66" t="s">
        <v>773</v>
      </c>
      <c r="T70" s="74" t="s">
        <v>771</v>
      </c>
      <c r="U70" s="307">
        <f t="shared" si="9"/>
        <v>0</v>
      </c>
      <c r="V70" s="161"/>
    </row>
    <row r="71" spans="3:22">
      <c r="C71" s="366">
        <v>70</v>
      </c>
      <c r="D71" s="309" t="s">
        <v>307</v>
      </c>
      <c r="E71" s="139" t="s">
        <v>308</v>
      </c>
      <c r="F71" s="66">
        <v>2</v>
      </c>
      <c r="G71" s="66" t="s">
        <v>773</v>
      </c>
      <c r="H71" s="74" t="s">
        <v>771</v>
      </c>
      <c r="I71" s="307">
        <f t="shared" si="5"/>
        <v>0</v>
      </c>
      <c r="K71" s="66">
        <f t="shared" si="6"/>
        <v>0</v>
      </c>
      <c r="L71" s="66">
        <f t="shared" si="7"/>
        <v>0</v>
      </c>
      <c r="M71" s="66"/>
      <c r="N71" s="315">
        <f t="shared" si="8"/>
        <v>0</v>
      </c>
      <c r="P71" s="292" t="s">
        <v>307</v>
      </c>
      <c r="Q71" s="139" t="s">
        <v>1792</v>
      </c>
      <c r="R71" s="66">
        <v>2</v>
      </c>
      <c r="S71" s="66" t="s">
        <v>773</v>
      </c>
      <c r="T71" s="74" t="s">
        <v>771</v>
      </c>
      <c r="U71" s="307">
        <f t="shared" si="9"/>
        <v>0</v>
      </c>
      <c r="V71" s="161"/>
    </row>
    <row r="72" spans="3:22">
      <c r="C72" s="366">
        <v>71</v>
      </c>
      <c r="D72" s="309" t="s">
        <v>703</v>
      </c>
      <c r="E72" s="139" t="s">
        <v>704</v>
      </c>
      <c r="F72" s="66">
        <v>2</v>
      </c>
      <c r="G72" s="66" t="s">
        <v>770</v>
      </c>
      <c r="H72" s="74" t="s">
        <v>772</v>
      </c>
      <c r="I72" s="307">
        <f t="shared" si="5"/>
        <v>1</v>
      </c>
      <c r="K72" s="66">
        <f t="shared" si="6"/>
        <v>0</v>
      </c>
      <c r="L72" s="66">
        <f t="shared" si="7"/>
        <v>0</v>
      </c>
      <c r="M72" s="66"/>
      <c r="N72" s="315">
        <f t="shared" si="8"/>
        <v>0</v>
      </c>
      <c r="P72" s="292" t="s">
        <v>703</v>
      </c>
      <c r="Q72" s="139" t="s">
        <v>1997</v>
      </c>
      <c r="R72" s="66">
        <v>2</v>
      </c>
      <c r="S72" s="66" t="s">
        <v>770</v>
      </c>
      <c r="T72" s="74" t="s">
        <v>771</v>
      </c>
      <c r="U72" s="307">
        <f t="shared" si="9"/>
        <v>1</v>
      </c>
      <c r="V72" s="161"/>
    </row>
    <row r="73" spans="3:22">
      <c r="C73" s="366">
        <v>72</v>
      </c>
      <c r="D73" s="309" t="s">
        <v>193</v>
      </c>
      <c r="E73" s="139" t="s">
        <v>194</v>
      </c>
      <c r="F73" s="66">
        <v>2</v>
      </c>
      <c r="G73" s="66" t="s">
        <v>773</v>
      </c>
      <c r="H73" s="74" t="s">
        <v>771</v>
      </c>
      <c r="I73" s="307">
        <f t="shared" si="5"/>
        <v>0</v>
      </c>
      <c r="K73" s="66">
        <f t="shared" si="6"/>
        <v>0</v>
      </c>
      <c r="L73" s="66">
        <f t="shared" si="7"/>
        <v>0</v>
      </c>
      <c r="M73" s="66"/>
      <c r="N73" s="315">
        <f t="shared" si="8"/>
        <v>0</v>
      </c>
      <c r="P73" s="292" t="s">
        <v>193</v>
      </c>
      <c r="Q73" s="139" t="s">
        <v>1733</v>
      </c>
      <c r="R73" s="66">
        <v>2</v>
      </c>
      <c r="S73" s="66" t="s">
        <v>773</v>
      </c>
      <c r="T73" s="74" t="s">
        <v>771</v>
      </c>
      <c r="U73" s="307">
        <f t="shared" si="9"/>
        <v>0</v>
      </c>
      <c r="V73" s="161"/>
    </row>
    <row r="74" spans="3:22">
      <c r="C74" s="366">
        <v>73</v>
      </c>
      <c r="D74" s="309" t="s">
        <v>342</v>
      </c>
      <c r="E74" s="139" t="s">
        <v>343</v>
      </c>
      <c r="F74" s="66">
        <v>1</v>
      </c>
      <c r="G74" s="66" t="s">
        <v>773</v>
      </c>
      <c r="H74" s="74" t="s">
        <v>771</v>
      </c>
      <c r="I74" s="307">
        <f t="shared" si="5"/>
        <v>0</v>
      </c>
      <c r="K74" s="66">
        <f t="shared" si="6"/>
        <v>0</v>
      </c>
      <c r="L74" s="66">
        <f t="shared" si="7"/>
        <v>0</v>
      </c>
      <c r="M74" s="66"/>
      <c r="N74" s="315">
        <f t="shared" si="8"/>
        <v>0</v>
      </c>
      <c r="P74" s="292" t="s">
        <v>342</v>
      </c>
      <c r="Q74" s="139" t="s">
        <v>1810</v>
      </c>
      <c r="R74" s="66">
        <v>1</v>
      </c>
      <c r="S74" s="66" t="s">
        <v>773</v>
      </c>
      <c r="T74" s="74" t="s">
        <v>771</v>
      </c>
      <c r="U74" s="307">
        <f t="shared" si="9"/>
        <v>0</v>
      </c>
      <c r="V74" s="161"/>
    </row>
    <row r="75" spans="3:22">
      <c r="C75" s="366">
        <v>74</v>
      </c>
      <c r="D75" s="309" t="s">
        <v>291</v>
      </c>
      <c r="E75" s="139" t="s">
        <v>292</v>
      </c>
      <c r="F75" s="66">
        <v>1</v>
      </c>
      <c r="G75" s="66" t="s">
        <v>773</v>
      </c>
      <c r="H75" s="74" t="s">
        <v>771</v>
      </c>
      <c r="I75" s="307">
        <f t="shared" si="5"/>
        <v>0</v>
      </c>
      <c r="K75" s="66">
        <f t="shared" si="6"/>
        <v>0</v>
      </c>
      <c r="L75" s="66">
        <f t="shared" si="7"/>
        <v>0</v>
      </c>
      <c r="M75" s="66"/>
      <c r="N75" s="315">
        <f t="shared" si="8"/>
        <v>0</v>
      </c>
      <c r="P75" s="292" t="s">
        <v>291</v>
      </c>
      <c r="Q75" s="139" t="s">
        <v>1784</v>
      </c>
      <c r="R75" s="66">
        <v>1</v>
      </c>
      <c r="S75" s="66" t="s">
        <v>773</v>
      </c>
      <c r="T75" s="74" t="s">
        <v>771</v>
      </c>
      <c r="U75" s="307">
        <f t="shared" si="9"/>
        <v>0</v>
      </c>
      <c r="V75" s="161"/>
    </row>
    <row r="76" spans="3:22">
      <c r="C76" s="366">
        <v>75</v>
      </c>
      <c r="D76" s="312" t="s">
        <v>1542</v>
      </c>
      <c r="E76" s="73" t="s">
        <v>1633</v>
      </c>
      <c r="F76" s="66">
        <v>1</v>
      </c>
      <c r="G76" s="66" t="s">
        <v>773</v>
      </c>
      <c r="H76" s="74" t="s">
        <v>771</v>
      </c>
      <c r="I76" s="307">
        <f t="shared" si="5"/>
        <v>0</v>
      </c>
      <c r="K76" s="66">
        <f t="shared" si="6"/>
        <v>0</v>
      </c>
      <c r="L76" s="66">
        <f t="shared" si="7"/>
        <v>0</v>
      </c>
      <c r="M76" s="66"/>
      <c r="N76" s="315">
        <f t="shared" si="8"/>
        <v>0</v>
      </c>
      <c r="P76" s="295" t="s">
        <v>1542</v>
      </c>
      <c r="Q76" s="73" t="s">
        <v>1633</v>
      </c>
      <c r="R76" s="66">
        <v>1</v>
      </c>
      <c r="S76" s="66" t="s">
        <v>773</v>
      </c>
      <c r="T76" s="74"/>
      <c r="U76" s="307">
        <f t="shared" si="9"/>
        <v>0</v>
      </c>
      <c r="V76" s="161"/>
    </row>
    <row r="77" spans="3:22">
      <c r="C77" s="366">
        <v>76</v>
      </c>
      <c r="D77" s="313" t="s">
        <v>766</v>
      </c>
      <c r="E77" s="73" t="s">
        <v>1634</v>
      </c>
      <c r="F77" s="66">
        <v>1</v>
      </c>
      <c r="G77" s="66" t="s">
        <v>773</v>
      </c>
      <c r="H77" s="74" t="s">
        <v>771</v>
      </c>
      <c r="I77" s="307">
        <f t="shared" si="5"/>
        <v>0</v>
      </c>
      <c r="K77" s="66">
        <f t="shared" si="6"/>
        <v>0</v>
      </c>
      <c r="L77" s="66">
        <f t="shared" si="7"/>
        <v>0</v>
      </c>
      <c r="M77" s="66"/>
      <c r="N77" s="315">
        <f t="shared" si="8"/>
        <v>0</v>
      </c>
      <c r="P77" s="296" t="s">
        <v>766</v>
      </c>
      <c r="Q77" s="73" t="s">
        <v>1634</v>
      </c>
      <c r="R77" s="66">
        <v>1</v>
      </c>
      <c r="S77" s="66" t="s">
        <v>773</v>
      </c>
      <c r="T77" s="74"/>
      <c r="U77" s="307">
        <f t="shared" si="9"/>
        <v>0</v>
      </c>
      <c r="V77" s="161"/>
    </row>
    <row r="78" spans="3:22">
      <c r="C78" s="366">
        <v>77</v>
      </c>
      <c r="D78" s="312" t="s">
        <v>768</v>
      </c>
      <c r="E78" s="73" t="s">
        <v>1635</v>
      </c>
      <c r="F78" s="66">
        <v>1</v>
      </c>
      <c r="G78" s="66" t="s">
        <v>773</v>
      </c>
      <c r="H78" s="74" t="s">
        <v>771</v>
      </c>
      <c r="I78" s="307">
        <f t="shared" si="5"/>
        <v>0</v>
      </c>
      <c r="K78" s="66">
        <f t="shared" si="6"/>
        <v>0</v>
      </c>
      <c r="L78" s="66">
        <f t="shared" si="7"/>
        <v>0</v>
      </c>
      <c r="M78" s="66"/>
      <c r="N78" s="315">
        <f t="shared" si="8"/>
        <v>0</v>
      </c>
      <c r="P78" s="295" t="s">
        <v>768</v>
      </c>
      <c r="Q78" s="73" t="s">
        <v>1635</v>
      </c>
      <c r="R78" s="66">
        <v>1</v>
      </c>
      <c r="S78" s="66" t="s">
        <v>773</v>
      </c>
      <c r="T78" s="74"/>
      <c r="U78" s="307">
        <f t="shared" si="9"/>
        <v>0</v>
      </c>
      <c r="V78" s="161"/>
    </row>
    <row r="79" spans="3:22">
      <c r="C79" s="366">
        <v>78</v>
      </c>
      <c r="D79" s="312" t="s">
        <v>761</v>
      </c>
      <c r="E79" s="73" t="s">
        <v>1636</v>
      </c>
      <c r="F79" s="66">
        <v>1</v>
      </c>
      <c r="G79" s="66" t="s">
        <v>773</v>
      </c>
      <c r="H79" s="74" t="s">
        <v>771</v>
      </c>
      <c r="I79" s="307">
        <f t="shared" si="5"/>
        <v>0</v>
      </c>
      <c r="K79" s="66">
        <f t="shared" si="6"/>
        <v>0</v>
      </c>
      <c r="L79" s="66">
        <f t="shared" si="7"/>
        <v>0</v>
      </c>
      <c r="M79" s="66"/>
      <c r="N79" s="315">
        <f t="shared" si="8"/>
        <v>0</v>
      </c>
      <c r="P79" s="295" t="s">
        <v>761</v>
      </c>
      <c r="Q79" s="73" t="s">
        <v>1636</v>
      </c>
      <c r="R79" s="66">
        <v>1</v>
      </c>
      <c r="S79" s="66" t="s">
        <v>773</v>
      </c>
      <c r="T79" s="74"/>
      <c r="U79" s="307">
        <f t="shared" si="9"/>
        <v>0</v>
      </c>
      <c r="V79" s="161"/>
    </row>
    <row r="80" spans="3:22">
      <c r="C80" s="366">
        <v>79</v>
      </c>
      <c r="D80" s="313" t="s">
        <v>767</v>
      </c>
      <c r="E80" s="73" t="s">
        <v>1637</v>
      </c>
      <c r="F80" s="66">
        <v>1</v>
      </c>
      <c r="G80" s="66" t="s">
        <v>773</v>
      </c>
      <c r="H80" s="74" t="s">
        <v>771</v>
      </c>
      <c r="I80" s="307">
        <f t="shared" si="5"/>
        <v>0</v>
      </c>
      <c r="K80" s="66">
        <f t="shared" si="6"/>
        <v>0</v>
      </c>
      <c r="L80" s="66">
        <f t="shared" si="7"/>
        <v>0</v>
      </c>
      <c r="M80" s="66"/>
      <c r="N80" s="315">
        <f t="shared" si="8"/>
        <v>0</v>
      </c>
      <c r="P80" s="296" t="s">
        <v>767</v>
      </c>
      <c r="Q80" s="73" t="s">
        <v>1637</v>
      </c>
      <c r="R80" s="66">
        <v>1</v>
      </c>
      <c r="S80" s="66" t="s">
        <v>773</v>
      </c>
      <c r="T80" s="74"/>
      <c r="U80" s="307">
        <f t="shared" si="9"/>
        <v>0</v>
      </c>
      <c r="V80" s="161"/>
    </row>
    <row r="81" spans="3:22">
      <c r="C81" s="366">
        <v>80</v>
      </c>
      <c r="D81" s="312" t="s">
        <v>764</v>
      </c>
      <c r="E81" s="73" t="s">
        <v>1653</v>
      </c>
      <c r="F81" s="66">
        <v>1</v>
      </c>
      <c r="G81" s="66" t="s">
        <v>773</v>
      </c>
      <c r="H81" s="74" t="s">
        <v>771</v>
      </c>
      <c r="I81" s="307">
        <f t="shared" si="5"/>
        <v>0</v>
      </c>
      <c r="K81" s="66">
        <f t="shared" si="6"/>
        <v>0</v>
      </c>
      <c r="L81" s="66">
        <f t="shared" si="7"/>
        <v>0</v>
      </c>
      <c r="M81" s="66"/>
      <c r="N81" s="315">
        <f t="shared" si="8"/>
        <v>0</v>
      </c>
      <c r="P81" s="295" t="s">
        <v>764</v>
      </c>
      <c r="Q81" s="73" t="s">
        <v>1653</v>
      </c>
      <c r="R81" s="66">
        <v>1</v>
      </c>
      <c r="S81" s="66" t="s">
        <v>773</v>
      </c>
      <c r="T81" s="74"/>
      <c r="U81" s="307">
        <f t="shared" si="9"/>
        <v>0</v>
      </c>
    </row>
    <row r="82" spans="3:22">
      <c r="C82" s="366">
        <v>81</v>
      </c>
      <c r="D82" s="312" t="s">
        <v>763</v>
      </c>
      <c r="E82" s="73" t="s">
        <v>1654</v>
      </c>
      <c r="F82" s="66">
        <v>1</v>
      </c>
      <c r="G82" s="66" t="s">
        <v>773</v>
      </c>
      <c r="H82" s="74" t="s">
        <v>771</v>
      </c>
      <c r="I82" s="307">
        <f t="shared" si="5"/>
        <v>0</v>
      </c>
      <c r="K82" s="66">
        <f t="shared" si="6"/>
        <v>0</v>
      </c>
      <c r="L82" s="66">
        <f t="shared" si="7"/>
        <v>0</v>
      </c>
      <c r="M82" s="66"/>
      <c r="N82" s="315">
        <f t="shared" si="8"/>
        <v>0</v>
      </c>
      <c r="P82" s="295" t="s">
        <v>763</v>
      </c>
      <c r="Q82" s="73" t="s">
        <v>1654</v>
      </c>
      <c r="R82" s="66">
        <v>1</v>
      </c>
      <c r="S82" s="66" t="s">
        <v>773</v>
      </c>
      <c r="T82" s="74"/>
      <c r="U82" s="307">
        <f t="shared" si="9"/>
        <v>0</v>
      </c>
      <c r="V82" s="161"/>
    </row>
    <row r="83" spans="3:22">
      <c r="C83" s="366">
        <v>82</v>
      </c>
      <c r="D83" s="312" t="s">
        <v>762</v>
      </c>
      <c r="E83" s="73" t="s">
        <v>1638</v>
      </c>
      <c r="F83" s="66">
        <v>1</v>
      </c>
      <c r="G83" s="66" t="s">
        <v>773</v>
      </c>
      <c r="H83" s="74" t="s">
        <v>771</v>
      </c>
      <c r="I83" s="307">
        <f t="shared" si="5"/>
        <v>0</v>
      </c>
      <c r="K83" s="66">
        <f t="shared" si="6"/>
        <v>0</v>
      </c>
      <c r="L83" s="66">
        <f t="shared" si="7"/>
        <v>0</v>
      </c>
      <c r="M83" s="66"/>
      <c r="N83" s="315">
        <f t="shared" si="8"/>
        <v>0</v>
      </c>
      <c r="P83" s="295" t="s">
        <v>762</v>
      </c>
      <c r="Q83" s="73" t="s">
        <v>1638</v>
      </c>
      <c r="R83" s="66">
        <v>1</v>
      </c>
      <c r="S83" s="66" t="s">
        <v>773</v>
      </c>
      <c r="T83" s="74"/>
      <c r="U83" s="307">
        <f t="shared" si="9"/>
        <v>0</v>
      </c>
      <c r="V83" s="161"/>
    </row>
    <row r="84" spans="3:22">
      <c r="C84" s="366">
        <v>83</v>
      </c>
      <c r="D84" s="312" t="s">
        <v>760</v>
      </c>
      <c r="E84" s="73" t="s">
        <v>1651</v>
      </c>
      <c r="F84" s="66">
        <v>1</v>
      </c>
      <c r="G84" s="66" t="s">
        <v>773</v>
      </c>
      <c r="H84" s="74" t="s">
        <v>771</v>
      </c>
      <c r="I84" s="307">
        <f t="shared" si="5"/>
        <v>0</v>
      </c>
      <c r="K84" s="66">
        <f t="shared" si="6"/>
        <v>0</v>
      </c>
      <c r="L84" s="66">
        <f t="shared" si="7"/>
        <v>0</v>
      </c>
      <c r="M84" s="66"/>
      <c r="N84" s="315">
        <f t="shared" si="8"/>
        <v>0</v>
      </c>
      <c r="P84" s="295" t="s">
        <v>760</v>
      </c>
      <c r="Q84" s="73" t="s">
        <v>1651</v>
      </c>
      <c r="R84" s="66">
        <v>1</v>
      </c>
      <c r="S84" s="66" t="s">
        <v>773</v>
      </c>
      <c r="T84" s="74"/>
      <c r="U84" s="307">
        <f t="shared" si="9"/>
        <v>0</v>
      </c>
      <c r="V84" s="161"/>
    </row>
    <row r="85" spans="3:22">
      <c r="C85" s="366">
        <v>84</v>
      </c>
      <c r="D85" s="313" t="s">
        <v>765</v>
      </c>
      <c r="E85" s="73" t="s">
        <v>1652</v>
      </c>
      <c r="F85" s="66">
        <v>1</v>
      </c>
      <c r="G85" s="66" t="s">
        <v>773</v>
      </c>
      <c r="H85" s="74" t="s">
        <v>771</v>
      </c>
      <c r="I85" s="307">
        <f t="shared" si="5"/>
        <v>0</v>
      </c>
      <c r="K85" s="66">
        <f t="shared" si="6"/>
        <v>0</v>
      </c>
      <c r="L85" s="66">
        <f t="shared" si="7"/>
        <v>0</v>
      </c>
      <c r="M85" s="66"/>
      <c r="N85" s="315">
        <f t="shared" si="8"/>
        <v>0</v>
      </c>
      <c r="P85" s="296" t="s">
        <v>765</v>
      </c>
      <c r="Q85" s="73" t="s">
        <v>1652</v>
      </c>
      <c r="R85" s="66">
        <v>1</v>
      </c>
      <c r="S85" s="66" t="s">
        <v>773</v>
      </c>
      <c r="T85" s="74"/>
      <c r="U85" s="307">
        <f t="shared" si="9"/>
        <v>0</v>
      </c>
      <c r="V85" s="161"/>
    </row>
    <row r="86" spans="3:22">
      <c r="C86" s="366">
        <v>85</v>
      </c>
      <c r="D86" s="309" t="s">
        <v>418</v>
      </c>
      <c r="E86" s="139" t="s">
        <v>419</v>
      </c>
      <c r="F86" s="66">
        <v>2</v>
      </c>
      <c r="G86" s="66" t="s">
        <v>770</v>
      </c>
      <c r="H86" s="74" t="s">
        <v>772</v>
      </c>
      <c r="I86" s="307">
        <f t="shared" si="5"/>
        <v>1</v>
      </c>
      <c r="K86" s="66">
        <f t="shared" si="6"/>
        <v>0</v>
      </c>
      <c r="L86" s="66">
        <f t="shared" si="7"/>
        <v>0</v>
      </c>
      <c r="M86" s="66"/>
      <c r="N86" s="315">
        <f t="shared" si="8"/>
        <v>0</v>
      </c>
      <c r="P86" s="292" t="s">
        <v>418</v>
      </c>
      <c r="Q86" s="139" t="s">
        <v>1851</v>
      </c>
      <c r="R86" s="66">
        <v>2</v>
      </c>
      <c r="S86" s="66" t="s">
        <v>770</v>
      </c>
      <c r="T86" s="74" t="s">
        <v>772</v>
      </c>
      <c r="U86" s="307">
        <f t="shared" si="9"/>
        <v>1</v>
      </c>
      <c r="V86" s="161"/>
    </row>
    <row r="87" spans="3:22">
      <c r="C87" s="366">
        <v>86</v>
      </c>
      <c r="D87" s="309" t="s">
        <v>564</v>
      </c>
      <c r="E87" s="139" t="s">
        <v>565</v>
      </c>
      <c r="F87" s="66">
        <v>1</v>
      </c>
      <c r="G87" s="66" t="s">
        <v>773</v>
      </c>
      <c r="H87" s="74" t="s">
        <v>771</v>
      </c>
      <c r="I87" s="307">
        <f t="shared" si="5"/>
        <v>0</v>
      </c>
      <c r="K87" s="66">
        <f t="shared" si="6"/>
        <v>0</v>
      </c>
      <c r="L87" s="66">
        <f t="shared" si="7"/>
        <v>0</v>
      </c>
      <c r="M87" s="66"/>
      <c r="N87" s="315">
        <f t="shared" si="8"/>
        <v>0</v>
      </c>
      <c r="P87" s="292" t="s">
        <v>564</v>
      </c>
      <c r="Q87" s="139" t="s">
        <v>1923</v>
      </c>
      <c r="R87" s="66">
        <v>1</v>
      </c>
      <c r="S87" s="66" t="s">
        <v>773</v>
      </c>
      <c r="T87" s="74" t="s">
        <v>771</v>
      </c>
      <c r="U87" s="307">
        <f t="shared" si="9"/>
        <v>0</v>
      </c>
      <c r="V87" s="161"/>
    </row>
    <row r="88" spans="3:22">
      <c r="C88" s="366">
        <v>87</v>
      </c>
      <c r="D88" s="309" t="s">
        <v>222</v>
      </c>
      <c r="E88" s="139" t="s">
        <v>801</v>
      </c>
      <c r="F88" s="66">
        <v>1</v>
      </c>
      <c r="G88" s="66" t="s">
        <v>773</v>
      </c>
      <c r="H88" s="74" t="s">
        <v>771</v>
      </c>
      <c r="I88" s="307">
        <f t="shared" si="5"/>
        <v>0</v>
      </c>
      <c r="K88" s="66">
        <f t="shared" si="6"/>
        <v>0</v>
      </c>
      <c r="L88" s="66">
        <f t="shared" si="7"/>
        <v>0</v>
      </c>
      <c r="M88" s="66"/>
      <c r="N88" s="315">
        <f t="shared" si="8"/>
        <v>0</v>
      </c>
      <c r="P88" s="292" t="s">
        <v>222</v>
      </c>
      <c r="Q88" s="139" t="s">
        <v>1749</v>
      </c>
      <c r="R88" s="66">
        <v>1</v>
      </c>
      <c r="S88" s="66" t="s">
        <v>773</v>
      </c>
      <c r="T88" s="74" t="s">
        <v>771</v>
      </c>
      <c r="U88" s="307">
        <f t="shared" si="9"/>
        <v>0</v>
      </c>
      <c r="V88" s="161"/>
    </row>
    <row r="89" spans="3:22">
      <c r="C89" s="366">
        <v>88</v>
      </c>
      <c r="D89" s="309" t="s">
        <v>632</v>
      </c>
      <c r="E89" s="139" t="s">
        <v>804</v>
      </c>
      <c r="F89" s="66">
        <v>2</v>
      </c>
      <c r="G89" s="66" t="s">
        <v>770</v>
      </c>
      <c r="H89" s="74" t="s">
        <v>772</v>
      </c>
      <c r="I89" s="307">
        <f t="shared" si="5"/>
        <v>1</v>
      </c>
      <c r="K89" s="66">
        <f t="shared" si="6"/>
        <v>0</v>
      </c>
      <c r="L89" s="66">
        <f t="shared" si="7"/>
        <v>0</v>
      </c>
      <c r="M89" s="66"/>
      <c r="N89" s="315">
        <f t="shared" si="8"/>
        <v>0</v>
      </c>
      <c r="P89" s="292" t="s">
        <v>632</v>
      </c>
      <c r="Q89" s="139" t="s">
        <v>1958</v>
      </c>
      <c r="R89" s="66">
        <v>2</v>
      </c>
      <c r="S89" s="66" t="s">
        <v>770</v>
      </c>
      <c r="T89" s="74" t="s">
        <v>772</v>
      </c>
      <c r="U89" s="307">
        <f t="shared" si="9"/>
        <v>1</v>
      </c>
      <c r="V89" s="161"/>
    </row>
    <row r="90" spans="3:22">
      <c r="C90" s="366">
        <v>89</v>
      </c>
      <c r="D90" s="309" t="s">
        <v>340</v>
      </c>
      <c r="E90" s="139" t="s">
        <v>341</v>
      </c>
      <c r="F90" s="66">
        <v>1</v>
      </c>
      <c r="G90" s="66" t="s">
        <v>773</v>
      </c>
      <c r="H90" s="74" t="s">
        <v>771</v>
      </c>
      <c r="I90" s="307">
        <f t="shared" si="5"/>
        <v>0</v>
      </c>
      <c r="K90" s="66">
        <f t="shared" si="6"/>
        <v>0</v>
      </c>
      <c r="L90" s="66">
        <f t="shared" si="7"/>
        <v>0</v>
      </c>
      <c r="M90" s="66"/>
      <c r="N90" s="315">
        <f t="shared" si="8"/>
        <v>0</v>
      </c>
      <c r="P90" s="292" t="s">
        <v>340</v>
      </c>
      <c r="Q90" s="139" t="s">
        <v>1809</v>
      </c>
      <c r="R90" s="66">
        <v>1</v>
      </c>
      <c r="S90" s="66" t="s">
        <v>773</v>
      </c>
      <c r="T90" s="74" t="s">
        <v>771</v>
      </c>
      <c r="U90" s="307">
        <f t="shared" si="9"/>
        <v>0</v>
      </c>
      <c r="V90" s="161"/>
    </row>
    <row r="91" spans="3:22">
      <c r="C91" s="366">
        <v>90</v>
      </c>
      <c r="D91" s="309" t="s">
        <v>673</v>
      </c>
      <c r="E91" s="139" t="s">
        <v>674</v>
      </c>
      <c r="F91" s="66">
        <v>1</v>
      </c>
      <c r="G91" s="66" t="s">
        <v>773</v>
      </c>
      <c r="H91" s="74" t="s">
        <v>771</v>
      </c>
      <c r="I91" s="307">
        <f t="shared" si="5"/>
        <v>0</v>
      </c>
      <c r="K91" s="66">
        <f t="shared" si="6"/>
        <v>0</v>
      </c>
      <c r="L91" s="66">
        <f t="shared" si="7"/>
        <v>0</v>
      </c>
      <c r="M91" s="66"/>
      <c r="N91" s="315">
        <f t="shared" si="8"/>
        <v>0</v>
      </c>
      <c r="P91" s="292" t="s">
        <v>673</v>
      </c>
      <c r="Q91" s="139" t="s">
        <v>1981</v>
      </c>
      <c r="R91" s="66">
        <v>1</v>
      </c>
      <c r="S91" s="66" t="s">
        <v>773</v>
      </c>
      <c r="T91" s="74" t="s">
        <v>771</v>
      </c>
      <c r="U91" s="307">
        <f t="shared" si="9"/>
        <v>0</v>
      </c>
      <c r="V91" s="161"/>
    </row>
    <row r="92" spans="3:22">
      <c r="C92" s="366">
        <v>91</v>
      </c>
      <c r="D92" s="309" t="s">
        <v>533</v>
      </c>
      <c r="E92" s="139" t="s">
        <v>534</v>
      </c>
      <c r="F92" s="66">
        <v>1</v>
      </c>
      <c r="G92" s="66" t="s">
        <v>773</v>
      </c>
      <c r="H92" s="74" t="s">
        <v>771</v>
      </c>
      <c r="I92" s="307">
        <f t="shared" si="5"/>
        <v>0</v>
      </c>
      <c r="K92" s="66">
        <f t="shared" si="6"/>
        <v>0</v>
      </c>
      <c r="L92" s="66">
        <f t="shared" si="7"/>
        <v>0</v>
      </c>
      <c r="M92" s="66"/>
      <c r="N92" s="315">
        <f t="shared" si="8"/>
        <v>0</v>
      </c>
      <c r="P92" s="292" t="s">
        <v>533</v>
      </c>
      <c r="Q92" s="139" t="s">
        <v>1907</v>
      </c>
      <c r="R92" s="66">
        <v>1</v>
      </c>
      <c r="S92" s="66" t="s">
        <v>773</v>
      </c>
      <c r="T92" s="74" t="s">
        <v>771</v>
      </c>
      <c r="U92" s="307">
        <f t="shared" si="9"/>
        <v>0</v>
      </c>
      <c r="V92" s="161"/>
    </row>
    <row r="93" spans="3:22">
      <c r="C93" s="366">
        <v>92</v>
      </c>
      <c r="D93" s="309" t="s">
        <v>183</v>
      </c>
      <c r="E93" s="139" t="s">
        <v>184</v>
      </c>
      <c r="F93" s="66">
        <v>2</v>
      </c>
      <c r="G93" s="66" t="s">
        <v>773</v>
      </c>
      <c r="H93" s="74" t="s">
        <v>771</v>
      </c>
      <c r="I93" s="307">
        <f t="shared" si="5"/>
        <v>0</v>
      </c>
      <c r="K93" s="66">
        <f t="shared" si="6"/>
        <v>0</v>
      </c>
      <c r="L93" s="66">
        <f t="shared" si="7"/>
        <v>0</v>
      </c>
      <c r="M93" s="66"/>
      <c r="N93" s="315">
        <f t="shared" si="8"/>
        <v>0</v>
      </c>
      <c r="P93" s="292" t="s">
        <v>183</v>
      </c>
      <c r="Q93" s="139" t="s">
        <v>1728</v>
      </c>
      <c r="R93" s="66">
        <v>2</v>
      </c>
      <c r="S93" s="66" t="s">
        <v>773</v>
      </c>
      <c r="T93" s="74" t="s">
        <v>771</v>
      </c>
      <c r="U93" s="307">
        <f t="shared" si="9"/>
        <v>0</v>
      </c>
      <c r="V93" s="45"/>
    </row>
    <row r="94" spans="3:22">
      <c r="C94" s="366">
        <v>93</v>
      </c>
      <c r="D94" s="309" t="s">
        <v>525</v>
      </c>
      <c r="E94" s="139" t="s">
        <v>526</v>
      </c>
      <c r="F94" s="66">
        <v>1</v>
      </c>
      <c r="G94" s="66" t="s">
        <v>773</v>
      </c>
      <c r="H94" s="74" t="s">
        <v>771</v>
      </c>
      <c r="I94" s="307">
        <f t="shared" si="5"/>
        <v>0</v>
      </c>
      <c r="K94" s="66">
        <f t="shared" si="6"/>
        <v>0</v>
      </c>
      <c r="L94" s="66">
        <f t="shared" si="7"/>
        <v>0</v>
      </c>
      <c r="M94" s="66"/>
      <c r="N94" s="315">
        <f t="shared" si="8"/>
        <v>0</v>
      </c>
      <c r="P94" s="292" t="s">
        <v>525</v>
      </c>
      <c r="Q94" s="139" t="s">
        <v>1903</v>
      </c>
      <c r="R94" s="66">
        <v>1</v>
      </c>
      <c r="S94" s="66" t="s">
        <v>773</v>
      </c>
      <c r="T94" s="74" t="s">
        <v>771</v>
      </c>
      <c r="U94" s="307">
        <f t="shared" si="9"/>
        <v>0</v>
      </c>
      <c r="V94" s="161"/>
    </row>
    <row r="95" spans="3:22">
      <c r="C95" s="366">
        <v>94</v>
      </c>
      <c r="D95" s="309" t="s">
        <v>606</v>
      </c>
      <c r="E95" s="139" t="s">
        <v>607</v>
      </c>
      <c r="F95" s="66">
        <v>2</v>
      </c>
      <c r="G95" s="66" t="s">
        <v>770</v>
      </c>
      <c r="H95" s="74" t="s">
        <v>771</v>
      </c>
      <c r="I95" s="307">
        <f t="shared" si="5"/>
        <v>1</v>
      </c>
      <c r="K95" s="66">
        <f t="shared" si="6"/>
        <v>0</v>
      </c>
      <c r="L95" s="66">
        <f t="shared" si="7"/>
        <v>0</v>
      </c>
      <c r="M95" s="66"/>
      <c r="N95" s="315">
        <f t="shared" si="8"/>
        <v>0</v>
      </c>
      <c r="P95" s="292" t="s">
        <v>606</v>
      </c>
      <c r="Q95" s="139" t="s">
        <v>1944</v>
      </c>
      <c r="R95" s="66">
        <v>2</v>
      </c>
      <c r="S95" s="66" t="s">
        <v>770</v>
      </c>
      <c r="T95" s="74" t="s">
        <v>771</v>
      </c>
      <c r="U95" s="307">
        <f t="shared" si="9"/>
        <v>1</v>
      </c>
      <c r="V95" s="161"/>
    </row>
    <row r="96" spans="3:22">
      <c r="C96" s="366">
        <v>95</v>
      </c>
      <c r="D96" s="309" t="s">
        <v>697</v>
      </c>
      <c r="E96" s="139" t="s">
        <v>698</v>
      </c>
      <c r="F96" s="66">
        <v>2</v>
      </c>
      <c r="G96" s="66" t="s">
        <v>770</v>
      </c>
      <c r="H96" s="74" t="s">
        <v>771</v>
      </c>
      <c r="I96" s="307">
        <f t="shared" si="5"/>
        <v>1</v>
      </c>
      <c r="K96" s="66">
        <f t="shared" si="6"/>
        <v>0</v>
      </c>
      <c r="L96" s="66">
        <f t="shared" si="7"/>
        <v>0</v>
      </c>
      <c r="M96" s="66"/>
      <c r="N96" s="315">
        <f t="shared" si="8"/>
        <v>0</v>
      </c>
      <c r="P96" s="292" t="s">
        <v>697</v>
      </c>
      <c r="Q96" s="139" t="s">
        <v>1994</v>
      </c>
      <c r="R96" s="66">
        <v>2</v>
      </c>
      <c r="S96" s="66" t="s">
        <v>770</v>
      </c>
      <c r="T96" s="74" t="s">
        <v>771</v>
      </c>
      <c r="U96" s="307">
        <f t="shared" si="9"/>
        <v>1</v>
      </c>
      <c r="V96" s="161"/>
    </row>
    <row r="97" spans="3:22">
      <c r="C97" s="366">
        <v>96</v>
      </c>
      <c r="D97" s="309" t="s">
        <v>404</v>
      </c>
      <c r="E97" s="139" t="s">
        <v>405</v>
      </c>
      <c r="F97" s="66">
        <v>2</v>
      </c>
      <c r="G97" s="297" t="s">
        <v>770</v>
      </c>
      <c r="H97" s="74" t="s">
        <v>771</v>
      </c>
      <c r="I97" s="307">
        <f t="shared" si="5"/>
        <v>1</v>
      </c>
      <c r="K97" s="66">
        <f t="shared" si="6"/>
        <v>0</v>
      </c>
      <c r="L97" s="66">
        <f t="shared" si="7"/>
        <v>0</v>
      </c>
      <c r="M97" s="66"/>
      <c r="N97" s="315">
        <f t="shared" si="8"/>
        <v>0</v>
      </c>
      <c r="P97" s="292" t="s">
        <v>404</v>
      </c>
      <c r="Q97" s="139" t="s">
        <v>1844</v>
      </c>
      <c r="R97" s="66">
        <v>2</v>
      </c>
      <c r="S97" s="297" t="s">
        <v>770</v>
      </c>
      <c r="T97" s="74" t="s">
        <v>771</v>
      </c>
      <c r="U97" s="307">
        <f t="shared" si="9"/>
        <v>1</v>
      </c>
      <c r="V97" s="161"/>
    </row>
    <row r="98" spans="3:22">
      <c r="C98" s="366">
        <v>97</v>
      </c>
      <c r="D98" s="309" t="s">
        <v>410</v>
      </c>
      <c r="E98" s="139" t="s">
        <v>411</v>
      </c>
      <c r="F98" s="66">
        <v>2</v>
      </c>
      <c r="G98" s="66" t="s">
        <v>773</v>
      </c>
      <c r="H98" s="74" t="s">
        <v>771</v>
      </c>
      <c r="I98" s="307">
        <f t="shared" si="5"/>
        <v>0</v>
      </c>
      <c r="K98" s="66">
        <f t="shared" si="6"/>
        <v>0</v>
      </c>
      <c r="L98" s="66">
        <f t="shared" si="7"/>
        <v>0</v>
      </c>
      <c r="M98" s="66"/>
      <c r="N98" s="315">
        <f t="shared" si="8"/>
        <v>0</v>
      </c>
      <c r="P98" s="292" t="s">
        <v>410</v>
      </c>
      <c r="Q98" s="139" t="s">
        <v>1847</v>
      </c>
      <c r="R98" s="66">
        <v>2</v>
      </c>
      <c r="S98" s="66" t="s">
        <v>773</v>
      </c>
      <c r="T98" s="74" t="s">
        <v>771</v>
      </c>
      <c r="U98" s="307">
        <f t="shared" si="9"/>
        <v>0</v>
      </c>
      <c r="V98" s="161"/>
    </row>
    <row r="99" spans="3:22">
      <c r="C99" s="366">
        <v>98</v>
      </c>
      <c r="D99" s="309" t="s">
        <v>295</v>
      </c>
      <c r="E99" s="139" t="s">
        <v>296</v>
      </c>
      <c r="F99" s="66">
        <v>2</v>
      </c>
      <c r="G99" s="66" t="s">
        <v>773</v>
      </c>
      <c r="H99" s="74" t="s">
        <v>771</v>
      </c>
      <c r="I99" s="307">
        <f t="shared" si="5"/>
        <v>0</v>
      </c>
      <c r="K99" s="66">
        <f t="shared" si="6"/>
        <v>0</v>
      </c>
      <c r="L99" s="66">
        <f t="shared" si="7"/>
        <v>0</v>
      </c>
      <c r="M99" s="66"/>
      <c r="N99" s="315">
        <f t="shared" si="8"/>
        <v>0</v>
      </c>
      <c r="P99" s="292" t="s">
        <v>295</v>
      </c>
      <c r="Q99" s="139" t="s">
        <v>1786</v>
      </c>
      <c r="R99" s="66">
        <v>2</v>
      </c>
      <c r="S99" s="66" t="s">
        <v>773</v>
      </c>
      <c r="T99" s="74" t="s">
        <v>771</v>
      </c>
      <c r="U99" s="307">
        <f t="shared" si="9"/>
        <v>0</v>
      </c>
      <c r="V99" s="161"/>
    </row>
    <row r="100" spans="3:22">
      <c r="C100" s="366">
        <v>99</v>
      </c>
      <c r="D100" s="309" t="s">
        <v>722</v>
      </c>
      <c r="E100" s="139" t="s">
        <v>723</v>
      </c>
      <c r="F100" s="66">
        <v>1</v>
      </c>
      <c r="G100" s="66" t="s">
        <v>773</v>
      </c>
      <c r="H100" s="74" t="s">
        <v>771</v>
      </c>
      <c r="I100" s="307">
        <f t="shared" si="5"/>
        <v>0</v>
      </c>
      <c r="K100" s="66">
        <f t="shared" si="6"/>
        <v>0</v>
      </c>
      <c r="L100" s="66">
        <f t="shared" si="7"/>
        <v>0</v>
      </c>
      <c r="M100" s="66"/>
      <c r="N100" s="315">
        <f t="shared" si="8"/>
        <v>0</v>
      </c>
      <c r="P100" s="292" t="s">
        <v>722</v>
      </c>
      <c r="Q100" s="139" t="s">
        <v>2007</v>
      </c>
      <c r="R100" s="66">
        <v>1</v>
      </c>
      <c r="S100" s="66" t="s">
        <v>773</v>
      </c>
      <c r="T100" s="74" t="s">
        <v>771</v>
      </c>
      <c r="U100" s="307">
        <f t="shared" si="9"/>
        <v>0</v>
      </c>
      <c r="V100" s="161"/>
    </row>
    <row r="101" spans="3:22">
      <c r="C101" s="366">
        <v>100</v>
      </c>
      <c r="D101" s="309" t="s">
        <v>730</v>
      </c>
      <c r="E101" s="139" t="s">
        <v>731</v>
      </c>
      <c r="F101" s="66">
        <v>2</v>
      </c>
      <c r="G101" s="66" t="s">
        <v>773</v>
      </c>
      <c r="H101" s="74" t="s">
        <v>771</v>
      </c>
      <c r="I101" s="307">
        <f t="shared" si="5"/>
        <v>0</v>
      </c>
      <c r="K101" s="66">
        <f t="shared" si="6"/>
        <v>0</v>
      </c>
      <c r="L101" s="66">
        <f t="shared" si="7"/>
        <v>0</v>
      </c>
      <c r="M101" s="66"/>
      <c r="N101" s="315">
        <f t="shared" si="8"/>
        <v>0</v>
      </c>
      <c r="P101" s="292" t="s">
        <v>730</v>
      </c>
      <c r="Q101" s="139" t="s">
        <v>2011</v>
      </c>
      <c r="R101" s="66">
        <v>2</v>
      </c>
      <c r="S101" s="66" t="s">
        <v>773</v>
      </c>
      <c r="T101" s="74" t="s">
        <v>771</v>
      </c>
      <c r="U101" s="307">
        <f t="shared" si="9"/>
        <v>0</v>
      </c>
      <c r="V101" s="161"/>
    </row>
    <row r="102" spans="3:22">
      <c r="C102" s="366">
        <v>101</v>
      </c>
      <c r="D102" s="309" t="s">
        <v>588</v>
      </c>
      <c r="E102" s="139" t="s">
        <v>589</v>
      </c>
      <c r="F102" s="66">
        <v>1</v>
      </c>
      <c r="G102" s="66" t="s">
        <v>773</v>
      </c>
      <c r="H102" s="74" t="s">
        <v>771</v>
      </c>
      <c r="I102" s="307">
        <f t="shared" si="5"/>
        <v>0</v>
      </c>
      <c r="K102" s="66">
        <f t="shared" si="6"/>
        <v>0</v>
      </c>
      <c r="L102" s="66">
        <f t="shared" si="7"/>
        <v>0</v>
      </c>
      <c r="M102" s="66"/>
      <c r="N102" s="315">
        <f t="shared" si="8"/>
        <v>0</v>
      </c>
      <c r="P102" s="292" t="s">
        <v>588</v>
      </c>
      <c r="Q102" s="139" t="s">
        <v>1935</v>
      </c>
      <c r="R102" s="66">
        <v>1</v>
      </c>
      <c r="S102" s="66" t="s">
        <v>773</v>
      </c>
      <c r="T102" s="74" t="s">
        <v>771</v>
      </c>
      <c r="U102" s="307">
        <f t="shared" si="9"/>
        <v>0</v>
      </c>
      <c r="V102" s="161"/>
    </row>
    <row r="103" spans="3:22">
      <c r="C103" s="366">
        <v>102</v>
      </c>
      <c r="D103" s="309" t="s">
        <v>460</v>
      </c>
      <c r="E103" s="139" t="s">
        <v>461</v>
      </c>
      <c r="F103" s="66">
        <v>2</v>
      </c>
      <c r="G103" s="66" t="s">
        <v>770</v>
      </c>
      <c r="H103" s="74" t="s">
        <v>772</v>
      </c>
      <c r="I103" s="307">
        <f t="shared" si="5"/>
        <v>1</v>
      </c>
      <c r="K103" s="66">
        <f t="shared" si="6"/>
        <v>0</v>
      </c>
      <c r="L103" s="66">
        <f t="shared" si="7"/>
        <v>0</v>
      </c>
      <c r="M103" s="66"/>
      <c r="N103" s="315">
        <f t="shared" si="8"/>
        <v>0</v>
      </c>
      <c r="P103" s="292" t="s">
        <v>460</v>
      </c>
      <c r="Q103" s="139" t="s">
        <v>1872</v>
      </c>
      <c r="R103" s="66">
        <v>2</v>
      </c>
      <c r="S103" s="66" t="s">
        <v>770</v>
      </c>
      <c r="T103" s="74" t="s">
        <v>772</v>
      </c>
      <c r="U103" s="307">
        <f t="shared" si="9"/>
        <v>1</v>
      </c>
      <c r="V103" s="161"/>
    </row>
    <row r="104" spans="3:22">
      <c r="C104" s="366">
        <v>103</v>
      </c>
      <c r="D104" s="309" t="s">
        <v>596</v>
      </c>
      <c r="E104" s="139" t="s">
        <v>597</v>
      </c>
      <c r="F104" s="66">
        <v>2</v>
      </c>
      <c r="G104" s="66" t="s">
        <v>770</v>
      </c>
      <c r="H104" s="74" t="s">
        <v>772</v>
      </c>
      <c r="I104" s="307">
        <f t="shared" si="5"/>
        <v>1</v>
      </c>
      <c r="K104" s="66">
        <f t="shared" si="6"/>
        <v>0</v>
      </c>
      <c r="L104" s="66">
        <f t="shared" si="7"/>
        <v>0</v>
      </c>
      <c r="M104" s="66"/>
      <c r="N104" s="315">
        <f t="shared" si="8"/>
        <v>0</v>
      </c>
      <c r="P104" s="292" t="s">
        <v>596</v>
      </c>
      <c r="Q104" s="139" t="s">
        <v>1939</v>
      </c>
      <c r="R104" s="66">
        <v>2</v>
      </c>
      <c r="S104" s="66" t="s">
        <v>770</v>
      </c>
      <c r="T104" s="74" t="s">
        <v>772</v>
      </c>
      <c r="U104" s="307">
        <f t="shared" si="9"/>
        <v>1</v>
      </c>
      <c r="V104" s="161"/>
    </row>
    <row r="105" spans="3:22">
      <c r="C105" s="366">
        <v>104</v>
      </c>
      <c r="D105" s="309" t="s">
        <v>218</v>
      </c>
      <c r="E105" s="139" t="s">
        <v>219</v>
      </c>
      <c r="F105" s="66">
        <v>2</v>
      </c>
      <c r="G105" s="66" t="s">
        <v>770</v>
      </c>
      <c r="H105" s="74" t="s">
        <v>772</v>
      </c>
      <c r="I105" s="307">
        <f t="shared" si="5"/>
        <v>1</v>
      </c>
      <c r="K105" s="66">
        <f t="shared" si="6"/>
        <v>0</v>
      </c>
      <c r="L105" s="66">
        <f t="shared" si="7"/>
        <v>0</v>
      </c>
      <c r="M105" s="66"/>
      <c r="N105" s="315">
        <f t="shared" si="8"/>
        <v>0</v>
      </c>
      <c r="P105" s="292" t="s">
        <v>218</v>
      </c>
      <c r="Q105" s="139" t="s">
        <v>1747</v>
      </c>
      <c r="R105" s="66">
        <v>2</v>
      </c>
      <c r="S105" s="66" t="s">
        <v>770</v>
      </c>
      <c r="T105" s="74" t="s">
        <v>772</v>
      </c>
      <c r="U105" s="307">
        <f t="shared" si="9"/>
        <v>1</v>
      </c>
      <c r="V105" s="161"/>
    </row>
    <row r="106" spans="3:22">
      <c r="C106" s="366">
        <v>105</v>
      </c>
      <c r="D106" s="309" t="s">
        <v>650</v>
      </c>
      <c r="E106" s="139" t="s">
        <v>651</v>
      </c>
      <c r="F106" s="66">
        <v>2</v>
      </c>
      <c r="G106" s="66" t="s">
        <v>770</v>
      </c>
      <c r="H106" s="74" t="s">
        <v>772</v>
      </c>
      <c r="I106" s="307">
        <f t="shared" si="5"/>
        <v>1</v>
      </c>
      <c r="K106" s="66">
        <f t="shared" si="6"/>
        <v>0</v>
      </c>
      <c r="L106" s="66">
        <f t="shared" si="7"/>
        <v>0</v>
      </c>
      <c r="M106" s="66"/>
      <c r="N106" s="315">
        <f t="shared" si="8"/>
        <v>0</v>
      </c>
      <c r="P106" s="292" t="s">
        <v>650</v>
      </c>
      <c r="Q106" s="139" t="s">
        <v>1968</v>
      </c>
      <c r="R106" s="66">
        <v>2</v>
      </c>
      <c r="S106" s="66" t="s">
        <v>770</v>
      </c>
      <c r="T106" s="74" t="s">
        <v>772</v>
      </c>
      <c r="U106" s="307">
        <f t="shared" si="9"/>
        <v>1</v>
      </c>
      <c r="V106" s="161"/>
    </row>
    <row r="107" spans="3:22">
      <c r="C107" s="366">
        <v>106</v>
      </c>
      <c r="D107" s="309" t="s">
        <v>454</v>
      </c>
      <c r="E107" s="139" t="s">
        <v>455</v>
      </c>
      <c r="F107" s="66">
        <v>2</v>
      </c>
      <c r="G107" s="66" t="s">
        <v>770</v>
      </c>
      <c r="H107" s="74" t="s">
        <v>771</v>
      </c>
      <c r="I107" s="307">
        <f t="shared" si="5"/>
        <v>1</v>
      </c>
      <c r="K107" s="66">
        <f t="shared" si="6"/>
        <v>0</v>
      </c>
      <c r="L107" s="66">
        <f t="shared" si="7"/>
        <v>0</v>
      </c>
      <c r="M107" s="66"/>
      <c r="N107" s="315">
        <f t="shared" si="8"/>
        <v>0</v>
      </c>
      <c r="P107" s="292" t="s">
        <v>454</v>
      </c>
      <c r="Q107" s="139" t="s">
        <v>1869</v>
      </c>
      <c r="R107" s="66">
        <v>2</v>
      </c>
      <c r="S107" s="66" t="s">
        <v>770</v>
      </c>
      <c r="T107" s="74" t="s">
        <v>771</v>
      </c>
      <c r="U107" s="307">
        <f t="shared" si="9"/>
        <v>1</v>
      </c>
      <c r="V107" s="161"/>
    </row>
    <row r="108" spans="3:22">
      <c r="C108" s="366">
        <v>107</v>
      </c>
      <c r="D108" s="309" t="s">
        <v>728</v>
      </c>
      <c r="E108" s="139" t="s">
        <v>729</v>
      </c>
      <c r="F108" s="66">
        <v>2</v>
      </c>
      <c r="G108" s="66" t="s">
        <v>773</v>
      </c>
      <c r="H108" s="74" t="s">
        <v>771</v>
      </c>
      <c r="I108" s="307">
        <f t="shared" si="5"/>
        <v>0</v>
      </c>
      <c r="K108" s="66">
        <f t="shared" si="6"/>
        <v>0</v>
      </c>
      <c r="L108" s="66">
        <f t="shared" si="7"/>
        <v>0</v>
      </c>
      <c r="M108" s="66"/>
      <c r="N108" s="315">
        <f t="shared" si="8"/>
        <v>0</v>
      </c>
      <c r="P108" s="292" t="s">
        <v>728</v>
      </c>
      <c r="Q108" s="139" t="s">
        <v>2010</v>
      </c>
      <c r="R108" s="66">
        <v>2</v>
      </c>
      <c r="S108" s="66" t="s">
        <v>773</v>
      </c>
      <c r="T108" s="74" t="s">
        <v>771</v>
      </c>
      <c r="U108" s="307">
        <f t="shared" si="9"/>
        <v>0</v>
      </c>
      <c r="V108" s="161"/>
    </row>
    <row r="109" spans="3:22">
      <c r="C109" s="366">
        <v>108</v>
      </c>
      <c r="D109" s="309" t="s">
        <v>346</v>
      </c>
      <c r="E109" s="139" t="s">
        <v>347</v>
      </c>
      <c r="F109" s="66">
        <v>1</v>
      </c>
      <c r="G109" s="66" t="s">
        <v>773</v>
      </c>
      <c r="H109" s="74" t="s">
        <v>771</v>
      </c>
      <c r="I109" s="307">
        <f t="shared" si="5"/>
        <v>0</v>
      </c>
      <c r="K109" s="66">
        <f t="shared" si="6"/>
        <v>0</v>
      </c>
      <c r="L109" s="66">
        <f t="shared" si="7"/>
        <v>0</v>
      </c>
      <c r="M109" s="66"/>
      <c r="N109" s="315">
        <f t="shared" si="8"/>
        <v>0</v>
      </c>
      <c r="P109" s="292" t="s">
        <v>346</v>
      </c>
      <c r="Q109" s="139" t="s">
        <v>1812</v>
      </c>
      <c r="R109" s="66">
        <v>1</v>
      </c>
      <c r="S109" s="66" t="s">
        <v>773</v>
      </c>
      <c r="T109" s="74" t="s">
        <v>771</v>
      </c>
      <c r="U109" s="307">
        <f t="shared" si="9"/>
        <v>0</v>
      </c>
      <c r="V109" s="161"/>
    </row>
    <row r="110" spans="3:22">
      <c r="C110" s="366">
        <v>109</v>
      </c>
      <c r="D110" s="309" t="s">
        <v>215</v>
      </c>
      <c r="E110" s="139" t="s">
        <v>216</v>
      </c>
      <c r="F110" s="66">
        <v>2</v>
      </c>
      <c r="G110" s="66" t="s">
        <v>773</v>
      </c>
      <c r="H110" s="74" t="s">
        <v>771</v>
      </c>
      <c r="I110" s="307">
        <f t="shared" si="5"/>
        <v>0</v>
      </c>
      <c r="K110" s="66">
        <f t="shared" si="6"/>
        <v>0</v>
      </c>
      <c r="L110" s="66">
        <f t="shared" si="7"/>
        <v>0</v>
      </c>
      <c r="M110" s="66"/>
      <c r="N110" s="315">
        <f t="shared" si="8"/>
        <v>0</v>
      </c>
      <c r="P110" s="292" t="s">
        <v>215</v>
      </c>
      <c r="Q110" s="139" t="s">
        <v>1745</v>
      </c>
      <c r="R110" s="66">
        <v>2</v>
      </c>
      <c r="S110" s="66" t="s">
        <v>773</v>
      </c>
      <c r="T110" s="74" t="s">
        <v>771</v>
      </c>
      <c r="U110" s="307">
        <f t="shared" si="9"/>
        <v>0</v>
      </c>
      <c r="V110" s="161"/>
    </row>
    <row r="111" spans="3:22">
      <c r="C111" s="366">
        <v>110</v>
      </c>
      <c r="D111" s="309" t="s">
        <v>470</v>
      </c>
      <c r="E111" s="139" t="s">
        <v>471</v>
      </c>
      <c r="F111" s="66">
        <v>2</v>
      </c>
      <c r="G111" s="66" t="s">
        <v>770</v>
      </c>
      <c r="H111" s="74" t="s">
        <v>772</v>
      </c>
      <c r="I111" s="307">
        <f t="shared" si="5"/>
        <v>1</v>
      </c>
      <c r="K111" s="66">
        <f t="shared" si="6"/>
        <v>0</v>
      </c>
      <c r="L111" s="66">
        <f t="shared" si="7"/>
        <v>0</v>
      </c>
      <c r="M111" s="66"/>
      <c r="N111" s="315">
        <f t="shared" si="8"/>
        <v>0</v>
      </c>
      <c r="P111" s="292" t="s">
        <v>470</v>
      </c>
      <c r="Q111" s="139" t="s">
        <v>1877</v>
      </c>
      <c r="R111" s="66">
        <v>2</v>
      </c>
      <c r="S111" s="66" t="s">
        <v>770</v>
      </c>
      <c r="T111" s="74" t="s">
        <v>772</v>
      </c>
      <c r="U111" s="307">
        <f t="shared" si="9"/>
        <v>1</v>
      </c>
      <c r="V111" s="161"/>
    </row>
    <row r="112" spans="3:22">
      <c r="C112" s="366">
        <v>111</v>
      </c>
      <c r="D112" s="309" t="s">
        <v>299</v>
      </c>
      <c r="E112" s="139" t="s">
        <v>300</v>
      </c>
      <c r="F112" s="66">
        <v>2</v>
      </c>
      <c r="G112" s="66" t="s">
        <v>773</v>
      </c>
      <c r="H112" s="74" t="s">
        <v>771</v>
      </c>
      <c r="I112" s="307">
        <f t="shared" si="5"/>
        <v>0</v>
      </c>
      <c r="K112" s="66">
        <f t="shared" si="6"/>
        <v>0</v>
      </c>
      <c r="L112" s="66">
        <f t="shared" si="7"/>
        <v>0</v>
      </c>
      <c r="M112" s="66"/>
      <c r="N112" s="315">
        <f t="shared" si="8"/>
        <v>0</v>
      </c>
      <c r="P112" s="292" t="s">
        <v>299</v>
      </c>
      <c r="Q112" s="139" t="s">
        <v>1788</v>
      </c>
      <c r="R112" s="66">
        <v>2</v>
      </c>
      <c r="S112" s="66" t="s">
        <v>773</v>
      </c>
      <c r="T112" s="74" t="s">
        <v>771</v>
      </c>
      <c r="U112" s="307">
        <f t="shared" si="9"/>
        <v>0</v>
      </c>
      <c r="V112" s="161"/>
    </row>
    <row r="113" spans="3:22">
      <c r="C113" s="366">
        <v>112</v>
      </c>
      <c r="D113" s="314" t="s">
        <v>2364</v>
      </c>
      <c r="E113" s="299" t="s">
        <v>2363</v>
      </c>
      <c r="F113" s="66">
        <v>2</v>
      </c>
      <c r="G113" s="66" t="s">
        <v>773</v>
      </c>
      <c r="H113" s="74" t="s">
        <v>771</v>
      </c>
      <c r="I113" s="307">
        <f t="shared" si="5"/>
        <v>0</v>
      </c>
      <c r="K113" s="66">
        <f t="shared" si="6"/>
        <v>0</v>
      </c>
      <c r="L113" s="66">
        <f t="shared" si="7"/>
        <v>0</v>
      </c>
      <c r="M113" s="66"/>
      <c r="N113" s="315">
        <f t="shared" si="8"/>
        <v>0</v>
      </c>
      <c r="P113" s="298" t="s">
        <v>2364</v>
      </c>
      <c r="Q113" s="299" t="s">
        <v>2454</v>
      </c>
      <c r="R113" s="66">
        <v>2</v>
      </c>
      <c r="S113" s="66" t="s">
        <v>773</v>
      </c>
      <c r="T113" s="74" t="s">
        <v>771</v>
      </c>
      <c r="U113" s="307">
        <f t="shared" si="9"/>
        <v>0</v>
      </c>
      <c r="V113" s="161"/>
    </row>
    <row r="114" spans="3:22">
      <c r="C114" s="366">
        <v>113</v>
      </c>
      <c r="D114" s="310" t="s">
        <v>1687</v>
      </c>
      <c r="E114" s="73" t="s">
        <v>1686</v>
      </c>
      <c r="F114" s="66">
        <v>2</v>
      </c>
      <c r="G114" s="66" t="s">
        <v>773</v>
      </c>
      <c r="H114" s="74" t="s">
        <v>771</v>
      </c>
      <c r="I114" s="307">
        <f t="shared" si="5"/>
        <v>0</v>
      </c>
      <c r="K114" s="66">
        <f t="shared" si="6"/>
        <v>0</v>
      </c>
      <c r="L114" s="66">
        <f t="shared" si="7"/>
        <v>0</v>
      </c>
      <c r="M114" s="66"/>
      <c r="N114" s="315">
        <f t="shared" si="8"/>
        <v>0</v>
      </c>
      <c r="P114" s="172" t="s">
        <v>1687</v>
      </c>
      <c r="Q114" s="73" t="s">
        <v>2024</v>
      </c>
      <c r="R114" s="66">
        <v>2</v>
      </c>
      <c r="S114" s="66" t="s">
        <v>773</v>
      </c>
      <c r="T114" s="74" t="s">
        <v>771</v>
      </c>
      <c r="U114" s="307">
        <f t="shared" si="9"/>
        <v>0</v>
      </c>
      <c r="V114" s="161"/>
    </row>
    <row r="115" spans="3:22">
      <c r="C115" s="366">
        <v>114</v>
      </c>
      <c r="D115" s="315" t="s">
        <v>1554</v>
      </c>
      <c r="E115" s="73" t="s">
        <v>1640</v>
      </c>
      <c r="F115" s="66">
        <v>2</v>
      </c>
      <c r="G115" s="66" t="s">
        <v>773</v>
      </c>
      <c r="H115" s="74" t="s">
        <v>771</v>
      </c>
      <c r="I115" s="307">
        <f t="shared" si="5"/>
        <v>0</v>
      </c>
      <c r="K115" s="66">
        <f t="shared" si="6"/>
        <v>0</v>
      </c>
      <c r="L115" s="66">
        <f t="shared" si="7"/>
        <v>0</v>
      </c>
      <c r="M115" s="66"/>
      <c r="N115" s="315">
        <f t="shared" si="8"/>
        <v>0</v>
      </c>
      <c r="P115" s="300" t="s">
        <v>1554</v>
      </c>
      <c r="Q115" s="73" t="s">
        <v>2021</v>
      </c>
      <c r="R115" s="66">
        <v>2</v>
      </c>
      <c r="S115" s="66" t="s">
        <v>773</v>
      </c>
      <c r="T115" s="74" t="s">
        <v>771</v>
      </c>
      <c r="U115" s="307">
        <f t="shared" si="9"/>
        <v>0</v>
      </c>
      <c r="V115" s="161"/>
    </row>
    <row r="116" spans="3:22">
      <c r="C116" s="366">
        <v>115</v>
      </c>
      <c r="D116" s="310" t="s">
        <v>1625</v>
      </c>
      <c r="E116" s="73" t="s">
        <v>1641</v>
      </c>
      <c r="F116" s="66">
        <v>2</v>
      </c>
      <c r="G116" s="66" t="s">
        <v>773</v>
      </c>
      <c r="H116" s="74" t="s">
        <v>771</v>
      </c>
      <c r="I116" s="307">
        <f t="shared" si="5"/>
        <v>0</v>
      </c>
      <c r="K116" s="66">
        <f t="shared" si="6"/>
        <v>0</v>
      </c>
      <c r="L116" s="66">
        <f t="shared" si="7"/>
        <v>0</v>
      </c>
      <c r="M116" s="66"/>
      <c r="N116" s="315">
        <f t="shared" si="8"/>
        <v>0</v>
      </c>
      <c r="P116" s="172" t="s">
        <v>1625</v>
      </c>
      <c r="Q116" s="73" t="s">
        <v>2022</v>
      </c>
      <c r="R116" s="66">
        <v>2</v>
      </c>
      <c r="S116" s="66" t="s">
        <v>773</v>
      </c>
      <c r="T116" s="74" t="s">
        <v>771</v>
      </c>
      <c r="U116" s="307">
        <f t="shared" si="9"/>
        <v>0</v>
      </c>
      <c r="V116" s="161"/>
    </row>
    <row r="117" spans="3:22">
      <c r="C117" s="366">
        <v>116</v>
      </c>
      <c r="D117" s="309" t="s">
        <v>263</v>
      </c>
      <c r="E117" s="139" t="s">
        <v>264</v>
      </c>
      <c r="F117" s="66">
        <v>2</v>
      </c>
      <c r="G117" s="66" t="s">
        <v>770</v>
      </c>
      <c r="H117" s="74" t="s">
        <v>771</v>
      </c>
      <c r="I117" s="307">
        <f t="shared" si="5"/>
        <v>1</v>
      </c>
      <c r="K117" s="66">
        <f t="shared" si="6"/>
        <v>0</v>
      </c>
      <c r="L117" s="66">
        <f t="shared" si="7"/>
        <v>0</v>
      </c>
      <c r="M117" s="66"/>
      <c r="N117" s="315">
        <f t="shared" si="8"/>
        <v>0</v>
      </c>
      <c r="P117" s="292" t="s">
        <v>263</v>
      </c>
      <c r="Q117" s="139" t="s">
        <v>1770</v>
      </c>
      <c r="R117" s="66">
        <v>2</v>
      </c>
      <c r="S117" s="66" t="s">
        <v>770</v>
      </c>
      <c r="T117" s="74" t="s">
        <v>771</v>
      </c>
      <c r="U117" s="307">
        <f t="shared" si="9"/>
        <v>1</v>
      </c>
      <c r="V117" s="161"/>
    </row>
    <row r="118" spans="3:22">
      <c r="C118" s="366">
        <v>117</v>
      </c>
      <c r="D118" s="309" t="s">
        <v>576</v>
      </c>
      <c r="E118" s="139" t="s">
        <v>577</v>
      </c>
      <c r="F118" s="66">
        <v>2</v>
      </c>
      <c r="G118" s="66" t="s">
        <v>773</v>
      </c>
      <c r="H118" s="74" t="s">
        <v>772</v>
      </c>
      <c r="I118" s="307">
        <f t="shared" si="5"/>
        <v>0</v>
      </c>
      <c r="K118" s="66">
        <f t="shared" si="6"/>
        <v>0</v>
      </c>
      <c r="L118" s="66">
        <f t="shared" si="7"/>
        <v>0</v>
      </c>
      <c r="M118" s="66"/>
      <c r="N118" s="315">
        <f t="shared" si="8"/>
        <v>0</v>
      </c>
      <c r="P118" s="292" t="s">
        <v>576</v>
      </c>
      <c r="Q118" s="139" t="s">
        <v>1929</v>
      </c>
      <c r="R118" s="66">
        <v>2</v>
      </c>
      <c r="S118" s="66" t="s">
        <v>773</v>
      </c>
      <c r="T118" s="74" t="s">
        <v>772</v>
      </c>
      <c r="U118" s="307">
        <f t="shared" si="9"/>
        <v>0</v>
      </c>
      <c r="V118" s="161"/>
    </row>
    <row r="119" spans="3:22">
      <c r="C119" s="366">
        <v>118</v>
      </c>
      <c r="D119" s="309" t="s">
        <v>364</v>
      </c>
      <c r="E119" s="139" t="s">
        <v>365</v>
      </c>
      <c r="F119" s="66">
        <v>1</v>
      </c>
      <c r="G119" s="66" t="s">
        <v>773</v>
      </c>
      <c r="H119" s="74" t="s">
        <v>771</v>
      </c>
      <c r="I119" s="307">
        <f t="shared" si="5"/>
        <v>0</v>
      </c>
      <c r="K119" s="66">
        <f t="shared" si="6"/>
        <v>0</v>
      </c>
      <c r="L119" s="66">
        <f t="shared" si="7"/>
        <v>0</v>
      </c>
      <c r="M119" s="66"/>
      <c r="N119" s="315">
        <f t="shared" si="8"/>
        <v>0</v>
      </c>
      <c r="P119" s="292" t="s">
        <v>364</v>
      </c>
      <c r="Q119" s="139" t="s">
        <v>1822</v>
      </c>
      <c r="R119" s="66">
        <v>1</v>
      </c>
      <c r="S119" s="66" t="s">
        <v>773</v>
      </c>
      <c r="T119" s="74" t="s">
        <v>771</v>
      </c>
      <c r="U119" s="307">
        <f t="shared" si="9"/>
        <v>0</v>
      </c>
      <c r="V119" s="161"/>
    </row>
    <row r="120" spans="3:22">
      <c r="C120" s="366">
        <v>119</v>
      </c>
      <c r="D120" s="309" t="s">
        <v>273</v>
      </c>
      <c r="E120" s="139" t="s">
        <v>274</v>
      </c>
      <c r="F120" s="66">
        <v>2</v>
      </c>
      <c r="G120" s="66" t="s">
        <v>770</v>
      </c>
      <c r="H120" s="74" t="s">
        <v>771</v>
      </c>
      <c r="I120" s="307">
        <f t="shared" si="5"/>
        <v>1</v>
      </c>
      <c r="K120" s="66">
        <f t="shared" si="6"/>
        <v>0</v>
      </c>
      <c r="L120" s="66">
        <f t="shared" si="7"/>
        <v>0</v>
      </c>
      <c r="M120" s="66"/>
      <c r="N120" s="315">
        <f t="shared" si="8"/>
        <v>0</v>
      </c>
      <c r="P120" s="292" t="s">
        <v>273</v>
      </c>
      <c r="Q120" s="139" t="s">
        <v>1775</v>
      </c>
      <c r="R120" s="66">
        <v>2</v>
      </c>
      <c r="S120" s="66" t="s">
        <v>770</v>
      </c>
      <c r="T120" s="74" t="s">
        <v>771</v>
      </c>
      <c r="U120" s="307">
        <f t="shared" si="9"/>
        <v>1</v>
      </c>
      <c r="V120" s="161"/>
    </row>
    <row r="121" spans="3:22">
      <c r="C121" s="366">
        <v>120</v>
      </c>
      <c r="D121" s="309" t="s">
        <v>239</v>
      </c>
      <c r="E121" s="139" t="s">
        <v>240</v>
      </c>
      <c r="F121" s="66">
        <v>2</v>
      </c>
      <c r="G121" s="66" t="s">
        <v>773</v>
      </c>
      <c r="H121" s="74" t="s">
        <v>771</v>
      </c>
      <c r="I121" s="307">
        <f t="shared" si="5"/>
        <v>0</v>
      </c>
      <c r="K121" s="66">
        <f t="shared" si="6"/>
        <v>0</v>
      </c>
      <c r="L121" s="66">
        <f t="shared" si="7"/>
        <v>0</v>
      </c>
      <c r="M121" s="66"/>
      <c r="N121" s="315">
        <f t="shared" si="8"/>
        <v>0</v>
      </c>
      <c r="P121" s="292" t="s">
        <v>239</v>
      </c>
      <c r="Q121" s="139" t="s">
        <v>1758</v>
      </c>
      <c r="R121" s="66">
        <v>2</v>
      </c>
      <c r="S121" s="66" t="s">
        <v>773</v>
      </c>
      <c r="T121" s="74" t="s">
        <v>771</v>
      </c>
      <c r="U121" s="307">
        <f t="shared" si="9"/>
        <v>0</v>
      </c>
      <c r="V121" s="161"/>
    </row>
    <row r="122" spans="3:22">
      <c r="C122" s="366">
        <v>121</v>
      </c>
      <c r="D122" s="309" t="s">
        <v>257</v>
      </c>
      <c r="E122" s="139" t="s">
        <v>258</v>
      </c>
      <c r="F122" s="66">
        <v>2</v>
      </c>
      <c r="G122" s="66" t="s">
        <v>770</v>
      </c>
      <c r="H122" s="74" t="s">
        <v>772</v>
      </c>
      <c r="I122" s="307">
        <f t="shared" si="5"/>
        <v>1</v>
      </c>
      <c r="K122" s="66">
        <f t="shared" si="6"/>
        <v>0</v>
      </c>
      <c r="L122" s="66">
        <f t="shared" si="7"/>
        <v>0</v>
      </c>
      <c r="M122" s="66"/>
      <c r="N122" s="315">
        <f t="shared" si="8"/>
        <v>0</v>
      </c>
      <c r="P122" s="292" t="s">
        <v>257</v>
      </c>
      <c r="Q122" s="139" t="s">
        <v>1767</v>
      </c>
      <c r="R122" s="66">
        <v>2</v>
      </c>
      <c r="S122" s="66" t="s">
        <v>770</v>
      </c>
      <c r="T122" s="74" t="s">
        <v>772</v>
      </c>
      <c r="U122" s="307">
        <f t="shared" si="9"/>
        <v>1</v>
      </c>
      <c r="V122" s="161"/>
    </row>
    <row r="123" spans="3:22">
      <c r="C123" s="366">
        <v>122</v>
      </c>
      <c r="D123" s="309" t="s">
        <v>243</v>
      </c>
      <c r="E123" s="139" t="s">
        <v>244</v>
      </c>
      <c r="F123" s="66">
        <v>1</v>
      </c>
      <c r="G123" s="66" t="s">
        <v>773</v>
      </c>
      <c r="H123" s="74" t="s">
        <v>771</v>
      </c>
      <c r="I123" s="307">
        <f t="shared" si="5"/>
        <v>0</v>
      </c>
      <c r="K123" s="66">
        <f t="shared" si="6"/>
        <v>0</v>
      </c>
      <c r="L123" s="66">
        <f t="shared" si="7"/>
        <v>0</v>
      </c>
      <c r="M123" s="66"/>
      <c r="N123" s="315">
        <f t="shared" si="8"/>
        <v>0</v>
      </c>
      <c r="P123" s="292" t="s">
        <v>243</v>
      </c>
      <c r="Q123" s="139" t="s">
        <v>1760</v>
      </c>
      <c r="R123" s="66">
        <v>1</v>
      </c>
      <c r="S123" s="66" t="s">
        <v>773</v>
      </c>
      <c r="T123" s="74" t="s">
        <v>771</v>
      </c>
      <c r="U123" s="307">
        <f t="shared" si="9"/>
        <v>0</v>
      </c>
      <c r="V123" s="161"/>
    </row>
    <row r="124" spans="3:22">
      <c r="C124" s="366">
        <v>123</v>
      </c>
      <c r="D124" s="309" t="s">
        <v>177</v>
      </c>
      <c r="E124" s="139" t="s">
        <v>178</v>
      </c>
      <c r="F124" s="66">
        <v>1</v>
      </c>
      <c r="G124" s="66" t="s">
        <v>773</v>
      </c>
      <c r="H124" s="74" t="s">
        <v>771</v>
      </c>
      <c r="I124" s="307">
        <f t="shared" si="5"/>
        <v>0</v>
      </c>
      <c r="K124" s="66">
        <f t="shared" si="6"/>
        <v>0</v>
      </c>
      <c r="L124" s="66">
        <f t="shared" si="7"/>
        <v>0</v>
      </c>
      <c r="M124" s="66"/>
      <c r="N124" s="315">
        <f t="shared" si="8"/>
        <v>0</v>
      </c>
      <c r="P124" s="292" t="s">
        <v>177</v>
      </c>
      <c r="Q124" s="139" t="s">
        <v>1725</v>
      </c>
      <c r="R124" s="66">
        <v>1</v>
      </c>
      <c r="S124" s="66" t="s">
        <v>773</v>
      </c>
      <c r="T124" s="74" t="s">
        <v>771</v>
      </c>
      <c r="U124" s="307">
        <f t="shared" si="9"/>
        <v>0</v>
      </c>
      <c r="V124" s="161"/>
    </row>
    <row r="125" spans="3:22">
      <c r="C125" s="366">
        <v>124</v>
      </c>
      <c r="D125" s="309" t="s">
        <v>370</v>
      </c>
      <c r="E125" s="139" t="s">
        <v>371</v>
      </c>
      <c r="F125" s="66">
        <v>1</v>
      </c>
      <c r="G125" s="66" t="s">
        <v>773</v>
      </c>
      <c r="H125" s="74" t="s">
        <v>771</v>
      </c>
      <c r="I125" s="307">
        <f t="shared" si="5"/>
        <v>0</v>
      </c>
      <c r="K125" s="66">
        <f t="shared" si="6"/>
        <v>0</v>
      </c>
      <c r="L125" s="66">
        <f t="shared" si="7"/>
        <v>0</v>
      </c>
      <c r="M125" s="66"/>
      <c r="N125" s="315">
        <f t="shared" si="8"/>
        <v>0</v>
      </c>
      <c r="P125" s="292" t="s">
        <v>370</v>
      </c>
      <c r="Q125" s="139" t="s">
        <v>1825</v>
      </c>
      <c r="R125" s="66">
        <v>1</v>
      </c>
      <c r="S125" s="66" t="s">
        <v>773</v>
      </c>
      <c r="T125" s="74" t="s">
        <v>771</v>
      </c>
      <c r="U125" s="307">
        <f t="shared" si="9"/>
        <v>0</v>
      </c>
      <c r="V125" s="161"/>
    </row>
    <row r="126" spans="3:22">
      <c r="C126" s="366">
        <v>125</v>
      </c>
      <c r="D126" s="309" t="s">
        <v>638</v>
      </c>
      <c r="E126" s="139" t="s">
        <v>639</v>
      </c>
      <c r="F126" s="66">
        <v>2</v>
      </c>
      <c r="G126" s="297" t="s">
        <v>773</v>
      </c>
      <c r="H126" s="74" t="s">
        <v>771</v>
      </c>
      <c r="I126" s="307">
        <f t="shared" si="5"/>
        <v>0</v>
      </c>
      <c r="K126" s="66">
        <f t="shared" si="6"/>
        <v>0</v>
      </c>
      <c r="L126" s="66">
        <f t="shared" si="7"/>
        <v>0</v>
      </c>
      <c r="M126" s="66"/>
      <c r="N126" s="315">
        <f t="shared" si="8"/>
        <v>0</v>
      </c>
      <c r="P126" s="292" t="s">
        <v>638</v>
      </c>
      <c r="Q126" s="139" t="s">
        <v>1962</v>
      </c>
      <c r="R126" s="66">
        <v>2</v>
      </c>
      <c r="S126" s="297" t="s">
        <v>773</v>
      </c>
      <c r="T126" s="74" t="s">
        <v>771</v>
      </c>
      <c r="U126" s="307">
        <f t="shared" si="9"/>
        <v>0</v>
      </c>
      <c r="V126" s="161"/>
    </row>
    <row r="127" spans="3:22">
      <c r="C127" s="366">
        <v>126</v>
      </c>
      <c r="D127" s="309" t="s">
        <v>181</v>
      </c>
      <c r="E127" s="139" t="s">
        <v>182</v>
      </c>
      <c r="F127" s="66">
        <v>2</v>
      </c>
      <c r="G127" s="66" t="s">
        <v>773</v>
      </c>
      <c r="H127" s="74" t="s">
        <v>771</v>
      </c>
      <c r="I127" s="307">
        <f t="shared" si="5"/>
        <v>0</v>
      </c>
      <c r="K127" s="66">
        <f t="shared" si="6"/>
        <v>0</v>
      </c>
      <c r="L127" s="66">
        <f t="shared" si="7"/>
        <v>0</v>
      </c>
      <c r="M127" s="66"/>
      <c r="N127" s="315">
        <f t="shared" si="8"/>
        <v>0</v>
      </c>
      <c r="P127" s="292" t="s">
        <v>181</v>
      </c>
      <c r="Q127" s="139" t="s">
        <v>1727</v>
      </c>
      <c r="R127" s="66">
        <v>2</v>
      </c>
      <c r="S127" s="66" t="s">
        <v>773</v>
      </c>
      <c r="T127" s="74" t="s">
        <v>771</v>
      </c>
      <c r="U127" s="307">
        <f t="shared" si="9"/>
        <v>0</v>
      </c>
      <c r="V127" s="161"/>
    </row>
    <row r="128" spans="3:22">
      <c r="C128" s="366">
        <v>127</v>
      </c>
      <c r="D128" s="309" t="s">
        <v>392</v>
      </c>
      <c r="E128" s="139" t="s">
        <v>393</v>
      </c>
      <c r="F128" s="66">
        <v>2</v>
      </c>
      <c r="G128" s="66" t="s">
        <v>770</v>
      </c>
      <c r="H128" s="74" t="s">
        <v>771</v>
      </c>
      <c r="I128" s="307">
        <f t="shared" si="5"/>
        <v>1</v>
      </c>
      <c r="K128" s="66">
        <f t="shared" si="6"/>
        <v>0</v>
      </c>
      <c r="L128" s="66">
        <f t="shared" si="7"/>
        <v>0</v>
      </c>
      <c r="M128" s="66"/>
      <c r="N128" s="315">
        <f t="shared" si="8"/>
        <v>0</v>
      </c>
      <c r="P128" s="292" t="s">
        <v>392</v>
      </c>
      <c r="Q128" s="139" t="s">
        <v>1838</v>
      </c>
      <c r="R128" s="66">
        <v>2</v>
      </c>
      <c r="S128" s="66" t="s">
        <v>770</v>
      </c>
      <c r="T128" s="74" t="s">
        <v>771</v>
      </c>
      <c r="U128" s="307">
        <f t="shared" si="9"/>
        <v>1</v>
      </c>
      <c r="V128" s="161"/>
    </row>
    <row r="129" spans="3:22">
      <c r="C129" s="366">
        <v>128</v>
      </c>
      <c r="D129" s="309" t="s">
        <v>406</v>
      </c>
      <c r="E129" s="139" t="s">
        <v>407</v>
      </c>
      <c r="F129" s="66">
        <v>2</v>
      </c>
      <c r="G129" s="66" t="s">
        <v>770</v>
      </c>
      <c r="H129" s="74" t="s">
        <v>771</v>
      </c>
      <c r="I129" s="307">
        <f t="shared" si="5"/>
        <v>1</v>
      </c>
      <c r="K129" s="66">
        <f t="shared" si="6"/>
        <v>0</v>
      </c>
      <c r="L129" s="66">
        <f t="shared" si="7"/>
        <v>0</v>
      </c>
      <c r="M129" s="66"/>
      <c r="N129" s="315">
        <f t="shared" si="8"/>
        <v>0</v>
      </c>
      <c r="P129" s="292" t="s">
        <v>406</v>
      </c>
      <c r="Q129" s="139" t="s">
        <v>1845</v>
      </c>
      <c r="R129" s="66">
        <v>2</v>
      </c>
      <c r="S129" s="66" t="s">
        <v>770</v>
      </c>
      <c r="T129" s="74" t="s">
        <v>771</v>
      </c>
      <c r="U129" s="307">
        <f t="shared" si="9"/>
        <v>1</v>
      </c>
      <c r="V129" s="161"/>
    </row>
    <row r="130" spans="3:22">
      <c r="C130" s="366">
        <v>129</v>
      </c>
      <c r="D130" s="309" t="s">
        <v>550</v>
      </c>
      <c r="E130" s="139" t="s">
        <v>551</v>
      </c>
      <c r="F130" s="66">
        <v>2</v>
      </c>
      <c r="G130" s="66" t="s">
        <v>773</v>
      </c>
      <c r="H130" s="74" t="s">
        <v>771</v>
      </c>
      <c r="I130" s="307">
        <f t="shared" ref="I130:I193" si="10">IF(+G130="cash",1,0)</f>
        <v>0</v>
      </c>
      <c r="K130" s="66">
        <f t="shared" ref="K130:K193" si="11">+F130-R130</f>
        <v>0</v>
      </c>
      <c r="L130" s="66">
        <f t="shared" ref="L130:L193" si="12">+I130-U130</f>
        <v>0</v>
      </c>
      <c r="M130" s="66"/>
      <c r="N130" s="315">
        <f t="shared" ref="N130:N193" si="13">+P130-D130</f>
        <v>0</v>
      </c>
      <c r="P130" s="292" t="s">
        <v>550</v>
      </c>
      <c r="Q130" s="139" t="s">
        <v>1916</v>
      </c>
      <c r="R130" s="66">
        <v>2</v>
      </c>
      <c r="S130" s="66" t="s">
        <v>773</v>
      </c>
      <c r="T130" s="74" t="s">
        <v>771</v>
      </c>
      <c r="U130" s="307">
        <f t="shared" ref="U130:U193" si="14">IF(+S130="cash",1,0)</f>
        <v>0</v>
      </c>
      <c r="V130" s="161"/>
    </row>
    <row r="131" spans="3:22">
      <c r="C131" s="366">
        <v>130</v>
      </c>
      <c r="D131" s="309" t="s">
        <v>217</v>
      </c>
      <c r="E131" s="139" t="s">
        <v>1196</v>
      </c>
      <c r="F131" s="66">
        <v>2</v>
      </c>
      <c r="G131" s="66" t="s">
        <v>773</v>
      </c>
      <c r="H131" s="74" t="s">
        <v>771</v>
      </c>
      <c r="I131" s="307">
        <f t="shared" si="10"/>
        <v>0</v>
      </c>
      <c r="K131" s="66">
        <f t="shared" si="11"/>
        <v>0</v>
      </c>
      <c r="L131" s="66">
        <f t="shared" si="12"/>
        <v>0</v>
      </c>
      <c r="M131" s="66"/>
      <c r="N131" s="315">
        <f t="shared" si="13"/>
        <v>0</v>
      </c>
      <c r="P131" s="292" t="s">
        <v>217</v>
      </c>
      <c r="Q131" s="139" t="s">
        <v>1746</v>
      </c>
      <c r="R131" s="66">
        <v>2</v>
      </c>
      <c r="S131" s="66" t="s">
        <v>773</v>
      </c>
      <c r="T131" s="74" t="s">
        <v>771</v>
      </c>
      <c r="U131" s="307">
        <f t="shared" si="14"/>
        <v>0</v>
      </c>
      <c r="V131" s="161"/>
    </row>
    <row r="132" spans="3:22">
      <c r="C132" s="366">
        <v>131</v>
      </c>
      <c r="D132" s="309" t="s">
        <v>685</v>
      </c>
      <c r="E132" s="139" t="s">
        <v>686</v>
      </c>
      <c r="F132" s="66">
        <v>2</v>
      </c>
      <c r="G132" s="66" t="s">
        <v>770</v>
      </c>
      <c r="H132" s="74" t="s">
        <v>771</v>
      </c>
      <c r="I132" s="307">
        <f t="shared" si="10"/>
        <v>1</v>
      </c>
      <c r="K132" s="66">
        <f t="shared" si="11"/>
        <v>0</v>
      </c>
      <c r="L132" s="66">
        <f t="shared" si="12"/>
        <v>0</v>
      </c>
      <c r="M132" s="66"/>
      <c r="N132" s="315">
        <f t="shared" si="13"/>
        <v>0</v>
      </c>
      <c r="P132" s="292" t="s">
        <v>685</v>
      </c>
      <c r="Q132" s="139" t="s">
        <v>1988</v>
      </c>
      <c r="R132" s="66">
        <v>2</v>
      </c>
      <c r="S132" s="66" t="s">
        <v>770</v>
      </c>
      <c r="T132" s="74" t="s">
        <v>771</v>
      </c>
      <c r="U132" s="307">
        <f t="shared" si="14"/>
        <v>1</v>
      </c>
      <c r="V132" s="161"/>
    </row>
    <row r="133" spans="3:22">
      <c r="C133" s="366">
        <v>132</v>
      </c>
      <c r="D133" s="309" t="s">
        <v>195</v>
      </c>
      <c r="E133" s="139" t="s">
        <v>196</v>
      </c>
      <c r="F133" s="66">
        <v>2</v>
      </c>
      <c r="G133" s="66" t="s">
        <v>773</v>
      </c>
      <c r="H133" s="74" t="s">
        <v>771</v>
      </c>
      <c r="I133" s="307">
        <f t="shared" si="10"/>
        <v>0</v>
      </c>
      <c r="K133" s="66">
        <f t="shared" si="11"/>
        <v>0</v>
      </c>
      <c r="L133" s="66">
        <f t="shared" si="12"/>
        <v>0</v>
      </c>
      <c r="M133" s="66"/>
      <c r="N133" s="315">
        <f t="shared" si="13"/>
        <v>0</v>
      </c>
      <c r="P133" s="292" t="s">
        <v>195</v>
      </c>
      <c r="Q133" s="139" t="s">
        <v>1734</v>
      </c>
      <c r="R133" s="66">
        <v>2</v>
      </c>
      <c r="S133" s="66" t="s">
        <v>773</v>
      </c>
      <c r="T133" s="74" t="s">
        <v>771</v>
      </c>
      <c r="U133" s="307">
        <f t="shared" si="14"/>
        <v>0</v>
      </c>
      <c r="V133" s="161"/>
    </row>
    <row r="134" spans="3:22">
      <c r="C134" s="366">
        <v>133</v>
      </c>
      <c r="D134" s="309" t="s">
        <v>566</v>
      </c>
      <c r="E134" s="139" t="s">
        <v>567</v>
      </c>
      <c r="F134" s="66">
        <v>1</v>
      </c>
      <c r="G134" s="66" t="s">
        <v>773</v>
      </c>
      <c r="H134" s="74" t="s">
        <v>771</v>
      </c>
      <c r="I134" s="307">
        <f t="shared" si="10"/>
        <v>0</v>
      </c>
      <c r="K134" s="66">
        <f t="shared" si="11"/>
        <v>0</v>
      </c>
      <c r="L134" s="66">
        <f t="shared" si="12"/>
        <v>0</v>
      </c>
      <c r="M134" s="66"/>
      <c r="N134" s="315">
        <f t="shared" si="13"/>
        <v>0</v>
      </c>
      <c r="P134" s="292" t="s">
        <v>566</v>
      </c>
      <c r="Q134" s="139" t="s">
        <v>1924</v>
      </c>
      <c r="R134" s="66">
        <v>1</v>
      </c>
      <c r="S134" s="66" t="s">
        <v>773</v>
      </c>
      <c r="T134" s="74" t="s">
        <v>771</v>
      </c>
      <c r="U134" s="307">
        <f t="shared" si="14"/>
        <v>0</v>
      </c>
      <c r="V134" s="161"/>
    </row>
    <row r="135" spans="3:22">
      <c r="C135" s="366">
        <v>134</v>
      </c>
      <c r="D135" s="309" t="s">
        <v>368</v>
      </c>
      <c r="E135" s="139" t="s">
        <v>369</v>
      </c>
      <c r="F135" s="66">
        <v>1</v>
      </c>
      <c r="G135" s="66" t="s">
        <v>773</v>
      </c>
      <c r="H135" s="74" t="s">
        <v>771</v>
      </c>
      <c r="I135" s="307">
        <f t="shared" si="10"/>
        <v>0</v>
      </c>
      <c r="K135" s="66">
        <f t="shared" si="11"/>
        <v>0</v>
      </c>
      <c r="L135" s="66">
        <f t="shared" si="12"/>
        <v>0</v>
      </c>
      <c r="M135" s="66"/>
      <c r="N135" s="315">
        <f t="shared" si="13"/>
        <v>0</v>
      </c>
      <c r="P135" s="292" t="s">
        <v>368</v>
      </c>
      <c r="Q135" s="139" t="s">
        <v>1824</v>
      </c>
      <c r="R135" s="66">
        <v>1</v>
      </c>
      <c r="S135" s="66" t="s">
        <v>773</v>
      </c>
      <c r="T135" s="74" t="s">
        <v>771</v>
      </c>
      <c r="U135" s="307">
        <f t="shared" si="14"/>
        <v>0</v>
      </c>
      <c r="V135" s="161"/>
    </row>
    <row r="136" spans="3:22">
      <c r="C136" s="366">
        <v>135</v>
      </c>
      <c r="D136" s="309" t="s">
        <v>582</v>
      </c>
      <c r="E136" s="139" t="s">
        <v>583</v>
      </c>
      <c r="F136" s="66">
        <v>1</v>
      </c>
      <c r="G136" s="66" t="s">
        <v>773</v>
      </c>
      <c r="H136" s="74" t="s">
        <v>771</v>
      </c>
      <c r="I136" s="307">
        <f t="shared" si="10"/>
        <v>0</v>
      </c>
      <c r="K136" s="66">
        <f t="shared" si="11"/>
        <v>0</v>
      </c>
      <c r="L136" s="66">
        <f t="shared" si="12"/>
        <v>0</v>
      </c>
      <c r="M136" s="66"/>
      <c r="N136" s="315">
        <f t="shared" si="13"/>
        <v>0</v>
      </c>
      <c r="P136" s="292" t="s">
        <v>582</v>
      </c>
      <c r="Q136" s="139" t="s">
        <v>1932</v>
      </c>
      <c r="R136" s="66">
        <v>1</v>
      </c>
      <c r="S136" s="66" t="s">
        <v>773</v>
      </c>
      <c r="T136" s="74" t="s">
        <v>771</v>
      </c>
      <c r="U136" s="307">
        <f t="shared" si="14"/>
        <v>0</v>
      </c>
      <c r="V136" s="161"/>
    </row>
    <row r="137" spans="3:22">
      <c r="C137" s="366">
        <v>136</v>
      </c>
      <c r="D137" s="309" t="s">
        <v>687</v>
      </c>
      <c r="E137" s="139" t="s">
        <v>688</v>
      </c>
      <c r="F137" s="66">
        <v>2</v>
      </c>
      <c r="G137" s="66" t="s">
        <v>770</v>
      </c>
      <c r="H137" s="74" t="s">
        <v>772</v>
      </c>
      <c r="I137" s="307">
        <f t="shared" si="10"/>
        <v>1</v>
      </c>
      <c r="K137" s="66">
        <f t="shared" si="11"/>
        <v>0</v>
      </c>
      <c r="L137" s="66">
        <f t="shared" si="12"/>
        <v>0</v>
      </c>
      <c r="M137" s="66"/>
      <c r="N137" s="315">
        <f t="shared" si="13"/>
        <v>0</v>
      </c>
      <c r="P137" s="292" t="s">
        <v>687</v>
      </c>
      <c r="Q137" s="139" t="s">
        <v>1989</v>
      </c>
      <c r="R137" s="66">
        <v>2</v>
      </c>
      <c r="S137" s="66" t="s">
        <v>770</v>
      </c>
      <c r="T137" s="74" t="s">
        <v>772</v>
      </c>
      <c r="U137" s="307">
        <f t="shared" si="14"/>
        <v>1</v>
      </c>
      <c r="V137" s="161"/>
    </row>
    <row r="138" spans="3:22">
      <c r="C138" s="366">
        <v>137</v>
      </c>
      <c r="D138" s="309" t="s">
        <v>611</v>
      </c>
      <c r="E138" s="139" t="s">
        <v>612</v>
      </c>
      <c r="F138" s="66">
        <v>2</v>
      </c>
      <c r="G138" s="66" t="s">
        <v>770</v>
      </c>
      <c r="H138" s="74" t="s">
        <v>771</v>
      </c>
      <c r="I138" s="307">
        <f t="shared" si="10"/>
        <v>1</v>
      </c>
      <c r="K138" s="66">
        <f t="shared" si="11"/>
        <v>0</v>
      </c>
      <c r="L138" s="66">
        <f t="shared" si="12"/>
        <v>0</v>
      </c>
      <c r="M138" s="66"/>
      <c r="N138" s="315">
        <f t="shared" si="13"/>
        <v>0</v>
      </c>
      <c r="P138" s="292" t="s">
        <v>611</v>
      </c>
      <c r="Q138" s="139" t="s">
        <v>1947</v>
      </c>
      <c r="R138" s="66">
        <v>2</v>
      </c>
      <c r="S138" s="66" t="s">
        <v>770</v>
      </c>
      <c r="T138" s="74" t="s">
        <v>771</v>
      </c>
      <c r="U138" s="307">
        <f t="shared" si="14"/>
        <v>1</v>
      </c>
      <c r="V138" s="161"/>
    </row>
    <row r="139" spans="3:22">
      <c r="C139" s="366">
        <v>138</v>
      </c>
      <c r="D139" s="309" t="s">
        <v>169</v>
      </c>
      <c r="E139" s="139" t="s">
        <v>170</v>
      </c>
      <c r="F139" s="66">
        <v>2</v>
      </c>
      <c r="G139" s="66" t="s">
        <v>770</v>
      </c>
      <c r="H139" s="74" t="s">
        <v>771</v>
      </c>
      <c r="I139" s="307">
        <f t="shared" si="10"/>
        <v>1</v>
      </c>
      <c r="K139" s="66">
        <f t="shared" si="11"/>
        <v>0</v>
      </c>
      <c r="L139" s="66">
        <f t="shared" si="12"/>
        <v>0</v>
      </c>
      <c r="M139" s="66"/>
      <c r="N139" s="315">
        <f t="shared" si="13"/>
        <v>0</v>
      </c>
      <c r="P139" s="292" t="s">
        <v>169</v>
      </c>
      <c r="Q139" s="139" t="s">
        <v>1721</v>
      </c>
      <c r="R139" s="66">
        <v>2</v>
      </c>
      <c r="S139" s="66" t="s">
        <v>770</v>
      </c>
      <c r="T139" s="74" t="s">
        <v>771</v>
      </c>
      <c r="U139" s="307">
        <f t="shared" si="14"/>
        <v>1</v>
      </c>
      <c r="V139" s="161"/>
    </row>
    <row r="140" spans="3:22">
      <c r="C140" s="366">
        <v>139</v>
      </c>
      <c r="D140" s="309" t="s">
        <v>233</v>
      </c>
      <c r="E140" s="139" t="s">
        <v>234</v>
      </c>
      <c r="F140" s="66">
        <v>1</v>
      </c>
      <c r="G140" s="66" t="s">
        <v>773</v>
      </c>
      <c r="H140" s="74" t="s">
        <v>771</v>
      </c>
      <c r="I140" s="307">
        <f t="shared" si="10"/>
        <v>0</v>
      </c>
      <c r="K140" s="66">
        <f t="shared" si="11"/>
        <v>0</v>
      </c>
      <c r="L140" s="66">
        <f t="shared" si="12"/>
        <v>0</v>
      </c>
      <c r="M140" s="66"/>
      <c r="N140" s="315">
        <f t="shared" si="13"/>
        <v>0</v>
      </c>
      <c r="P140" s="292" t="s">
        <v>233</v>
      </c>
      <c r="Q140" s="139" t="s">
        <v>1755</v>
      </c>
      <c r="R140" s="66">
        <v>1</v>
      </c>
      <c r="S140" s="66" t="s">
        <v>773</v>
      </c>
      <c r="T140" s="74" t="s">
        <v>771</v>
      </c>
      <c r="U140" s="307">
        <f t="shared" si="14"/>
        <v>0</v>
      </c>
      <c r="V140" s="161"/>
    </row>
    <row r="141" spans="3:22">
      <c r="C141" s="366">
        <v>140</v>
      </c>
      <c r="D141" s="309" t="s">
        <v>628</v>
      </c>
      <c r="E141" s="139" t="s">
        <v>629</v>
      </c>
      <c r="F141" s="66">
        <v>2</v>
      </c>
      <c r="G141" s="66" t="s">
        <v>770</v>
      </c>
      <c r="H141" s="74" t="s">
        <v>772</v>
      </c>
      <c r="I141" s="307">
        <f t="shared" si="10"/>
        <v>1</v>
      </c>
      <c r="K141" s="66">
        <f t="shared" si="11"/>
        <v>0</v>
      </c>
      <c r="L141" s="66">
        <f t="shared" si="12"/>
        <v>0</v>
      </c>
      <c r="M141" s="66"/>
      <c r="N141" s="315">
        <f t="shared" si="13"/>
        <v>0</v>
      </c>
      <c r="P141" s="292" t="s">
        <v>628</v>
      </c>
      <c r="Q141" s="139" t="s">
        <v>1956</v>
      </c>
      <c r="R141" s="66">
        <v>2</v>
      </c>
      <c r="S141" s="66" t="s">
        <v>770</v>
      </c>
      <c r="T141" s="74" t="s">
        <v>772</v>
      </c>
      <c r="U141" s="307">
        <f t="shared" si="14"/>
        <v>1</v>
      </c>
      <c r="V141" s="161"/>
    </row>
    <row r="142" spans="3:22">
      <c r="C142" s="366">
        <v>141</v>
      </c>
      <c r="D142" s="309" t="s">
        <v>539</v>
      </c>
      <c r="E142" s="139" t="s">
        <v>540</v>
      </c>
      <c r="F142" s="66">
        <v>2</v>
      </c>
      <c r="G142" s="66" t="s">
        <v>773</v>
      </c>
      <c r="H142" s="74" t="s">
        <v>771</v>
      </c>
      <c r="I142" s="307">
        <f t="shared" si="10"/>
        <v>0</v>
      </c>
      <c r="K142" s="66">
        <f t="shared" si="11"/>
        <v>0</v>
      </c>
      <c r="L142" s="66">
        <f t="shared" si="12"/>
        <v>0</v>
      </c>
      <c r="M142" s="66"/>
      <c r="N142" s="315">
        <f t="shared" si="13"/>
        <v>0</v>
      </c>
      <c r="P142" s="292" t="s">
        <v>539</v>
      </c>
      <c r="Q142" s="139" t="s">
        <v>2579</v>
      </c>
      <c r="R142" s="66">
        <v>2</v>
      </c>
      <c r="S142" s="66" t="s">
        <v>773</v>
      </c>
      <c r="T142" s="74" t="s">
        <v>771</v>
      </c>
      <c r="U142" s="307">
        <f t="shared" si="14"/>
        <v>0</v>
      </c>
      <c r="V142" s="161"/>
    </row>
    <row r="143" spans="3:22">
      <c r="C143" s="366">
        <v>142</v>
      </c>
      <c r="D143" s="316" t="s">
        <v>1627</v>
      </c>
      <c r="E143" s="73" t="s">
        <v>1642</v>
      </c>
      <c r="F143" s="66">
        <v>2</v>
      </c>
      <c r="G143" s="66" t="s">
        <v>773</v>
      </c>
      <c r="H143" s="74" t="s">
        <v>771</v>
      </c>
      <c r="I143" s="307">
        <f t="shared" si="10"/>
        <v>0</v>
      </c>
      <c r="K143" s="66">
        <f t="shared" si="11"/>
        <v>0</v>
      </c>
      <c r="L143" s="66">
        <f t="shared" si="12"/>
        <v>0</v>
      </c>
      <c r="M143" s="66"/>
      <c r="N143" s="315">
        <f t="shared" si="13"/>
        <v>0</v>
      </c>
      <c r="P143" s="301" t="s">
        <v>1627</v>
      </c>
      <c r="Q143" s="73" t="s">
        <v>2027</v>
      </c>
      <c r="R143" s="66">
        <v>2</v>
      </c>
      <c r="S143" s="66" t="s">
        <v>773</v>
      </c>
      <c r="T143" s="74" t="s">
        <v>771</v>
      </c>
      <c r="U143" s="307">
        <f t="shared" si="14"/>
        <v>0</v>
      </c>
      <c r="V143" s="161"/>
    </row>
    <row r="144" spans="3:22">
      <c r="C144" s="366">
        <v>143</v>
      </c>
      <c r="D144" s="317" t="s">
        <v>1179</v>
      </c>
      <c r="E144" t="s">
        <v>1191</v>
      </c>
      <c r="F144" s="66">
        <v>2</v>
      </c>
      <c r="G144" s="66" t="s">
        <v>773</v>
      </c>
      <c r="H144" s="74" t="s">
        <v>771</v>
      </c>
      <c r="I144" s="307">
        <f t="shared" si="10"/>
        <v>0</v>
      </c>
      <c r="K144" s="66">
        <f t="shared" si="11"/>
        <v>0</v>
      </c>
      <c r="L144" s="66">
        <f t="shared" si="12"/>
        <v>0</v>
      </c>
      <c r="M144" s="66"/>
      <c r="N144" s="315">
        <f t="shared" si="13"/>
        <v>0</v>
      </c>
      <c r="P144" s="302" t="s">
        <v>1179</v>
      </c>
      <c r="Q144" t="s">
        <v>1987</v>
      </c>
      <c r="R144" s="66">
        <v>2</v>
      </c>
      <c r="S144" s="66" t="s">
        <v>773</v>
      </c>
      <c r="T144" s="74" t="s">
        <v>771</v>
      </c>
      <c r="U144" s="307">
        <f t="shared" si="14"/>
        <v>0</v>
      </c>
      <c r="V144" s="161"/>
    </row>
    <row r="145" spans="3:22">
      <c r="C145" s="366">
        <v>144</v>
      </c>
      <c r="D145" s="309" t="s">
        <v>414</v>
      </c>
      <c r="E145" s="139" t="s">
        <v>415</v>
      </c>
      <c r="F145" s="66">
        <v>2</v>
      </c>
      <c r="G145" s="66" t="s">
        <v>770</v>
      </c>
      <c r="H145" s="74" t="s">
        <v>771</v>
      </c>
      <c r="I145" s="307">
        <f t="shared" si="10"/>
        <v>1</v>
      </c>
      <c r="K145" s="66">
        <f t="shared" si="11"/>
        <v>0</v>
      </c>
      <c r="L145" s="66">
        <f t="shared" si="12"/>
        <v>0</v>
      </c>
      <c r="M145" s="66"/>
      <c r="N145" s="315">
        <f t="shared" si="13"/>
        <v>0</v>
      </c>
      <c r="P145" s="292" t="s">
        <v>414</v>
      </c>
      <c r="Q145" s="139" t="s">
        <v>1849</v>
      </c>
      <c r="R145" s="66">
        <v>2</v>
      </c>
      <c r="S145" s="66" t="s">
        <v>770</v>
      </c>
      <c r="T145" s="74" t="s">
        <v>771</v>
      </c>
      <c r="U145" s="307">
        <f t="shared" si="14"/>
        <v>1</v>
      </c>
      <c r="V145" s="161"/>
    </row>
    <row r="146" spans="3:22">
      <c r="C146" s="366">
        <v>145</v>
      </c>
      <c r="D146" s="309" t="s">
        <v>677</v>
      </c>
      <c r="E146" s="139" t="s">
        <v>678</v>
      </c>
      <c r="F146" s="66">
        <v>1</v>
      </c>
      <c r="G146" s="66" t="s">
        <v>773</v>
      </c>
      <c r="H146" s="74" t="s">
        <v>771</v>
      </c>
      <c r="I146" s="307">
        <f t="shared" si="10"/>
        <v>0</v>
      </c>
      <c r="K146" s="66">
        <f t="shared" si="11"/>
        <v>0</v>
      </c>
      <c r="L146" s="66">
        <f t="shared" si="12"/>
        <v>0</v>
      </c>
      <c r="M146" s="66"/>
      <c r="N146" s="315">
        <f t="shared" si="13"/>
        <v>0</v>
      </c>
      <c r="P146" s="292" t="s">
        <v>677</v>
      </c>
      <c r="Q146" s="139" t="s">
        <v>1983</v>
      </c>
      <c r="R146" s="66">
        <v>1</v>
      </c>
      <c r="S146" s="66" t="s">
        <v>773</v>
      </c>
      <c r="T146" s="74" t="s">
        <v>771</v>
      </c>
      <c r="U146" s="307">
        <f t="shared" si="14"/>
        <v>0</v>
      </c>
      <c r="V146" s="161"/>
    </row>
    <row r="147" spans="3:22">
      <c r="C147" s="366">
        <v>146</v>
      </c>
      <c r="D147" s="309" t="s">
        <v>720</v>
      </c>
      <c r="E147" s="139" t="s">
        <v>721</v>
      </c>
      <c r="F147" s="66">
        <v>2</v>
      </c>
      <c r="G147" s="66" t="s">
        <v>773</v>
      </c>
      <c r="H147" s="74" t="s">
        <v>771</v>
      </c>
      <c r="I147" s="307">
        <f t="shared" si="10"/>
        <v>0</v>
      </c>
      <c r="K147" s="66">
        <f t="shared" si="11"/>
        <v>0</v>
      </c>
      <c r="L147" s="66">
        <f t="shared" si="12"/>
        <v>0</v>
      </c>
      <c r="M147" s="66"/>
      <c r="N147" s="315">
        <f t="shared" si="13"/>
        <v>0</v>
      </c>
      <c r="P147" s="292" t="s">
        <v>720</v>
      </c>
      <c r="Q147" s="139" t="s">
        <v>2006</v>
      </c>
      <c r="R147" s="66">
        <v>2</v>
      </c>
      <c r="S147" s="66" t="s">
        <v>773</v>
      </c>
      <c r="T147" s="74" t="s">
        <v>771</v>
      </c>
      <c r="U147" s="307">
        <f t="shared" si="14"/>
        <v>0</v>
      </c>
      <c r="V147" s="161"/>
    </row>
    <row r="148" spans="3:22">
      <c r="C148" s="366">
        <v>147</v>
      </c>
      <c r="D148" s="309" t="s">
        <v>253</v>
      </c>
      <c r="E148" s="139" t="s">
        <v>254</v>
      </c>
      <c r="F148" s="66">
        <v>2</v>
      </c>
      <c r="G148" s="66" t="s">
        <v>773</v>
      </c>
      <c r="H148" s="74" t="s">
        <v>771</v>
      </c>
      <c r="I148" s="307">
        <f t="shared" si="10"/>
        <v>0</v>
      </c>
      <c r="K148" s="66">
        <f t="shared" si="11"/>
        <v>0</v>
      </c>
      <c r="L148" s="66">
        <f t="shared" si="12"/>
        <v>0</v>
      </c>
      <c r="M148" s="66"/>
      <c r="N148" s="315">
        <f t="shared" si="13"/>
        <v>0</v>
      </c>
      <c r="P148" s="292" t="s">
        <v>253</v>
      </c>
      <c r="Q148" s="139" t="s">
        <v>1765</v>
      </c>
      <c r="R148" s="66">
        <v>2</v>
      </c>
      <c r="S148" s="66" t="s">
        <v>773</v>
      </c>
      <c r="T148" s="74" t="s">
        <v>771</v>
      </c>
      <c r="U148" s="307">
        <f t="shared" si="14"/>
        <v>0</v>
      </c>
      <c r="V148" s="161"/>
    </row>
    <row r="149" spans="3:22">
      <c r="C149" s="366">
        <v>148</v>
      </c>
      <c r="D149" s="309" t="s">
        <v>189</v>
      </c>
      <c r="E149" s="139" t="s">
        <v>190</v>
      </c>
      <c r="F149" s="66">
        <v>2</v>
      </c>
      <c r="G149" s="66" t="s">
        <v>773</v>
      </c>
      <c r="H149" s="74" t="s">
        <v>771</v>
      </c>
      <c r="I149" s="307">
        <f t="shared" si="10"/>
        <v>0</v>
      </c>
      <c r="K149" s="66">
        <f t="shared" si="11"/>
        <v>0</v>
      </c>
      <c r="L149" s="66">
        <f t="shared" si="12"/>
        <v>0</v>
      </c>
      <c r="M149" s="66"/>
      <c r="N149" s="315">
        <f t="shared" si="13"/>
        <v>0</v>
      </c>
      <c r="P149" s="292" t="s">
        <v>189</v>
      </c>
      <c r="Q149" s="139" t="s">
        <v>1731</v>
      </c>
      <c r="R149" s="66">
        <v>2</v>
      </c>
      <c r="S149" s="66" t="s">
        <v>773</v>
      </c>
      <c r="T149" s="74" t="s">
        <v>771</v>
      </c>
      <c r="U149" s="307">
        <f t="shared" si="14"/>
        <v>0</v>
      </c>
      <c r="V149" s="161"/>
    </row>
    <row r="150" spans="3:22">
      <c r="C150" s="366">
        <v>149</v>
      </c>
      <c r="D150" s="309" t="s">
        <v>464</v>
      </c>
      <c r="E150" s="139" t="s">
        <v>465</v>
      </c>
      <c r="F150" s="66">
        <v>2</v>
      </c>
      <c r="G150" s="66" t="s">
        <v>773</v>
      </c>
      <c r="H150" s="74" t="s">
        <v>771</v>
      </c>
      <c r="I150" s="307">
        <f t="shared" si="10"/>
        <v>0</v>
      </c>
      <c r="K150" s="66">
        <f t="shared" si="11"/>
        <v>0</v>
      </c>
      <c r="L150" s="66">
        <f t="shared" si="12"/>
        <v>0</v>
      </c>
      <c r="M150" s="66"/>
      <c r="N150" s="315">
        <f t="shared" si="13"/>
        <v>0</v>
      </c>
      <c r="P150" s="292" t="s">
        <v>464</v>
      </c>
      <c r="Q150" s="139" t="s">
        <v>1874</v>
      </c>
      <c r="R150" s="66">
        <v>2</v>
      </c>
      <c r="S150" s="66" t="s">
        <v>773</v>
      </c>
      <c r="T150" s="74" t="s">
        <v>771</v>
      </c>
      <c r="U150" s="307">
        <f t="shared" si="14"/>
        <v>0</v>
      </c>
      <c r="V150" s="161"/>
    </row>
    <row r="151" spans="3:22">
      <c r="C151" s="366">
        <v>150</v>
      </c>
      <c r="D151" s="309" t="s">
        <v>634</v>
      </c>
      <c r="E151" s="139" t="s">
        <v>635</v>
      </c>
      <c r="F151" s="66">
        <v>2</v>
      </c>
      <c r="G151" s="66" t="s">
        <v>770</v>
      </c>
      <c r="H151" s="74" t="s">
        <v>771</v>
      </c>
      <c r="I151" s="307">
        <f t="shared" si="10"/>
        <v>1</v>
      </c>
      <c r="K151" s="66">
        <f t="shared" si="11"/>
        <v>0</v>
      </c>
      <c r="L151" s="66">
        <f t="shared" si="12"/>
        <v>0</v>
      </c>
      <c r="M151" s="66"/>
      <c r="N151" s="315">
        <f t="shared" si="13"/>
        <v>0</v>
      </c>
      <c r="P151" s="292" t="s">
        <v>634</v>
      </c>
      <c r="Q151" s="139" t="s">
        <v>1960</v>
      </c>
      <c r="R151" s="66">
        <v>2</v>
      </c>
      <c r="S151" s="66" t="s">
        <v>770</v>
      </c>
      <c r="T151" s="74" t="s">
        <v>771</v>
      </c>
      <c r="U151" s="307">
        <f t="shared" si="14"/>
        <v>1</v>
      </c>
      <c r="V151" s="161"/>
    </row>
    <row r="152" spans="3:22">
      <c r="C152" s="366">
        <v>151</v>
      </c>
      <c r="D152" s="309" t="s">
        <v>574</v>
      </c>
      <c r="E152" s="139" t="s">
        <v>575</v>
      </c>
      <c r="F152" s="66">
        <v>1</v>
      </c>
      <c r="G152" s="66" t="s">
        <v>773</v>
      </c>
      <c r="H152" s="74" t="s">
        <v>771</v>
      </c>
      <c r="I152" s="307">
        <f t="shared" si="10"/>
        <v>0</v>
      </c>
      <c r="K152" s="66">
        <f t="shared" si="11"/>
        <v>0</v>
      </c>
      <c r="L152" s="66">
        <f t="shared" si="12"/>
        <v>0</v>
      </c>
      <c r="M152" s="66"/>
      <c r="N152" s="315">
        <f t="shared" si="13"/>
        <v>0</v>
      </c>
      <c r="P152" s="292" t="s">
        <v>574</v>
      </c>
      <c r="Q152" s="139" t="s">
        <v>1928</v>
      </c>
      <c r="R152" s="66">
        <v>1</v>
      </c>
      <c r="S152" s="66" t="s">
        <v>773</v>
      </c>
      <c r="T152" s="74" t="s">
        <v>771</v>
      </c>
      <c r="U152" s="307">
        <f t="shared" si="14"/>
        <v>0</v>
      </c>
      <c r="V152" s="161"/>
    </row>
    <row r="153" spans="3:22">
      <c r="C153" s="366">
        <v>152</v>
      </c>
      <c r="D153" s="309" t="s">
        <v>303</v>
      </c>
      <c r="E153" s="139" t="s">
        <v>304</v>
      </c>
      <c r="F153" s="66">
        <v>2</v>
      </c>
      <c r="G153" s="66" t="s">
        <v>770</v>
      </c>
      <c r="H153" s="74" t="s">
        <v>772</v>
      </c>
      <c r="I153" s="307">
        <f t="shared" si="10"/>
        <v>1</v>
      </c>
      <c r="K153" s="66">
        <f t="shared" si="11"/>
        <v>0</v>
      </c>
      <c r="L153" s="66">
        <f t="shared" si="12"/>
        <v>0</v>
      </c>
      <c r="M153" s="66"/>
      <c r="N153" s="315">
        <f t="shared" si="13"/>
        <v>0</v>
      </c>
      <c r="P153" s="292" t="s">
        <v>303</v>
      </c>
      <c r="Q153" s="139" t="s">
        <v>1790</v>
      </c>
      <c r="R153" s="66">
        <v>2</v>
      </c>
      <c r="S153" s="66" t="s">
        <v>770</v>
      </c>
      <c r="T153" s="74" t="s">
        <v>772</v>
      </c>
      <c r="U153" s="307">
        <f t="shared" si="14"/>
        <v>1</v>
      </c>
      <c r="V153" s="161"/>
    </row>
    <row r="154" spans="3:22">
      <c r="C154" s="366">
        <v>153</v>
      </c>
      <c r="D154" s="309" t="s">
        <v>602</v>
      </c>
      <c r="E154" s="139" t="s">
        <v>603</v>
      </c>
      <c r="F154" s="66">
        <v>1</v>
      </c>
      <c r="G154" s="66" t="s">
        <v>773</v>
      </c>
      <c r="H154" s="74" t="s">
        <v>771</v>
      </c>
      <c r="I154" s="307">
        <f t="shared" si="10"/>
        <v>0</v>
      </c>
      <c r="K154" s="66">
        <f t="shared" si="11"/>
        <v>0</v>
      </c>
      <c r="L154" s="66">
        <f t="shared" si="12"/>
        <v>0</v>
      </c>
      <c r="M154" s="66"/>
      <c r="N154" s="315">
        <f t="shared" si="13"/>
        <v>0</v>
      </c>
      <c r="P154" s="292" t="s">
        <v>602</v>
      </c>
      <c r="Q154" s="139" t="s">
        <v>1942</v>
      </c>
      <c r="R154" s="66">
        <v>1</v>
      </c>
      <c r="S154" s="66" t="s">
        <v>773</v>
      </c>
      <c r="T154" s="74" t="s">
        <v>771</v>
      </c>
      <c r="U154" s="307">
        <f t="shared" si="14"/>
        <v>0</v>
      </c>
      <c r="V154" s="161"/>
    </row>
    <row r="155" spans="3:22">
      <c r="C155" s="366">
        <v>154</v>
      </c>
      <c r="D155" s="309" t="s">
        <v>600</v>
      </c>
      <c r="E155" s="139" t="s">
        <v>601</v>
      </c>
      <c r="F155" s="66">
        <v>2</v>
      </c>
      <c r="G155" s="66" t="s">
        <v>773</v>
      </c>
      <c r="H155" s="74" t="s">
        <v>771</v>
      </c>
      <c r="I155" s="307">
        <f t="shared" si="10"/>
        <v>0</v>
      </c>
      <c r="K155" s="66">
        <f t="shared" si="11"/>
        <v>0</v>
      </c>
      <c r="L155" s="66">
        <f t="shared" si="12"/>
        <v>0</v>
      </c>
      <c r="M155" s="66"/>
      <c r="N155" s="315">
        <f t="shared" si="13"/>
        <v>0</v>
      </c>
      <c r="P155" s="292" t="s">
        <v>600</v>
      </c>
      <c r="Q155" s="139" t="s">
        <v>1941</v>
      </c>
      <c r="R155" s="66">
        <v>2</v>
      </c>
      <c r="S155" s="66" t="s">
        <v>773</v>
      </c>
      <c r="T155" s="74" t="s">
        <v>771</v>
      </c>
      <c r="U155" s="307">
        <f t="shared" si="14"/>
        <v>0</v>
      </c>
      <c r="V155" s="161"/>
    </row>
    <row r="156" spans="3:22">
      <c r="C156" s="366">
        <v>155</v>
      </c>
      <c r="D156" s="309" t="s">
        <v>344</v>
      </c>
      <c r="E156" s="139" t="s">
        <v>345</v>
      </c>
      <c r="F156" s="66">
        <v>1</v>
      </c>
      <c r="G156" s="66" t="s">
        <v>773</v>
      </c>
      <c r="H156" s="74" t="s">
        <v>771</v>
      </c>
      <c r="I156" s="307">
        <f t="shared" si="10"/>
        <v>0</v>
      </c>
      <c r="K156" s="66">
        <f t="shared" si="11"/>
        <v>0</v>
      </c>
      <c r="L156" s="66">
        <f t="shared" si="12"/>
        <v>0</v>
      </c>
      <c r="M156" s="66"/>
      <c r="N156" s="315">
        <f t="shared" si="13"/>
        <v>0</v>
      </c>
      <c r="P156" s="292" t="s">
        <v>344</v>
      </c>
      <c r="Q156" s="139" t="s">
        <v>1811</v>
      </c>
      <c r="R156" s="66">
        <v>1</v>
      </c>
      <c r="S156" s="66" t="s">
        <v>773</v>
      </c>
      <c r="T156" s="74" t="s">
        <v>771</v>
      </c>
      <c r="U156" s="307">
        <f t="shared" si="14"/>
        <v>0</v>
      </c>
      <c r="V156" s="161"/>
    </row>
    <row r="157" spans="3:22">
      <c r="C157" s="366">
        <v>156</v>
      </c>
      <c r="D157" s="309" t="s">
        <v>679</v>
      </c>
      <c r="E157" s="139" t="s">
        <v>680</v>
      </c>
      <c r="F157" s="66">
        <v>2</v>
      </c>
      <c r="G157" s="66" t="s">
        <v>773</v>
      </c>
      <c r="H157" s="74" t="s">
        <v>771</v>
      </c>
      <c r="I157" s="307">
        <f t="shared" si="10"/>
        <v>0</v>
      </c>
      <c r="K157" s="66">
        <f t="shared" si="11"/>
        <v>0</v>
      </c>
      <c r="L157" s="66">
        <f t="shared" si="12"/>
        <v>0</v>
      </c>
      <c r="M157" s="66"/>
      <c r="N157" s="315">
        <f t="shared" si="13"/>
        <v>0</v>
      </c>
      <c r="P157" s="292" t="s">
        <v>679</v>
      </c>
      <c r="Q157" s="139" t="s">
        <v>1984</v>
      </c>
      <c r="R157" s="66">
        <v>2</v>
      </c>
      <c r="S157" s="66" t="s">
        <v>773</v>
      </c>
      <c r="T157" s="74" t="s">
        <v>771</v>
      </c>
      <c r="U157" s="307">
        <f t="shared" si="14"/>
        <v>0</v>
      </c>
      <c r="V157" s="161"/>
    </row>
    <row r="158" spans="3:22">
      <c r="C158" s="366">
        <v>157</v>
      </c>
      <c r="D158" s="309" t="s">
        <v>482</v>
      </c>
      <c r="E158" s="139" t="s">
        <v>483</v>
      </c>
      <c r="F158" s="66">
        <v>2</v>
      </c>
      <c r="G158" s="66" t="s">
        <v>773</v>
      </c>
      <c r="H158" s="74" t="s">
        <v>771</v>
      </c>
      <c r="I158" s="307">
        <f t="shared" si="10"/>
        <v>0</v>
      </c>
      <c r="K158" s="66">
        <f t="shared" si="11"/>
        <v>0</v>
      </c>
      <c r="L158" s="66">
        <f t="shared" si="12"/>
        <v>0</v>
      </c>
      <c r="M158" s="66"/>
      <c r="N158" s="315">
        <f t="shared" si="13"/>
        <v>0</v>
      </c>
      <c r="P158" s="292" t="s">
        <v>482</v>
      </c>
      <c r="Q158" s="139" t="s">
        <v>1882</v>
      </c>
      <c r="R158" s="66">
        <v>2</v>
      </c>
      <c r="S158" s="66" t="s">
        <v>773</v>
      </c>
      <c r="T158" s="74" t="s">
        <v>771</v>
      </c>
      <c r="U158" s="307">
        <f t="shared" si="14"/>
        <v>0</v>
      </c>
      <c r="V158" s="161"/>
    </row>
    <row r="159" spans="3:22">
      <c r="C159" s="366">
        <v>158</v>
      </c>
      <c r="D159" s="309" t="s">
        <v>560</v>
      </c>
      <c r="E159" s="139" t="s">
        <v>561</v>
      </c>
      <c r="F159" s="66">
        <v>2</v>
      </c>
      <c r="G159" s="66" t="s">
        <v>770</v>
      </c>
      <c r="H159" s="74" t="s">
        <v>772</v>
      </c>
      <c r="I159" s="307">
        <f t="shared" si="10"/>
        <v>1</v>
      </c>
      <c r="K159" s="66">
        <f t="shared" si="11"/>
        <v>0</v>
      </c>
      <c r="L159" s="66">
        <f t="shared" si="12"/>
        <v>0</v>
      </c>
      <c r="M159" s="66"/>
      <c r="N159" s="315">
        <f t="shared" si="13"/>
        <v>0</v>
      </c>
      <c r="P159" s="292" t="s">
        <v>560</v>
      </c>
      <c r="Q159" s="139" t="s">
        <v>1921</v>
      </c>
      <c r="R159" s="66">
        <v>2</v>
      </c>
      <c r="S159" s="66" t="s">
        <v>770</v>
      </c>
      <c r="T159" s="74" t="s">
        <v>772</v>
      </c>
      <c r="U159" s="307">
        <f t="shared" si="14"/>
        <v>1</v>
      </c>
      <c r="V159" s="161"/>
    </row>
    <row r="160" spans="3:22">
      <c r="C160" s="366">
        <v>159</v>
      </c>
      <c r="D160" s="309" t="s">
        <v>578</v>
      </c>
      <c r="E160" s="139" t="s">
        <v>579</v>
      </c>
      <c r="F160" s="66">
        <v>1</v>
      </c>
      <c r="G160" s="66" t="s">
        <v>773</v>
      </c>
      <c r="H160" s="74" t="s">
        <v>771</v>
      </c>
      <c r="I160" s="307">
        <f t="shared" si="10"/>
        <v>0</v>
      </c>
      <c r="K160" s="66">
        <f t="shared" si="11"/>
        <v>0</v>
      </c>
      <c r="L160" s="66">
        <f t="shared" si="12"/>
        <v>0</v>
      </c>
      <c r="M160" s="66"/>
      <c r="N160" s="315">
        <f t="shared" si="13"/>
        <v>0</v>
      </c>
      <c r="P160" s="292" t="s">
        <v>578</v>
      </c>
      <c r="Q160" s="139" t="s">
        <v>1930</v>
      </c>
      <c r="R160" s="66">
        <v>1</v>
      </c>
      <c r="S160" s="66" t="s">
        <v>773</v>
      </c>
      <c r="T160" s="74" t="s">
        <v>771</v>
      </c>
      <c r="U160" s="307">
        <f t="shared" si="14"/>
        <v>0</v>
      </c>
      <c r="V160" s="161"/>
    </row>
    <row r="161" spans="3:22">
      <c r="C161" s="366">
        <v>160</v>
      </c>
      <c r="D161" s="309" t="s">
        <v>305</v>
      </c>
      <c r="E161" s="139" t="s">
        <v>306</v>
      </c>
      <c r="F161" s="66">
        <v>2</v>
      </c>
      <c r="G161" s="66" t="s">
        <v>773</v>
      </c>
      <c r="H161" s="74" t="s">
        <v>771</v>
      </c>
      <c r="I161" s="307">
        <f t="shared" si="10"/>
        <v>0</v>
      </c>
      <c r="K161" s="66">
        <f t="shared" si="11"/>
        <v>0</v>
      </c>
      <c r="L161" s="66">
        <f t="shared" si="12"/>
        <v>0</v>
      </c>
      <c r="M161" s="66"/>
      <c r="N161" s="315">
        <f t="shared" si="13"/>
        <v>0</v>
      </c>
      <c r="P161" s="292" t="s">
        <v>305</v>
      </c>
      <c r="Q161" s="139" t="s">
        <v>1791</v>
      </c>
      <c r="R161" s="66">
        <v>2</v>
      </c>
      <c r="S161" s="66" t="s">
        <v>773</v>
      </c>
      <c r="T161" s="74" t="s">
        <v>771</v>
      </c>
      <c r="U161" s="307">
        <f t="shared" si="14"/>
        <v>0</v>
      </c>
      <c r="V161" s="161"/>
    </row>
    <row r="162" spans="3:22">
      <c r="C162" s="366">
        <v>161</v>
      </c>
      <c r="D162" s="309" t="s">
        <v>422</v>
      </c>
      <c r="E162" s="139" t="s">
        <v>423</v>
      </c>
      <c r="F162" s="66">
        <v>2</v>
      </c>
      <c r="G162" s="66" t="s">
        <v>770</v>
      </c>
      <c r="H162" s="74" t="s">
        <v>771</v>
      </c>
      <c r="I162" s="307">
        <f t="shared" si="10"/>
        <v>1</v>
      </c>
      <c r="K162" s="66">
        <f t="shared" si="11"/>
        <v>0</v>
      </c>
      <c r="L162" s="66">
        <f t="shared" si="12"/>
        <v>0</v>
      </c>
      <c r="M162" s="66"/>
      <c r="N162" s="315">
        <f t="shared" si="13"/>
        <v>0</v>
      </c>
      <c r="P162" s="292" t="s">
        <v>422</v>
      </c>
      <c r="Q162" s="139" t="s">
        <v>1853</v>
      </c>
      <c r="R162" s="66">
        <v>2</v>
      </c>
      <c r="S162" s="66" t="s">
        <v>770</v>
      </c>
      <c r="T162" s="74" t="s">
        <v>771</v>
      </c>
      <c r="U162" s="307">
        <f t="shared" si="14"/>
        <v>1</v>
      </c>
      <c r="V162" s="161"/>
    </row>
    <row r="163" spans="3:22">
      <c r="C163" s="366">
        <v>162</v>
      </c>
      <c r="D163" s="309" t="s">
        <v>289</v>
      </c>
      <c r="E163" s="139" t="s">
        <v>290</v>
      </c>
      <c r="F163" s="66">
        <v>1</v>
      </c>
      <c r="G163" s="66" t="s">
        <v>773</v>
      </c>
      <c r="H163" s="74" t="s">
        <v>771</v>
      </c>
      <c r="I163" s="307">
        <f t="shared" si="10"/>
        <v>0</v>
      </c>
      <c r="K163" s="66">
        <f t="shared" si="11"/>
        <v>0</v>
      </c>
      <c r="L163" s="66">
        <f t="shared" si="12"/>
        <v>0</v>
      </c>
      <c r="M163" s="66"/>
      <c r="N163" s="315">
        <f t="shared" si="13"/>
        <v>0</v>
      </c>
      <c r="P163" s="292" t="s">
        <v>289</v>
      </c>
      <c r="Q163" s="139" t="s">
        <v>1783</v>
      </c>
      <c r="R163" s="66">
        <v>1</v>
      </c>
      <c r="S163" s="66" t="s">
        <v>773</v>
      </c>
      <c r="T163" s="74" t="s">
        <v>771</v>
      </c>
      <c r="U163" s="307">
        <f t="shared" si="14"/>
        <v>0</v>
      </c>
      <c r="V163" s="161"/>
    </row>
    <row r="164" spans="3:22">
      <c r="C164" s="366">
        <v>163</v>
      </c>
      <c r="D164" s="309" t="s">
        <v>420</v>
      </c>
      <c r="E164" s="139" t="s">
        <v>421</v>
      </c>
      <c r="F164" s="66">
        <v>2</v>
      </c>
      <c r="G164" s="66" t="s">
        <v>773</v>
      </c>
      <c r="H164" s="74" t="s">
        <v>771</v>
      </c>
      <c r="I164" s="307">
        <f t="shared" si="10"/>
        <v>0</v>
      </c>
      <c r="K164" s="66">
        <f t="shared" si="11"/>
        <v>0</v>
      </c>
      <c r="L164" s="66">
        <f t="shared" si="12"/>
        <v>0</v>
      </c>
      <c r="M164" s="66"/>
      <c r="N164" s="315">
        <f t="shared" si="13"/>
        <v>0</v>
      </c>
      <c r="P164" s="292" t="s">
        <v>420</v>
      </c>
      <c r="Q164" s="139" t="s">
        <v>1852</v>
      </c>
      <c r="R164" s="66">
        <v>2</v>
      </c>
      <c r="S164" s="66" t="s">
        <v>773</v>
      </c>
      <c r="T164" s="74" t="s">
        <v>771</v>
      </c>
      <c r="U164" s="307">
        <f t="shared" si="14"/>
        <v>0</v>
      </c>
      <c r="V164" s="161"/>
    </row>
    <row r="165" spans="3:22">
      <c r="C165" s="366">
        <v>164</v>
      </c>
      <c r="D165" s="309" t="s">
        <v>737</v>
      </c>
      <c r="E165" s="139" t="s">
        <v>738</v>
      </c>
      <c r="F165" s="66">
        <v>2</v>
      </c>
      <c r="G165" s="66" t="s">
        <v>773</v>
      </c>
      <c r="H165" s="74" t="s">
        <v>771</v>
      </c>
      <c r="I165" s="307">
        <f t="shared" si="10"/>
        <v>0</v>
      </c>
      <c r="K165" s="66">
        <f t="shared" si="11"/>
        <v>0</v>
      </c>
      <c r="L165" s="66">
        <f t="shared" si="12"/>
        <v>0</v>
      </c>
      <c r="M165" s="66"/>
      <c r="N165" s="315">
        <f t="shared" si="13"/>
        <v>0</v>
      </c>
      <c r="P165" s="292" t="s">
        <v>737</v>
      </c>
      <c r="Q165" s="139" t="s">
        <v>2015</v>
      </c>
      <c r="R165" s="66">
        <v>2</v>
      </c>
      <c r="S165" s="66" t="s">
        <v>773</v>
      </c>
      <c r="T165" s="74" t="s">
        <v>771</v>
      </c>
      <c r="U165" s="307">
        <f t="shared" si="14"/>
        <v>0</v>
      </c>
      <c r="V165" s="161"/>
    </row>
    <row r="166" spans="3:22">
      <c r="C166" s="366">
        <v>165</v>
      </c>
      <c r="D166" s="309" t="s">
        <v>683</v>
      </c>
      <c r="E166" s="139" t="s">
        <v>684</v>
      </c>
      <c r="F166" s="66">
        <v>2</v>
      </c>
      <c r="G166" s="66" t="s">
        <v>773</v>
      </c>
      <c r="H166" s="74" t="s">
        <v>771</v>
      </c>
      <c r="I166" s="307">
        <f t="shared" si="10"/>
        <v>0</v>
      </c>
      <c r="K166" s="66">
        <f t="shared" si="11"/>
        <v>0</v>
      </c>
      <c r="L166" s="66">
        <f t="shared" si="12"/>
        <v>0</v>
      </c>
      <c r="M166" s="66"/>
      <c r="N166" s="315">
        <f t="shared" si="13"/>
        <v>0</v>
      </c>
      <c r="P166" s="292" t="s">
        <v>683</v>
      </c>
      <c r="Q166" s="139" t="s">
        <v>1986</v>
      </c>
      <c r="R166" s="66">
        <v>2</v>
      </c>
      <c r="S166" s="66" t="s">
        <v>773</v>
      </c>
      <c r="T166" s="74" t="s">
        <v>771</v>
      </c>
      <c r="U166" s="307">
        <f t="shared" si="14"/>
        <v>0</v>
      </c>
      <c r="V166" s="161"/>
    </row>
    <row r="167" spans="3:22">
      <c r="C167" s="366">
        <v>166</v>
      </c>
      <c r="D167" s="309" t="s">
        <v>558</v>
      </c>
      <c r="E167" s="139" t="s">
        <v>559</v>
      </c>
      <c r="F167" s="66">
        <v>2</v>
      </c>
      <c r="G167" s="66" t="s">
        <v>770</v>
      </c>
      <c r="H167" s="74" t="s">
        <v>772</v>
      </c>
      <c r="I167" s="307">
        <f t="shared" si="10"/>
        <v>1</v>
      </c>
      <c r="K167" s="66">
        <f t="shared" si="11"/>
        <v>0</v>
      </c>
      <c r="L167" s="66">
        <f t="shared" si="12"/>
        <v>0</v>
      </c>
      <c r="M167" s="66"/>
      <c r="N167" s="315">
        <f t="shared" si="13"/>
        <v>0</v>
      </c>
      <c r="P167" s="292" t="s">
        <v>558</v>
      </c>
      <c r="Q167" s="139" t="s">
        <v>1920</v>
      </c>
      <c r="R167" s="66">
        <v>2</v>
      </c>
      <c r="S167" s="66" t="s">
        <v>770</v>
      </c>
      <c r="T167" s="74" t="s">
        <v>772</v>
      </c>
      <c r="U167" s="307">
        <f t="shared" si="14"/>
        <v>1</v>
      </c>
      <c r="V167" s="161"/>
    </row>
    <row r="168" spans="3:22">
      <c r="C168" s="366">
        <v>167</v>
      </c>
      <c r="D168" s="309" t="s">
        <v>554</v>
      </c>
      <c r="E168" s="139" t="s">
        <v>555</v>
      </c>
      <c r="F168" s="66">
        <v>1</v>
      </c>
      <c r="G168" s="66" t="s">
        <v>773</v>
      </c>
      <c r="H168" s="74" t="s">
        <v>771</v>
      </c>
      <c r="I168" s="307">
        <f t="shared" si="10"/>
        <v>0</v>
      </c>
      <c r="K168" s="66">
        <f t="shared" si="11"/>
        <v>0</v>
      </c>
      <c r="L168" s="66">
        <f t="shared" si="12"/>
        <v>0</v>
      </c>
      <c r="M168" s="66"/>
      <c r="N168" s="315">
        <f t="shared" si="13"/>
        <v>0</v>
      </c>
      <c r="P168" s="292" t="s">
        <v>554</v>
      </c>
      <c r="Q168" s="139" t="s">
        <v>1918</v>
      </c>
      <c r="R168" s="66">
        <v>1</v>
      </c>
      <c r="S168" s="66" t="s">
        <v>773</v>
      </c>
      <c r="T168" s="74" t="s">
        <v>771</v>
      </c>
      <c r="U168" s="307">
        <f t="shared" si="14"/>
        <v>0</v>
      </c>
      <c r="V168" s="161"/>
    </row>
    <row r="169" spans="3:22">
      <c r="C169" s="366">
        <v>168</v>
      </c>
      <c r="D169" s="317" t="s">
        <v>1177</v>
      </c>
      <c r="E169" t="s">
        <v>1189</v>
      </c>
      <c r="F169" s="66">
        <v>2</v>
      </c>
      <c r="G169" s="66" t="s">
        <v>773</v>
      </c>
      <c r="H169" s="74" t="s">
        <v>771</v>
      </c>
      <c r="I169" s="307">
        <f t="shared" si="10"/>
        <v>0</v>
      </c>
      <c r="K169" s="66">
        <f t="shared" si="11"/>
        <v>0</v>
      </c>
      <c r="L169" s="66">
        <f t="shared" si="12"/>
        <v>0</v>
      </c>
      <c r="M169" s="66"/>
      <c r="N169" s="315">
        <f t="shared" si="13"/>
        <v>0</v>
      </c>
      <c r="P169" s="302" t="s">
        <v>1177</v>
      </c>
      <c r="Q169" t="s">
        <v>1827</v>
      </c>
      <c r="R169" s="66">
        <v>2</v>
      </c>
      <c r="S169" s="66" t="s">
        <v>773</v>
      </c>
      <c r="T169" s="74" t="s">
        <v>771</v>
      </c>
      <c r="U169" s="307">
        <f t="shared" si="14"/>
        <v>0</v>
      </c>
      <c r="V169" s="161"/>
    </row>
    <row r="170" spans="3:22">
      <c r="C170" s="366">
        <v>169</v>
      </c>
      <c r="D170" s="309" t="s">
        <v>568</v>
      </c>
      <c r="E170" s="139" t="s">
        <v>569</v>
      </c>
      <c r="F170" s="66">
        <v>1</v>
      </c>
      <c r="G170" s="66" t="s">
        <v>773</v>
      </c>
      <c r="H170" s="74" t="s">
        <v>771</v>
      </c>
      <c r="I170" s="307">
        <f t="shared" si="10"/>
        <v>0</v>
      </c>
      <c r="K170" s="66">
        <f t="shared" si="11"/>
        <v>0</v>
      </c>
      <c r="L170" s="66">
        <f t="shared" si="12"/>
        <v>0</v>
      </c>
      <c r="M170" s="66"/>
      <c r="N170" s="315">
        <f t="shared" si="13"/>
        <v>0</v>
      </c>
      <c r="P170" s="292" t="s">
        <v>568</v>
      </c>
      <c r="Q170" s="139" t="s">
        <v>1925</v>
      </c>
      <c r="R170" s="66">
        <v>1</v>
      </c>
      <c r="S170" s="66" t="s">
        <v>773</v>
      </c>
      <c r="T170" s="74" t="s">
        <v>771</v>
      </c>
      <c r="U170" s="307">
        <f t="shared" si="14"/>
        <v>0</v>
      </c>
      <c r="V170" s="161"/>
    </row>
    <row r="171" spans="3:22">
      <c r="C171" s="366">
        <v>170</v>
      </c>
      <c r="D171" s="309" t="s">
        <v>713</v>
      </c>
      <c r="E171" s="139" t="s">
        <v>714</v>
      </c>
      <c r="F171" s="66">
        <v>2</v>
      </c>
      <c r="G171" s="66" t="s">
        <v>773</v>
      </c>
      <c r="H171" s="74" t="s">
        <v>771</v>
      </c>
      <c r="I171" s="307">
        <f t="shared" si="10"/>
        <v>0</v>
      </c>
      <c r="K171" s="66">
        <f t="shared" si="11"/>
        <v>0</v>
      </c>
      <c r="L171" s="66">
        <f t="shared" si="12"/>
        <v>0</v>
      </c>
      <c r="M171" s="66"/>
      <c r="N171" s="315">
        <f t="shared" si="13"/>
        <v>0</v>
      </c>
      <c r="P171" s="292" t="s">
        <v>713</v>
      </c>
      <c r="Q171" s="139" t="s">
        <v>2002</v>
      </c>
      <c r="R171" s="66">
        <v>2</v>
      </c>
      <c r="S171" s="66" t="s">
        <v>773</v>
      </c>
      <c r="T171" s="74" t="s">
        <v>771</v>
      </c>
      <c r="U171" s="307">
        <f t="shared" si="14"/>
        <v>0</v>
      </c>
      <c r="V171" s="161"/>
    </row>
    <row r="172" spans="3:22">
      <c r="C172" s="366">
        <v>171</v>
      </c>
      <c r="D172" s="309" t="s">
        <v>416</v>
      </c>
      <c r="E172" s="139" t="s">
        <v>417</v>
      </c>
      <c r="F172" s="66">
        <v>2</v>
      </c>
      <c r="G172" s="66" t="s">
        <v>773</v>
      </c>
      <c r="H172" s="74" t="s">
        <v>771</v>
      </c>
      <c r="I172" s="307">
        <f t="shared" si="10"/>
        <v>0</v>
      </c>
      <c r="K172" s="66">
        <f t="shared" si="11"/>
        <v>0</v>
      </c>
      <c r="L172" s="66">
        <f t="shared" si="12"/>
        <v>0</v>
      </c>
      <c r="M172" s="66"/>
      <c r="N172" s="315">
        <f t="shared" si="13"/>
        <v>0</v>
      </c>
      <c r="P172" s="292" t="s">
        <v>416</v>
      </c>
      <c r="Q172" s="139" t="s">
        <v>1850</v>
      </c>
      <c r="R172" s="66">
        <v>2</v>
      </c>
      <c r="S172" s="66" t="s">
        <v>773</v>
      </c>
      <c r="T172" s="74" t="s">
        <v>771</v>
      </c>
      <c r="U172" s="307">
        <f t="shared" si="14"/>
        <v>0</v>
      </c>
      <c r="V172" s="161"/>
    </row>
    <row r="173" spans="3:22">
      <c r="C173" s="366">
        <v>172</v>
      </c>
      <c r="D173" s="309" t="s">
        <v>494</v>
      </c>
      <c r="E173" s="139" t="s">
        <v>976</v>
      </c>
      <c r="F173" s="66">
        <v>2</v>
      </c>
      <c r="G173" s="66" t="s">
        <v>770</v>
      </c>
      <c r="H173" s="74" t="s">
        <v>771</v>
      </c>
      <c r="I173" s="307">
        <f t="shared" si="10"/>
        <v>1</v>
      </c>
      <c r="K173" s="66">
        <f t="shared" si="11"/>
        <v>0</v>
      </c>
      <c r="L173" s="66">
        <f t="shared" si="12"/>
        <v>0</v>
      </c>
      <c r="M173" s="66"/>
      <c r="N173" s="315">
        <f t="shared" si="13"/>
        <v>0</v>
      </c>
      <c r="P173" s="292" t="s">
        <v>494</v>
      </c>
      <c r="Q173" s="139" t="s">
        <v>1888</v>
      </c>
      <c r="R173" s="66">
        <v>2</v>
      </c>
      <c r="S173" s="66" t="s">
        <v>770</v>
      </c>
      <c r="T173" s="74" t="s">
        <v>771</v>
      </c>
      <c r="U173" s="307">
        <f t="shared" si="14"/>
        <v>1</v>
      </c>
      <c r="V173" s="161"/>
    </row>
    <row r="174" spans="3:22">
      <c r="C174" s="366">
        <v>173</v>
      </c>
      <c r="D174" s="309" t="s">
        <v>472</v>
      </c>
      <c r="E174" s="139" t="s">
        <v>473</v>
      </c>
      <c r="F174" s="66">
        <v>2</v>
      </c>
      <c r="G174" s="66" t="s">
        <v>773</v>
      </c>
      <c r="H174" s="74" t="s">
        <v>772</v>
      </c>
      <c r="I174" s="307">
        <f t="shared" si="10"/>
        <v>0</v>
      </c>
      <c r="K174" s="66">
        <f t="shared" si="11"/>
        <v>0</v>
      </c>
      <c r="L174" s="66">
        <f t="shared" si="12"/>
        <v>0</v>
      </c>
      <c r="M174" s="66"/>
      <c r="N174" s="315">
        <f t="shared" si="13"/>
        <v>0</v>
      </c>
      <c r="P174" s="292" t="s">
        <v>472</v>
      </c>
      <c r="Q174" s="139" t="s">
        <v>2455</v>
      </c>
      <c r="R174" s="66">
        <v>2</v>
      </c>
      <c r="S174" s="66" t="s">
        <v>773</v>
      </c>
      <c r="T174" s="74" t="s">
        <v>772</v>
      </c>
      <c r="U174" s="307">
        <f t="shared" si="14"/>
        <v>0</v>
      </c>
      <c r="V174" s="161"/>
    </row>
    <row r="175" spans="3:22">
      <c r="C175" s="366">
        <v>174</v>
      </c>
      <c r="D175" s="309" t="s">
        <v>499</v>
      </c>
      <c r="E175" s="139" t="s">
        <v>500</v>
      </c>
      <c r="F175" s="66">
        <v>2</v>
      </c>
      <c r="G175" s="66" t="s">
        <v>773</v>
      </c>
      <c r="H175" s="74" t="s">
        <v>771</v>
      </c>
      <c r="I175" s="307">
        <f t="shared" si="10"/>
        <v>0</v>
      </c>
      <c r="K175" s="66">
        <f t="shared" si="11"/>
        <v>0</v>
      </c>
      <c r="L175" s="66">
        <f t="shared" si="12"/>
        <v>0</v>
      </c>
      <c r="M175" s="66"/>
      <c r="N175" s="315">
        <f t="shared" si="13"/>
        <v>0</v>
      </c>
      <c r="P175" s="292" t="s">
        <v>499</v>
      </c>
      <c r="Q175" s="139" t="s">
        <v>1891</v>
      </c>
      <c r="R175" s="66">
        <v>2</v>
      </c>
      <c r="S175" s="66" t="s">
        <v>773</v>
      </c>
      <c r="T175" s="74" t="s">
        <v>771</v>
      </c>
      <c r="U175" s="307">
        <f t="shared" si="14"/>
        <v>0</v>
      </c>
      <c r="V175" s="161"/>
    </row>
    <row r="176" spans="3:22">
      <c r="C176" s="366">
        <v>175</v>
      </c>
      <c r="D176" s="309" t="s">
        <v>598</v>
      </c>
      <c r="E176" s="139" t="s">
        <v>599</v>
      </c>
      <c r="F176" s="66">
        <v>2</v>
      </c>
      <c r="G176" s="66" t="s">
        <v>773</v>
      </c>
      <c r="H176" s="74" t="s">
        <v>771</v>
      </c>
      <c r="I176" s="307">
        <f t="shared" si="10"/>
        <v>0</v>
      </c>
      <c r="K176" s="66">
        <f t="shared" si="11"/>
        <v>0</v>
      </c>
      <c r="L176" s="66">
        <f t="shared" si="12"/>
        <v>0</v>
      </c>
      <c r="M176" s="66"/>
      <c r="N176" s="315">
        <f t="shared" si="13"/>
        <v>0</v>
      </c>
      <c r="P176" s="292" t="s">
        <v>598</v>
      </c>
      <c r="Q176" s="139" t="s">
        <v>1940</v>
      </c>
      <c r="R176" s="66">
        <v>2</v>
      </c>
      <c r="S176" s="66" t="s">
        <v>773</v>
      </c>
      <c r="T176" s="74" t="s">
        <v>771</v>
      </c>
      <c r="U176" s="307">
        <f t="shared" si="14"/>
        <v>0</v>
      </c>
      <c r="V176" s="161"/>
    </row>
    <row r="177" spans="3:22">
      <c r="C177" s="366">
        <v>176</v>
      </c>
      <c r="D177" s="309" t="s">
        <v>681</v>
      </c>
      <c r="E177" s="139" t="s">
        <v>682</v>
      </c>
      <c r="F177" s="66">
        <v>2</v>
      </c>
      <c r="G177" s="66" t="s">
        <v>773</v>
      </c>
      <c r="H177" s="74" t="s">
        <v>771</v>
      </c>
      <c r="I177" s="307">
        <f t="shared" si="10"/>
        <v>0</v>
      </c>
      <c r="K177" s="66">
        <f t="shared" si="11"/>
        <v>0</v>
      </c>
      <c r="L177" s="66">
        <f t="shared" si="12"/>
        <v>0</v>
      </c>
      <c r="M177" s="66"/>
      <c r="N177" s="315">
        <f t="shared" si="13"/>
        <v>0</v>
      </c>
      <c r="P177" s="292" t="s">
        <v>681</v>
      </c>
      <c r="Q177" s="139" t="s">
        <v>1985</v>
      </c>
      <c r="R177" s="66">
        <v>2</v>
      </c>
      <c r="S177" s="66" t="s">
        <v>773</v>
      </c>
      <c r="T177" s="74" t="s">
        <v>771</v>
      </c>
      <c r="U177" s="307">
        <f t="shared" si="14"/>
        <v>0</v>
      </c>
      <c r="V177" s="161"/>
    </row>
    <row r="178" spans="3:22">
      <c r="C178" s="366">
        <v>177</v>
      </c>
      <c r="D178" s="309" t="s">
        <v>301</v>
      </c>
      <c r="E178" s="139" t="s">
        <v>302</v>
      </c>
      <c r="F178" s="66">
        <v>2</v>
      </c>
      <c r="G178" s="66" t="s">
        <v>770</v>
      </c>
      <c r="H178" s="74" t="s">
        <v>771</v>
      </c>
      <c r="I178" s="307">
        <f t="shared" si="10"/>
        <v>1</v>
      </c>
      <c r="K178" s="66">
        <f t="shared" si="11"/>
        <v>0</v>
      </c>
      <c r="L178" s="66">
        <f t="shared" si="12"/>
        <v>0</v>
      </c>
      <c r="M178" s="66"/>
      <c r="N178" s="315">
        <f t="shared" si="13"/>
        <v>0</v>
      </c>
      <c r="P178" s="292" t="s">
        <v>301</v>
      </c>
      <c r="Q178" s="139" t="s">
        <v>1789</v>
      </c>
      <c r="R178" s="66">
        <v>2</v>
      </c>
      <c r="S178" s="66" t="s">
        <v>770</v>
      </c>
      <c r="T178" s="74" t="s">
        <v>771</v>
      </c>
      <c r="U178" s="307">
        <f t="shared" si="14"/>
        <v>1</v>
      </c>
      <c r="V178" s="161"/>
    </row>
    <row r="179" spans="3:22">
      <c r="C179" s="366">
        <v>178</v>
      </c>
      <c r="D179" s="309" t="s">
        <v>269</v>
      </c>
      <c r="E179" s="139" t="s">
        <v>270</v>
      </c>
      <c r="F179" s="66">
        <v>1</v>
      </c>
      <c r="G179" s="66" t="s">
        <v>773</v>
      </c>
      <c r="H179" s="74" t="s">
        <v>771</v>
      </c>
      <c r="I179" s="307">
        <f t="shared" si="10"/>
        <v>0</v>
      </c>
      <c r="K179" s="66">
        <f t="shared" si="11"/>
        <v>0</v>
      </c>
      <c r="L179" s="66">
        <f t="shared" si="12"/>
        <v>0</v>
      </c>
      <c r="M179" s="66"/>
      <c r="N179" s="315">
        <f t="shared" si="13"/>
        <v>0</v>
      </c>
      <c r="P179" s="292" t="s">
        <v>269</v>
      </c>
      <c r="Q179" s="139" t="s">
        <v>1773</v>
      </c>
      <c r="R179" s="66">
        <v>1</v>
      </c>
      <c r="S179" s="66" t="s">
        <v>773</v>
      </c>
      <c r="T179" s="74" t="s">
        <v>771</v>
      </c>
      <c r="U179" s="307">
        <f t="shared" si="14"/>
        <v>0</v>
      </c>
      <c r="V179" s="161"/>
    </row>
    <row r="180" spans="3:22">
      <c r="C180" s="366">
        <v>179</v>
      </c>
      <c r="D180" s="309" t="s">
        <v>378</v>
      </c>
      <c r="E180" s="139" t="s">
        <v>379</v>
      </c>
      <c r="F180" s="66">
        <v>1</v>
      </c>
      <c r="G180" s="66" t="s">
        <v>773</v>
      </c>
      <c r="H180" s="74" t="s">
        <v>771</v>
      </c>
      <c r="I180" s="307">
        <f t="shared" si="10"/>
        <v>0</v>
      </c>
      <c r="K180" s="66">
        <f t="shared" si="11"/>
        <v>0</v>
      </c>
      <c r="L180" s="66">
        <f t="shared" si="12"/>
        <v>0</v>
      </c>
      <c r="M180" s="66"/>
      <c r="N180" s="315">
        <f t="shared" si="13"/>
        <v>0</v>
      </c>
      <c r="P180" s="292" t="s">
        <v>378</v>
      </c>
      <c r="Q180" s="139" t="s">
        <v>1830</v>
      </c>
      <c r="R180" s="66">
        <v>1</v>
      </c>
      <c r="S180" s="66" t="s">
        <v>773</v>
      </c>
      <c r="T180" s="74" t="s">
        <v>771</v>
      </c>
      <c r="U180" s="307">
        <f t="shared" si="14"/>
        <v>0</v>
      </c>
      <c r="V180" s="161"/>
    </row>
    <row r="181" spans="3:22">
      <c r="C181" s="366">
        <v>180</v>
      </c>
      <c r="D181" s="309" t="s">
        <v>468</v>
      </c>
      <c r="E181" s="139" t="s">
        <v>469</v>
      </c>
      <c r="F181" s="66">
        <v>1</v>
      </c>
      <c r="G181" s="66" t="s">
        <v>773</v>
      </c>
      <c r="H181" s="74" t="s">
        <v>771</v>
      </c>
      <c r="I181" s="307">
        <f t="shared" si="10"/>
        <v>0</v>
      </c>
      <c r="K181" s="66">
        <f t="shared" si="11"/>
        <v>0</v>
      </c>
      <c r="L181" s="66">
        <f t="shared" si="12"/>
        <v>0</v>
      </c>
      <c r="M181" s="66"/>
      <c r="N181" s="315">
        <f t="shared" si="13"/>
        <v>0</v>
      </c>
      <c r="P181" s="292" t="s">
        <v>468</v>
      </c>
      <c r="Q181" s="139" t="s">
        <v>1876</v>
      </c>
      <c r="R181" s="66">
        <v>1</v>
      </c>
      <c r="S181" s="66" t="s">
        <v>773</v>
      </c>
      <c r="T181" s="74" t="s">
        <v>771</v>
      </c>
      <c r="U181" s="307">
        <f t="shared" si="14"/>
        <v>0</v>
      </c>
      <c r="V181" s="161"/>
    </row>
    <row r="182" spans="3:22">
      <c r="C182" s="366">
        <v>181</v>
      </c>
      <c r="D182" s="309" t="s">
        <v>497</v>
      </c>
      <c r="E182" s="139" t="s">
        <v>498</v>
      </c>
      <c r="F182" s="66">
        <v>2</v>
      </c>
      <c r="G182" s="66" t="s">
        <v>770</v>
      </c>
      <c r="H182" s="74" t="s">
        <v>771</v>
      </c>
      <c r="I182" s="307">
        <f t="shared" si="10"/>
        <v>1</v>
      </c>
      <c r="K182" s="66">
        <f t="shared" si="11"/>
        <v>0</v>
      </c>
      <c r="L182" s="66">
        <f t="shared" si="12"/>
        <v>0</v>
      </c>
      <c r="M182" s="66"/>
      <c r="N182" s="315">
        <f t="shared" si="13"/>
        <v>0</v>
      </c>
      <c r="P182" s="292" t="s">
        <v>497</v>
      </c>
      <c r="Q182" s="139" t="s">
        <v>1890</v>
      </c>
      <c r="R182" s="66">
        <v>2</v>
      </c>
      <c r="S182" s="66" t="s">
        <v>770</v>
      </c>
      <c r="T182" s="74" t="s">
        <v>771</v>
      </c>
      <c r="U182" s="307">
        <f t="shared" si="14"/>
        <v>1</v>
      </c>
      <c r="V182" s="161"/>
    </row>
    <row r="183" spans="3:22">
      <c r="C183" s="366">
        <v>182</v>
      </c>
      <c r="D183" s="309" t="s">
        <v>642</v>
      </c>
      <c r="E183" s="139" t="s">
        <v>643</v>
      </c>
      <c r="F183" s="66">
        <v>1</v>
      </c>
      <c r="G183" s="66" t="s">
        <v>773</v>
      </c>
      <c r="H183" s="74" t="s">
        <v>771</v>
      </c>
      <c r="I183" s="307">
        <f t="shared" si="10"/>
        <v>0</v>
      </c>
      <c r="K183" s="66">
        <f t="shared" si="11"/>
        <v>0</v>
      </c>
      <c r="L183" s="66">
        <f t="shared" si="12"/>
        <v>0</v>
      </c>
      <c r="M183" s="66"/>
      <c r="N183" s="315">
        <f t="shared" si="13"/>
        <v>0</v>
      </c>
      <c r="P183" s="292" t="s">
        <v>642</v>
      </c>
      <c r="Q183" s="139" t="s">
        <v>1964</v>
      </c>
      <c r="R183" s="66">
        <v>1</v>
      </c>
      <c r="S183" s="66" t="s">
        <v>773</v>
      </c>
      <c r="T183" s="74" t="s">
        <v>771</v>
      </c>
      <c r="U183" s="307">
        <f t="shared" si="14"/>
        <v>0</v>
      </c>
      <c r="V183" s="161"/>
    </row>
    <row r="184" spans="3:22">
      <c r="C184" s="366">
        <v>183</v>
      </c>
      <c r="D184" s="309" t="s">
        <v>636</v>
      </c>
      <c r="E184" s="139" t="s">
        <v>637</v>
      </c>
      <c r="F184" s="66">
        <v>2</v>
      </c>
      <c r="G184" s="66" t="s">
        <v>770</v>
      </c>
      <c r="H184" s="74" t="s">
        <v>771</v>
      </c>
      <c r="I184" s="307">
        <f t="shared" si="10"/>
        <v>1</v>
      </c>
      <c r="K184" s="66">
        <f t="shared" si="11"/>
        <v>0</v>
      </c>
      <c r="L184" s="66">
        <f t="shared" si="12"/>
        <v>0</v>
      </c>
      <c r="M184" s="66"/>
      <c r="N184" s="315">
        <f t="shared" si="13"/>
        <v>0</v>
      </c>
      <c r="P184" s="292" t="s">
        <v>636</v>
      </c>
      <c r="Q184" s="139" t="s">
        <v>1961</v>
      </c>
      <c r="R184" s="66">
        <v>2</v>
      </c>
      <c r="S184" s="66" t="s">
        <v>770</v>
      </c>
      <c r="T184" s="74" t="s">
        <v>771</v>
      </c>
      <c r="U184" s="307">
        <f t="shared" si="14"/>
        <v>1</v>
      </c>
      <c r="V184" s="161"/>
    </row>
    <row r="185" spans="3:22">
      <c r="C185" s="366">
        <v>184</v>
      </c>
      <c r="D185" s="309" t="s">
        <v>372</v>
      </c>
      <c r="E185" s="139" t="s">
        <v>373</v>
      </c>
      <c r="F185" s="66">
        <v>1</v>
      </c>
      <c r="G185" s="66" t="s">
        <v>773</v>
      </c>
      <c r="H185" s="74" t="s">
        <v>771</v>
      </c>
      <c r="I185" s="307">
        <f t="shared" si="10"/>
        <v>0</v>
      </c>
      <c r="K185" s="66">
        <f t="shared" si="11"/>
        <v>0</v>
      </c>
      <c r="L185" s="66">
        <f t="shared" si="12"/>
        <v>0</v>
      </c>
      <c r="M185" s="66"/>
      <c r="N185" s="315">
        <f t="shared" si="13"/>
        <v>0</v>
      </c>
      <c r="P185" s="292" t="s">
        <v>372</v>
      </c>
      <c r="Q185" s="139" t="s">
        <v>1826</v>
      </c>
      <c r="R185" s="66">
        <v>1</v>
      </c>
      <c r="S185" s="66" t="s">
        <v>773</v>
      </c>
      <c r="T185" s="74" t="s">
        <v>771</v>
      </c>
      <c r="U185" s="307">
        <f t="shared" si="14"/>
        <v>0</v>
      </c>
      <c r="V185" s="161"/>
    </row>
    <row r="186" spans="3:22">
      <c r="C186" s="366">
        <v>185</v>
      </c>
      <c r="D186" s="309" t="s">
        <v>322</v>
      </c>
      <c r="E186" s="139" t="s">
        <v>323</v>
      </c>
      <c r="F186" s="66">
        <v>1</v>
      </c>
      <c r="G186" s="66" t="s">
        <v>773</v>
      </c>
      <c r="H186" s="74" t="s">
        <v>771</v>
      </c>
      <c r="I186" s="307">
        <f t="shared" si="10"/>
        <v>0</v>
      </c>
      <c r="K186" s="66">
        <f t="shared" si="11"/>
        <v>0</v>
      </c>
      <c r="L186" s="66">
        <f t="shared" si="12"/>
        <v>0</v>
      </c>
      <c r="M186" s="66"/>
      <c r="N186" s="315">
        <f t="shared" si="13"/>
        <v>0</v>
      </c>
      <c r="P186" s="292" t="s">
        <v>322</v>
      </c>
      <c r="Q186" s="139" t="s">
        <v>1800</v>
      </c>
      <c r="R186" s="66">
        <v>1</v>
      </c>
      <c r="S186" s="66" t="s">
        <v>773</v>
      </c>
      <c r="T186" s="74" t="s">
        <v>771</v>
      </c>
      <c r="U186" s="307">
        <f t="shared" si="14"/>
        <v>0</v>
      </c>
      <c r="V186" s="161"/>
    </row>
    <row r="187" spans="3:22">
      <c r="C187" s="366">
        <v>186</v>
      </c>
      <c r="D187" s="309" t="s">
        <v>709</v>
      </c>
      <c r="E187" s="139" t="s">
        <v>710</v>
      </c>
      <c r="F187" s="66">
        <v>2</v>
      </c>
      <c r="G187" s="66" t="s">
        <v>770</v>
      </c>
      <c r="H187" s="74" t="s">
        <v>771</v>
      </c>
      <c r="I187" s="307">
        <f t="shared" si="10"/>
        <v>1</v>
      </c>
      <c r="K187" s="66">
        <f t="shared" si="11"/>
        <v>0</v>
      </c>
      <c r="L187" s="66">
        <f t="shared" si="12"/>
        <v>0</v>
      </c>
      <c r="M187" s="66"/>
      <c r="N187" s="315">
        <f t="shared" si="13"/>
        <v>0</v>
      </c>
      <c r="P187" s="292" t="s">
        <v>709</v>
      </c>
      <c r="Q187" s="139" t="s">
        <v>2000</v>
      </c>
      <c r="R187" s="66">
        <v>2</v>
      </c>
      <c r="S187" s="66" t="s">
        <v>770</v>
      </c>
      <c r="T187" s="74" t="s">
        <v>771</v>
      </c>
      <c r="U187" s="307">
        <f t="shared" si="14"/>
        <v>1</v>
      </c>
      <c r="V187" s="161"/>
    </row>
    <row r="188" spans="3:22">
      <c r="C188" s="366">
        <v>187</v>
      </c>
      <c r="D188" s="309" t="s">
        <v>320</v>
      </c>
      <c r="E188" s="139" t="s">
        <v>321</v>
      </c>
      <c r="F188" s="66">
        <v>2</v>
      </c>
      <c r="G188" s="66" t="s">
        <v>773</v>
      </c>
      <c r="H188" s="74" t="s">
        <v>771</v>
      </c>
      <c r="I188" s="307">
        <f t="shared" si="10"/>
        <v>0</v>
      </c>
      <c r="K188" s="66">
        <f t="shared" si="11"/>
        <v>0</v>
      </c>
      <c r="L188" s="66">
        <f t="shared" si="12"/>
        <v>0</v>
      </c>
      <c r="M188" s="66"/>
      <c r="N188" s="315">
        <f t="shared" si="13"/>
        <v>0</v>
      </c>
      <c r="P188" s="292" t="s">
        <v>320</v>
      </c>
      <c r="Q188" s="139" t="s">
        <v>1799</v>
      </c>
      <c r="R188" s="66">
        <v>2</v>
      </c>
      <c r="S188" s="66" t="s">
        <v>773</v>
      </c>
      <c r="T188" s="74" t="s">
        <v>771</v>
      </c>
      <c r="U188" s="307">
        <f t="shared" si="14"/>
        <v>0</v>
      </c>
      <c r="V188" s="161"/>
    </row>
    <row r="189" spans="3:22">
      <c r="C189" s="366">
        <v>188</v>
      </c>
      <c r="D189" s="309" t="s">
        <v>488</v>
      </c>
      <c r="E189" s="139" t="s">
        <v>489</v>
      </c>
      <c r="F189" s="66">
        <v>2</v>
      </c>
      <c r="G189" s="66" t="s">
        <v>773</v>
      </c>
      <c r="H189" s="74" t="s">
        <v>771</v>
      </c>
      <c r="I189" s="307">
        <f t="shared" si="10"/>
        <v>0</v>
      </c>
      <c r="K189" s="66">
        <f t="shared" si="11"/>
        <v>0</v>
      </c>
      <c r="L189" s="66">
        <f t="shared" si="12"/>
        <v>0</v>
      </c>
      <c r="M189" s="66"/>
      <c r="N189" s="315">
        <f t="shared" si="13"/>
        <v>0</v>
      </c>
      <c r="P189" s="292" t="s">
        <v>488</v>
      </c>
      <c r="Q189" s="139" t="s">
        <v>1885</v>
      </c>
      <c r="R189" s="66">
        <v>2</v>
      </c>
      <c r="S189" s="66" t="s">
        <v>773</v>
      </c>
      <c r="T189" s="74" t="s">
        <v>771</v>
      </c>
      <c r="U189" s="307">
        <f t="shared" si="14"/>
        <v>0</v>
      </c>
      <c r="V189" s="161"/>
    </row>
    <row r="190" spans="3:22">
      <c r="C190" s="366">
        <v>189</v>
      </c>
      <c r="D190" s="309" t="s">
        <v>318</v>
      </c>
      <c r="E190" s="139" t="s">
        <v>319</v>
      </c>
      <c r="F190" s="66">
        <v>2</v>
      </c>
      <c r="G190" s="66" t="s">
        <v>770</v>
      </c>
      <c r="H190" s="74" t="s">
        <v>771</v>
      </c>
      <c r="I190" s="307">
        <f t="shared" si="10"/>
        <v>1</v>
      </c>
      <c r="K190" s="66">
        <f t="shared" si="11"/>
        <v>0</v>
      </c>
      <c r="L190" s="66">
        <f t="shared" si="12"/>
        <v>0</v>
      </c>
      <c r="M190" s="66"/>
      <c r="N190" s="315">
        <f t="shared" si="13"/>
        <v>0</v>
      </c>
      <c r="P190" s="292" t="s">
        <v>318</v>
      </c>
      <c r="Q190" s="139" t="s">
        <v>1798</v>
      </c>
      <c r="R190" s="66">
        <v>2</v>
      </c>
      <c r="S190" s="66" t="s">
        <v>770</v>
      </c>
      <c r="T190" s="74" t="s">
        <v>771</v>
      </c>
      <c r="U190" s="307">
        <f t="shared" si="14"/>
        <v>1</v>
      </c>
      <c r="V190" s="161"/>
    </row>
    <row r="191" spans="3:22">
      <c r="C191" s="366">
        <v>190</v>
      </c>
      <c r="D191" s="309" t="s">
        <v>450</v>
      </c>
      <c r="E191" s="139" t="s">
        <v>451</v>
      </c>
      <c r="F191" s="66">
        <v>2</v>
      </c>
      <c r="G191" s="66" t="s">
        <v>770</v>
      </c>
      <c r="H191" s="74" t="s">
        <v>771</v>
      </c>
      <c r="I191" s="307">
        <f t="shared" si="10"/>
        <v>1</v>
      </c>
      <c r="K191" s="66">
        <f t="shared" si="11"/>
        <v>0</v>
      </c>
      <c r="L191" s="66">
        <f t="shared" si="12"/>
        <v>0</v>
      </c>
      <c r="M191" s="66"/>
      <c r="N191" s="315">
        <f t="shared" si="13"/>
        <v>0</v>
      </c>
      <c r="P191" s="292" t="s">
        <v>450</v>
      </c>
      <c r="Q191" s="139" t="s">
        <v>1867</v>
      </c>
      <c r="R191" s="66">
        <v>2</v>
      </c>
      <c r="S191" s="66" t="s">
        <v>770</v>
      </c>
      <c r="T191" s="74" t="s">
        <v>771</v>
      </c>
      <c r="U191" s="307">
        <f t="shared" si="14"/>
        <v>1</v>
      </c>
      <c r="V191" s="161"/>
    </row>
    <row r="192" spans="3:22">
      <c r="C192" s="366">
        <v>191</v>
      </c>
      <c r="D192" s="309" t="s">
        <v>476</v>
      </c>
      <c r="E192" s="139" t="s">
        <v>477</v>
      </c>
      <c r="F192" s="66">
        <v>2</v>
      </c>
      <c r="G192" s="66" t="s">
        <v>773</v>
      </c>
      <c r="H192" s="74" t="s">
        <v>771</v>
      </c>
      <c r="I192" s="307">
        <f t="shared" si="10"/>
        <v>0</v>
      </c>
      <c r="K192" s="66">
        <f t="shared" si="11"/>
        <v>0</v>
      </c>
      <c r="L192" s="66">
        <f t="shared" si="12"/>
        <v>0</v>
      </c>
      <c r="M192" s="66"/>
      <c r="N192" s="315">
        <f t="shared" si="13"/>
        <v>0</v>
      </c>
      <c r="P192" s="292" t="s">
        <v>476</v>
      </c>
      <c r="Q192" s="139" t="s">
        <v>1879</v>
      </c>
      <c r="R192" s="66">
        <v>2</v>
      </c>
      <c r="S192" s="66" t="s">
        <v>773</v>
      </c>
      <c r="T192" s="74" t="s">
        <v>771</v>
      </c>
      <c r="U192" s="307">
        <f t="shared" si="14"/>
        <v>0</v>
      </c>
      <c r="V192" s="161"/>
    </row>
    <row r="193" spans="3:22">
      <c r="C193" s="366">
        <v>192</v>
      </c>
      <c r="D193" s="309" t="s">
        <v>646</v>
      </c>
      <c r="E193" s="139" t="s">
        <v>647</v>
      </c>
      <c r="F193" s="66">
        <v>1</v>
      </c>
      <c r="G193" s="66" t="s">
        <v>773</v>
      </c>
      <c r="H193" s="74" t="s">
        <v>771</v>
      </c>
      <c r="I193" s="307">
        <f t="shared" si="10"/>
        <v>0</v>
      </c>
      <c r="K193" s="66">
        <f t="shared" si="11"/>
        <v>0</v>
      </c>
      <c r="L193" s="66">
        <f t="shared" si="12"/>
        <v>0</v>
      </c>
      <c r="M193" s="66"/>
      <c r="N193" s="315">
        <f t="shared" si="13"/>
        <v>0</v>
      </c>
      <c r="P193" s="292" t="s">
        <v>646</v>
      </c>
      <c r="Q193" s="139" t="s">
        <v>1966</v>
      </c>
      <c r="R193" s="66">
        <v>1</v>
      </c>
      <c r="S193" s="66" t="s">
        <v>773</v>
      </c>
      <c r="T193" s="74" t="s">
        <v>771</v>
      </c>
      <c r="U193" s="307">
        <f t="shared" si="14"/>
        <v>0</v>
      </c>
      <c r="V193" s="161"/>
    </row>
    <row r="194" spans="3:22">
      <c r="C194" s="366">
        <v>193</v>
      </c>
      <c r="D194" s="309" t="s">
        <v>474</v>
      </c>
      <c r="E194" s="139" t="s">
        <v>475</v>
      </c>
      <c r="F194" s="66">
        <v>2</v>
      </c>
      <c r="G194" s="66" t="s">
        <v>773</v>
      </c>
      <c r="H194" s="74" t="s">
        <v>771</v>
      </c>
      <c r="I194" s="307">
        <f t="shared" ref="I194:I257" si="15">IF(+G194="cash",1,0)</f>
        <v>0</v>
      </c>
      <c r="K194" s="66">
        <f t="shared" ref="K194:K257" si="16">+F194-R194</f>
        <v>0</v>
      </c>
      <c r="L194" s="66">
        <f t="shared" ref="L194:L257" si="17">+I194-U194</f>
        <v>0</v>
      </c>
      <c r="M194" s="66"/>
      <c r="N194" s="315">
        <f t="shared" ref="N194:N257" si="18">+P194-D194</f>
        <v>0</v>
      </c>
      <c r="P194" s="292" t="s">
        <v>474</v>
      </c>
      <c r="Q194" s="139" t="s">
        <v>1878</v>
      </c>
      <c r="R194" s="66">
        <v>2</v>
      </c>
      <c r="S194" s="66" t="s">
        <v>773</v>
      </c>
      <c r="T194" s="74" t="s">
        <v>771</v>
      </c>
      <c r="U194" s="307">
        <f t="shared" ref="U194:U257" si="19">IF(+S194="cash",1,0)</f>
        <v>0</v>
      </c>
      <c r="V194" s="161"/>
    </row>
    <row r="195" spans="3:22">
      <c r="C195" s="366">
        <v>194</v>
      </c>
      <c r="D195" s="309" t="s">
        <v>432</v>
      </c>
      <c r="E195" s="139" t="s">
        <v>433</v>
      </c>
      <c r="F195" s="66">
        <v>2</v>
      </c>
      <c r="G195" s="66" t="s">
        <v>773</v>
      </c>
      <c r="H195" s="74" t="s">
        <v>771</v>
      </c>
      <c r="I195" s="307">
        <f t="shared" si="15"/>
        <v>0</v>
      </c>
      <c r="K195" s="66">
        <f t="shared" si="16"/>
        <v>0</v>
      </c>
      <c r="L195" s="66">
        <f t="shared" si="17"/>
        <v>0</v>
      </c>
      <c r="M195" s="66"/>
      <c r="N195" s="315">
        <f t="shared" si="18"/>
        <v>0</v>
      </c>
      <c r="P195" s="292" t="s">
        <v>432</v>
      </c>
      <c r="Q195" s="139" t="s">
        <v>1858</v>
      </c>
      <c r="R195" s="66">
        <v>2</v>
      </c>
      <c r="S195" s="66" t="s">
        <v>773</v>
      </c>
      <c r="T195" s="74" t="s">
        <v>771</v>
      </c>
      <c r="U195" s="307">
        <f t="shared" si="19"/>
        <v>0</v>
      </c>
      <c r="V195" s="161"/>
    </row>
    <row r="196" spans="3:22">
      <c r="C196" s="366">
        <v>195</v>
      </c>
      <c r="D196" s="309" t="s">
        <v>618</v>
      </c>
      <c r="E196" s="139" t="s">
        <v>619</v>
      </c>
      <c r="F196" s="66">
        <v>2</v>
      </c>
      <c r="G196" s="66" t="s">
        <v>770</v>
      </c>
      <c r="H196" s="74" t="s">
        <v>772</v>
      </c>
      <c r="I196" s="307">
        <f t="shared" si="15"/>
        <v>1</v>
      </c>
      <c r="K196" s="66">
        <f t="shared" si="16"/>
        <v>0</v>
      </c>
      <c r="L196" s="66">
        <f t="shared" si="17"/>
        <v>0</v>
      </c>
      <c r="M196" s="66"/>
      <c r="N196" s="315">
        <f t="shared" si="18"/>
        <v>0</v>
      </c>
      <c r="P196" s="292" t="s">
        <v>618</v>
      </c>
      <c r="Q196" s="139" t="s">
        <v>1951</v>
      </c>
      <c r="R196" s="66">
        <v>2</v>
      </c>
      <c r="S196" s="66" t="s">
        <v>770</v>
      </c>
      <c r="T196" s="74" t="s">
        <v>772</v>
      </c>
      <c r="U196" s="307">
        <f t="shared" si="19"/>
        <v>1</v>
      </c>
      <c r="V196" s="161"/>
    </row>
    <row r="197" spans="3:22">
      <c r="C197" s="366">
        <v>196</v>
      </c>
      <c r="D197" s="309" t="s">
        <v>537</v>
      </c>
      <c r="E197" s="139" t="s">
        <v>538</v>
      </c>
      <c r="F197" s="66">
        <v>2</v>
      </c>
      <c r="G197" s="66" t="s">
        <v>773</v>
      </c>
      <c r="H197" s="74" t="s">
        <v>771</v>
      </c>
      <c r="I197" s="307">
        <f t="shared" si="15"/>
        <v>0</v>
      </c>
      <c r="K197" s="66">
        <f t="shared" si="16"/>
        <v>0</v>
      </c>
      <c r="L197" s="66">
        <f t="shared" si="17"/>
        <v>0</v>
      </c>
      <c r="M197" s="66"/>
      <c r="N197" s="315">
        <f t="shared" si="18"/>
        <v>0</v>
      </c>
      <c r="P197" s="292" t="s">
        <v>537</v>
      </c>
      <c r="Q197" s="139" t="s">
        <v>1910</v>
      </c>
      <c r="R197" s="66">
        <v>2</v>
      </c>
      <c r="S197" s="66" t="s">
        <v>773</v>
      </c>
      <c r="T197" s="74" t="s">
        <v>771</v>
      </c>
      <c r="U197" s="307">
        <f t="shared" si="19"/>
        <v>0</v>
      </c>
      <c r="V197" s="161"/>
    </row>
    <row r="198" spans="3:22">
      <c r="C198" s="366">
        <v>197</v>
      </c>
      <c r="D198" s="309" t="s">
        <v>594</v>
      </c>
      <c r="E198" s="139" t="s">
        <v>595</v>
      </c>
      <c r="F198" s="66">
        <v>2</v>
      </c>
      <c r="G198" s="66" t="s">
        <v>770</v>
      </c>
      <c r="H198" s="74" t="s">
        <v>772</v>
      </c>
      <c r="I198" s="307">
        <f t="shared" si="15"/>
        <v>1</v>
      </c>
      <c r="K198" s="66">
        <f t="shared" si="16"/>
        <v>0</v>
      </c>
      <c r="L198" s="66">
        <f t="shared" si="17"/>
        <v>0</v>
      </c>
      <c r="M198" s="66"/>
      <c r="N198" s="315">
        <f t="shared" si="18"/>
        <v>0</v>
      </c>
      <c r="P198" s="292" t="s">
        <v>594</v>
      </c>
      <c r="Q198" s="139" t="s">
        <v>1938</v>
      </c>
      <c r="R198" s="66">
        <v>2</v>
      </c>
      <c r="S198" s="66" t="s">
        <v>770</v>
      </c>
      <c r="T198" s="74" t="s">
        <v>772</v>
      </c>
      <c r="U198" s="307">
        <f t="shared" si="19"/>
        <v>1</v>
      </c>
      <c r="V198" s="161"/>
    </row>
    <row r="199" spans="3:22">
      <c r="C199" s="366">
        <v>198</v>
      </c>
      <c r="D199" s="309" t="s">
        <v>261</v>
      </c>
      <c r="E199" s="139" t="s">
        <v>262</v>
      </c>
      <c r="F199" s="66">
        <v>2</v>
      </c>
      <c r="G199" s="66" t="s">
        <v>770</v>
      </c>
      <c r="H199" s="74" t="s">
        <v>772</v>
      </c>
      <c r="I199" s="307">
        <f t="shared" si="15"/>
        <v>1</v>
      </c>
      <c r="K199" s="66">
        <f t="shared" si="16"/>
        <v>0</v>
      </c>
      <c r="L199" s="66">
        <f t="shared" si="17"/>
        <v>0</v>
      </c>
      <c r="M199" s="66"/>
      <c r="N199" s="315">
        <f t="shared" si="18"/>
        <v>0</v>
      </c>
      <c r="P199" s="292" t="s">
        <v>261</v>
      </c>
      <c r="Q199" s="139" t="s">
        <v>1769</v>
      </c>
      <c r="R199" s="66">
        <v>2</v>
      </c>
      <c r="S199" s="66" t="s">
        <v>770</v>
      </c>
      <c r="T199" s="74" t="s">
        <v>772</v>
      </c>
      <c r="U199" s="307">
        <f t="shared" si="19"/>
        <v>1</v>
      </c>
      <c r="V199" s="161"/>
    </row>
    <row r="200" spans="3:22">
      <c r="C200" s="366">
        <v>199</v>
      </c>
      <c r="D200" s="309" t="s">
        <v>245</v>
      </c>
      <c r="E200" s="139" t="s">
        <v>246</v>
      </c>
      <c r="F200" s="66">
        <v>2</v>
      </c>
      <c r="G200" s="66" t="s">
        <v>773</v>
      </c>
      <c r="H200" s="74" t="s">
        <v>772</v>
      </c>
      <c r="I200" s="307">
        <f t="shared" si="15"/>
        <v>0</v>
      </c>
      <c r="K200" s="66">
        <f t="shared" si="16"/>
        <v>0</v>
      </c>
      <c r="L200" s="66">
        <f t="shared" si="17"/>
        <v>0</v>
      </c>
      <c r="M200" s="66"/>
      <c r="N200" s="315">
        <f t="shared" si="18"/>
        <v>0</v>
      </c>
      <c r="P200" s="292" t="s">
        <v>245</v>
      </c>
      <c r="Q200" s="139" t="s">
        <v>1761</v>
      </c>
      <c r="R200" s="66">
        <v>2</v>
      </c>
      <c r="S200" s="66" t="s">
        <v>773</v>
      </c>
      <c r="T200" s="74" t="s">
        <v>772</v>
      </c>
      <c r="U200" s="307">
        <f t="shared" si="19"/>
        <v>0</v>
      </c>
      <c r="V200" s="161"/>
    </row>
    <row r="201" spans="3:22">
      <c r="C201" s="366">
        <v>200</v>
      </c>
      <c r="D201" s="309" t="s">
        <v>486</v>
      </c>
      <c r="E201" s="139" t="s">
        <v>487</v>
      </c>
      <c r="F201" s="66">
        <v>2</v>
      </c>
      <c r="G201" s="66" t="s">
        <v>773</v>
      </c>
      <c r="H201" s="74" t="s">
        <v>771</v>
      </c>
      <c r="I201" s="307">
        <f t="shared" si="15"/>
        <v>0</v>
      </c>
      <c r="K201" s="66">
        <f t="shared" si="16"/>
        <v>0</v>
      </c>
      <c r="L201" s="66">
        <f t="shared" si="17"/>
        <v>0</v>
      </c>
      <c r="M201" s="66"/>
      <c r="N201" s="315">
        <f t="shared" si="18"/>
        <v>0</v>
      </c>
      <c r="P201" s="292" t="s">
        <v>486</v>
      </c>
      <c r="Q201" s="139" t="s">
        <v>1884</v>
      </c>
      <c r="R201" s="66">
        <v>2</v>
      </c>
      <c r="S201" s="66" t="s">
        <v>773</v>
      </c>
      <c r="T201" s="74" t="s">
        <v>771</v>
      </c>
      <c r="U201" s="307">
        <f t="shared" si="19"/>
        <v>0</v>
      </c>
      <c r="V201" s="161"/>
    </row>
    <row r="202" spans="3:22">
      <c r="C202" s="366">
        <v>201</v>
      </c>
      <c r="D202" s="309" t="s">
        <v>519</v>
      </c>
      <c r="E202" s="139" t="s">
        <v>520</v>
      </c>
      <c r="F202" s="66">
        <v>1</v>
      </c>
      <c r="G202" s="66" t="s">
        <v>773</v>
      </c>
      <c r="H202" s="74" t="s">
        <v>771</v>
      </c>
      <c r="I202" s="307">
        <f t="shared" si="15"/>
        <v>0</v>
      </c>
      <c r="K202" s="66">
        <f t="shared" si="16"/>
        <v>0</v>
      </c>
      <c r="L202" s="66">
        <f t="shared" si="17"/>
        <v>0</v>
      </c>
      <c r="M202" s="66"/>
      <c r="N202" s="315">
        <f t="shared" si="18"/>
        <v>0</v>
      </c>
      <c r="P202" s="292" t="s">
        <v>519</v>
      </c>
      <c r="Q202" s="139" t="s">
        <v>1900</v>
      </c>
      <c r="R202" s="66">
        <v>1</v>
      </c>
      <c r="S202" s="66" t="s">
        <v>773</v>
      </c>
      <c r="T202" s="74" t="s">
        <v>771</v>
      </c>
      <c r="U202" s="307">
        <f t="shared" si="19"/>
        <v>0</v>
      </c>
      <c r="V202" s="161"/>
    </row>
    <row r="203" spans="3:22">
      <c r="C203" s="366">
        <v>202</v>
      </c>
      <c r="D203" s="309" t="s">
        <v>167</v>
      </c>
      <c r="E203" s="139" t="s">
        <v>168</v>
      </c>
      <c r="F203" s="66">
        <v>1</v>
      </c>
      <c r="G203" s="66" t="s">
        <v>773</v>
      </c>
      <c r="H203" s="74" t="s">
        <v>771</v>
      </c>
      <c r="I203" s="307">
        <f t="shared" si="15"/>
        <v>0</v>
      </c>
      <c r="K203" s="66">
        <f t="shared" si="16"/>
        <v>0</v>
      </c>
      <c r="L203" s="66">
        <f t="shared" si="17"/>
        <v>0</v>
      </c>
      <c r="M203" s="66"/>
      <c r="N203" s="315">
        <f t="shared" si="18"/>
        <v>0</v>
      </c>
      <c r="P203" s="292" t="s">
        <v>167</v>
      </c>
      <c r="Q203" s="139" t="s">
        <v>1720</v>
      </c>
      <c r="R203" s="66">
        <v>1</v>
      </c>
      <c r="S203" s="66" t="s">
        <v>773</v>
      </c>
      <c r="T203" s="74" t="s">
        <v>771</v>
      </c>
      <c r="U203" s="307">
        <f t="shared" si="19"/>
        <v>0</v>
      </c>
      <c r="V203" s="161"/>
    </row>
    <row r="204" spans="3:22">
      <c r="C204" s="366">
        <v>203</v>
      </c>
      <c r="D204" s="309" t="s">
        <v>249</v>
      </c>
      <c r="E204" s="139" t="s">
        <v>250</v>
      </c>
      <c r="F204" s="66">
        <v>2</v>
      </c>
      <c r="G204" s="66" t="s">
        <v>773</v>
      </c>
      <c r="H204" s="74" t="s">
        <v>772</v>
      </c>
      <c r="I204" s="307">
        <f t="shared" si="15"/>
        <v>0</v>
      </c>
      <c r="K204" s="66">
        <f t="shared" si="16"/>
        <v>0</v>
      </c>
      <c r="L204" s="66">
        <f t="shared" si="17"/>
        <v>0</v>
      </c>
      <c r="M204" s="66"/>
      <c r="N204" s="315">
        <f t="shared" si="18"/>
        <v>0</v>
      </c>
      <c r="P204" s="292" t="s">
        <v>249</v>
      </c>
      <c r="Q204" s="139" t="s">
        <v>1763</v>
      </c>
      <c r="R204" s="66">
        <v>2</v>
      </c>
      <c r="S204" s="66" t="s">
        <v>773</v>
      </c>
      <c r="T204" s="74" t="s">
        <v>772</v>
      </c>
      <c r="U204" s="307">
        <f t="shared" si="19"/>
        <v>0</v>
      </c>
      <c r="V204" s="161"/>
    </row>
    <row r="205" spans="3:22">
      <c r="C205" s="366">
        <v>204</v>
      </c>
      <c r="D205" s="309" t="s">
        <v>695</v>
      </c>
      <c r="E205" s="139" t="s">
        <v>696</v>
      </c>
      <c r="F205" s="66">
        <v>2</v>
      </c>
      <c r="G205" s="66" t="s">
        <v>770</v>
      </c>
      <c r="H205" s="74" t="s">
        <v>771</v>
      </c>
      <c r="I205" s="307">
        <f t="shared" si="15"/>
        <v>1</v>
      </c>
      <c r="K205" s="66">
        <f t="shared" si="16"/>
        <v>0</v>
      </c>
      <c r="L205" s="66">
        <f t="shared" si="17"/>
        <v>0</v>
      </c>
      <c r="M205" s="66"/>
      <c r="N205" s="315">
        <f t="shared" si="18"/>
        <v>0</v>
      </c>
      <c r="P205" s="292" t="s">
        <v>695</v>
      </c>
      <c r="Q205" s="139" t="s">
        <v>1993</v>
      </c>
      <c r="R205" s="66">
        <v>2</v>
      </c>
      <c r="S205" s="66" t="s">
        <v>770</v>
      </c>
      <c r="T205" s="74" t="s">
        <v>771</v>
      </c>
      <c r="U205" s="307">
        <f t="shared" si="19"/>
        <v>1</v>
      </c>
      <c r="V205" s="161"/>
    </row>
    <row r="206" spans="3:22">
      <c r="C206" s="366">
        <v>205</v>
      </c>
      <c r="D206" s="314" t="s">
        <v>2366</v>
      </c>
      <c r="E206" s="303" t="s">
        <v>2365</v>
      </c>
      <c r="F206" s="66">
        <v>2</v>
      </c>
      <c r="G206" s="66" t="s">
        <v>773</v>
      </c>
      <c r="H206" s="74" t="s">
        <v>771</v>
      </c>
      <c r="I206" s="307">
        <f t="shared" si="15"/>
        <v>0</v>
      </c>
      <c r="K206" s="66">
        <f t="shared" si="16"/>
        <v>0</v>
      </c>
      <c r="L206" s="66">
        <f t="shared" si="17"/>
        <v>0</v>
      </c>
      <c r="M206" s="66"/>
      <c r="N206" s="315">
        <f t="shared" si="18"/>
        <v>0</v>
      </c>
      <c r="P206" s="298" t="s">
        <v>2366</v>
      </c>
      <c r="Q206" s="303" t="s">
        <v>2502</v>
      </c>
      <c r="R206" s="66">
        <v>2</v>
      </c>
      <c r="S206" s="66" t="s">
        <v>773</v>
      </c>
      <c r="T206" s="74" t="s">
        <v>771</v>
      </c>
      <c r="U206" s="307">
        <f t="shared" si="19"/>
        <v>0</v>
      </c>
      <c r="V206" s="161"/>
    </row>
    <row r="207" spans="3:22">
      <c r="C207" s="366">
        <v>206</v>
      </c>
      <c r="D207" s="309" t="s">
        <v>267</v>
      </c>
      <c r="E207" s="139" t="s">
        <v>268</v>
      </c>
      <c r="F207" s="66">
        <v>1</v>
      </c>
      <c r="G207" s="66" t="s">
        <v>773</v>
      </c>
      <c r="H207" s="74" t="s">
        <v>771</v>
      </c>
      <c r="I207" s="307">
        <f t="shared" si="15"/>
        <v>0</v>
      </c>
      <c r="K207" s="66">
        <f t="shared" si="16"/>
        <v>0</v>
      </c>
      <c r="L207" s="66">
        <f t="shared" si="17"/>
        <v>0</v>
      </c>
      <c r="M207" s="66"/>
      <c r="N207" s="315">
        <f t="shared" si="18"/>
        <v>0</v>
      </c>
      <c r="P207" s="292" t="s">
        <v>267</v>
      </c>
      <c r="Q207" s="139" t="s">
        <v>1772</v>
      </c>
      <c r="R207" s="66">
        <v>1</v>
      </c>
      <c r="S207" s="66" t="s">
        <v>773</v>
      </c>
      <c r="T207" s="74" t="s">
        <v>771</v>
      </c>
      <c r="U207" s="307">
        <f t="shared" si="19"/>
        <v>0</v>
      </c>
      <c r="V207" s="161"/>
    </row>
    <row r="208" spans="3:22">
      <c r="C208" s="366">
        <v>207</v>
      </c>
      <c r="D208" s="309" t="s">
        <v>480</v>
      </c>
      <c r="E208" s="139" t="s">
        <v>481</v>
      </c>
      <c r="F208" s="66">
        <v>2</v>
      </c>
      <c r="G208" s="66" t="s">
        <v>773</v>
      </c>
      <c r="H208" s="74" t="s">
        <v>771</v>
      </c>
      <c r="I208" s="307">
        <f t="shared" si="15"/>
        <v>0</v>
      </c>
      <c r="K208" s="66">
        <f t="shared" si="16"/>
        <v>0</v>
      </c>
      <c r="L208" s="66">
        <f t="shared" si="17"/>
        <v>0</v>
      </c>
      <c r="M208" s="66"/>
      <c r="N208" s="315">
        <f t="shared" si="18"/>
        <v>0</v>
      </c>
      <c r="P208" s="292" t="s">
        <v>480</v>
      </c>
      <c r="Q208" s="139" t="s">
        <v>1881</v>
      </c>
      <c r="R208" s="66">
        <v>2</v>
      </c>
      <c r="S208" s="66" t="s">
        <v>773</v>
      </c>
      <c r="T208" s="74" t="s">
        <v>771</v>
      </c>
      <c r="U208" s="307">
        <f t="shared" si="19"/>
        <v>0</v>
      </c>
      <c r="V208" s="161"/>
    </row>
    <row r="209" spans="3:22">
      <c r="C209" s="366">
        <v>208</v>
      </c>
      <c r="D209" s="309" t="s">
        <v>179</v>
      </c>
      <c r="E209" s="139" t="s">
        <v>180</v>
      </c>
      <c r="F209" s="66">
        <v>2</v>
      </c>
      <c r="G209" s="66" t="s">
        <v>770</v>
      </c>
      <c r="H209" s="74" t="s">
        <v>772</v>
      </c>
      <c r="I209" s="307">
        <f t="shared" si="15"/>
        <v>1</v>
      </c>
      <c r="K209" s="66">
        <f t="shared" si="16"/>
        <v>0</v>
      </c>
      <c r="L209" s="66">
        <f t="shared" si="17"/>
        <v>0</v>
      </c>
      <c r="M209" s="66"/>
      <c r="N209" s="315">
        <f t="shared" si="18"/>
        <v>0</v>
      </c>
      <c r="P209" s="292" t="s">
        <v>179</v>
      </c>
      <c r="Q209" s="139" t="s">
        <v>1726</v>
      </c>
      <c r="R209" s="66">
        <v>2</v>
      </c>
      <c r="S209" s="66" t="s">
        <v>770</v>
      </c>
      <c r="T209" s="74" t="s">
        <v>772</v>
      </c>
      <c r="U209" s="307">
        <f t="shared" si="19"/>
        <v>1</v>
      </c>
      <c r="V209" s="161"/>
    </row>
    <row r="210" spans="3:22">
      <c r="C210" s="366">
        <v>209</v>
      </c>
      <c r="D210" s="309" t="s">
        <v>434</v>
      </c>
      <c r="E210" s="139" t="s">
        <v>435</v>
      </c>
      <c r="F210" s="66">
        <v>2</v>
      </c>
      <c r="G210" s="66" t="s">
        <v>770</v>
      </c>
      <c r="H210" s="74" t="s">
        <v>771</v>
      </c>
      <c r="I210" s="307">
        <f t="shared" si="15"/>
        <v>1</v>
      </c>
      <c r="K210" s="66">
        <f t="shared" si="16"/>
        <v>0</v>
      </c>
      <c r="L210" s="66">
        <f t="shared" si="17"/>
        <v>0</v>
      </c>
      <c r="M210" s="66"/>
      <c r="N210" s="315">
        <f t="shared" si="18"/>
        <v>0</v>
      </c>
      <c r="P210" s="292" t="s">
        <v>434</v>
      </c>
      <c r="Q210" s="139" t="s">
        <v>1859</v>
      </c>
      <c r="R210" s="66">
        <v>2</v>
      </c>
      <c r="S210" s="66" t="s">
        <v>770</v>
      </c>
      <c r="T210" s="74" t="s">
        <v>771</v>
      </c>
      <c r="U210" s="307">
        <f t="shared" si="19"/>
        <v>1</v>
      </c>
      <c r="V210" s="161"/>
    </row>
    <row r="211" spans="3:22">
      <c r="C211" s="366">
        <v>210</v>
      </c>
      <c r="D211" s="309" t="s">
        <v>523</v>
      </c>
      <c r="E211" s="139" t="s">
        <v>524</v>
      </c>
      <c r="F211" s="66">
        <v>1</v>
      </c>
      <c r="G211" s="66" t="s">
        <v>773</v>
      </c>
      <c r="H211" s="74" t="s">
        <v>771</v>
      </c>
      <c r="I211" s="307">
        <f t="shared" si="15"/>
        <v>0</v>
      </c>
      <c r="K211" s="66">
        <f t="shared" si="16"/>
        <v>0</v>
      </c>
      <c r="L211" s="66">
        <f t="shared" si="17"/>
        <v>0</v>
      </c>
      <c r="M211" s="66"/>
      <c r="N211" s="315">
        <f t="shared" si="18"/>
        <v>0</v>
      </c>
      <c r="P211" s="292" t="s">
        <v>523</v>
      </c>
      <c r="Q211" s="139" t="s">
        <v>1902</v>
      </c>
      <c r="R211" s="66">
        <v>1</v>
      </c>
      <c r="S211" s="66" t="s">
        <v>773</v>
      </c>
      <c r="T211" s="74" t="s">
        <v>771</v>
      </c>
      <c r="U211" s="307">
        <f t="shared" si="19"/>
        <v>0</v>
      </c>
      <c r="V211" s="161"/>
    </row>
    <row r="212" spans="3:22">
      <c r="C212" s="366">
        <v>211</v>
      </c>
      <c r="D212" s="318" t="s">
        <v>1709</v>
      </c>
      <c r="E212" s="73" t="s">
        <v>1690</v>
      </c>
      <c r="F212" s="66">
        <v>2</v>
      </c>
      <c r="G212" s="66" t="s">
        <v>773</v>
      </c>
      <c r="H212" s="74" t="s">
        <v>771</v>
      </c>
      <c r="I212" s="307">
        <f t="shared" si="15"/>
        <v>0</v>
      </c>
      <c r="K212" s="66">
        <f t="shared" si="16"/>
        <v>0</v>
      </c>
      <c r="L212" s="66">
        <f t="shared" si="17"/>
        <v>0</v>
      </c>
      <c r="M212" s="66"/>
      <c r="N212" s="315">
        <f t="shared" si="18"/>
        <v>0</v>
      </c>
      <c r="P212" s="285" t="s">
        <v>1709</v>
      </c>
      <c r="Q212" s="73" t="s">
        <v>2017</v>
      </c>
      <c r="R212" s="66">
        <v>2</v>
      </c>
      <c r="S212" s="66" t="s">
        <v>773</v>
      </c>
      <c r="T212" s="74" t="s">
        <v>771</v>
      </c>
      <c r="U212" s="307">
        <f t="shared" si="19"/>
        <v>0</v>
      </c>
      <c r="V212" s="161"/>
    </row>
    <row r="213" spans="3:22">
      <c r="C213" s="366">
        <v>212</v>
      </c>
      <c r="D213" s="309" t="s">
        <v>466</v>
      </c>
      <c r="E213" s="139" t="s">
        <v>467</v>
      </c>
      <c r="F213" s="66">
        <v>2</v>
      </c>
      <c r="G213" s="66" t="s">
        <v>770</v>
      </c>
      <c r="H213" s="74" t="s">
        <v>772</v>
      </c>
      <c r="I213" s="307">
        <f t="shared" si="15"/>
        <v>1</v>
      </c>
      <c r="K213" s="66">
        <f t="shared" si="16"/>
        <v>0</v>
      </c>
      <c r="L213" s="66">
        <f t="shared" si="17"/>
        <v>0</v>
      </c>
      <c r="M213" s="66"/>
      <c r="N213" s="315">
        <f t="shared" si="18"/>
        <v>0</v>
      </c>
      <c r="P213" s="292" t="s">
        <v>466</v>
      </c>
      <c r="Q213" s="139" t="s">
        <v>1875</v>
      </c>
      <c r="R213" s="66">
        <v>2</v>
      </c>
      <c r="S213" s="66" t="s">
        <v>770</v>
      </c>
      <c r="T213" s="74" t="s">
        <v>772</v>
      </c>
      <c r="U213" s="307">
        <f t="shared" si="19"/>
        <v>1</v>
      </c>
      <c r="V213" s="161"/>
    </row>
    <row r="214" spans="3:22">
      <c r="C214" s="366">
        <v>213</v>
      </c>
      <c r="D214" s="309" t="s">
        <v>275</v>
      </c>
      <c r="E214" s="139" t="s">
        <v>276</v>
      </c>
      <c r="F214" s="66">
        <v>2</v>
      </c>
      <c r="G214" s="66" t="s">
        <v>773</v>
      </c>
      <c r="H214" s="74" t="s">
        <v>771</v>
      </c>
      <c r="I214" s="307">
        <f t="shared" si="15"/>
        <v>0</v>
      </c>
      <c r="K214" s="66">
        <f t="shared" si="16"/>
        <v>0</v>
      </c>
      <c r="L214" s="66">
        <f t="shared" si="17"/>
        <v>0</v>
      </c>
      <c r="M214" s="66"/>
      <c r="N214" s="315">
        <f t="shared" si="18"/>
        <v>0</v>
      </c>
      <c r="P214" s="292" t="s">
        <v>275</v>
      </c>
      <c r="Q214" s="139" t="s">
        <v>1776</v>
      </c>
      <c r="R214" s="66">
        <v>2</v>
      </c>
      <c r="S214" s="66" t="s">
        <v>773</v>
      </c>
      <c r="T214" s="74" t="s">
        <v>771</v>
      </c>
      <c r="U214" s="307">
        <f t="shared" si="19"/>
        <v>0</v>
      </c>
      <c r="V214" s="161"/>
    </row>
    <row r="215" spans="3:22">
      <c r="C215" s="366">
        <v>214</v>
      </c>
      <c r="D215" s="309" t="s">
        <v>203</v>
      </c>
      <c r="E215" s="139" t="s">
        <v>204</v>
      </c>
      <c r="F215" s="66">
        <v>1</v>
      </c>
      <c r="G215" s="66" t="s">
        <v>773</v>
      </c>
      <c r="H215" s="74" t="s">
        <v>771</v>
      </c>
      <c r="I215" s="307">
        <f t="shared" si="15"/>
        <v>0</v>
      </c>
      <c r="K215" s="66">
        <f t="shared" si="16"/>
        <v>0</v>
      </c>
      <c r="L215" s="66">
        <f t="shared" si="17"/>
        <v>0</v>
      </c>
      <c r="M215" s="66"/>
      <c r="N215" s="315">
        <f t="shared" si="18"/>
        <v>0</v>
      </c>
      <c r="P215" s="292" t="s">
        <v>203</v>
      </c>
      <c r="Q215" s="139" t="s">
        <v>1738</v>
      </c>
      <c r="R215" s="66">
        <v>1</v>
      </c>
      <c r="S215" s="66" t="s">
        <v>773</v>
      </c>
      <c r="T215" s="74" t="s">
        <v>771</v>
      </c>
      <c r="U215" s="307">
        <f t="shared" si="19"/>
        <v>0</v>
      </c>
      <c r="V215" s="161"/>
    </row>
    <row r="216" spans="3:22">
      <c r="C216" s="366">
        <v>215</v>
      </c>
      <c r="D216" s="309" t="s">
        <v>336</v>
      </c>
      <c r="E216" s="139" t="s">
        <v>337</v>
      </c>
      <c r="F216" s="66">
        <v>2</v>
      </c>
      <c r="G216" s="66" t="s">
        <v>773</v>
      </c>
      <c r="H216" s="74" t="s">
        <v>771</v>
      </c>
      <c r="I216" s="307">
        <f t="shared" si="15"/>
        <v>0</v>
      </c>
      <c r="K216" s="66">
        <f t="shared" si="16"/>
        <v>0</v>
      </c>
      <c r="L216" s="66">
        <f t="shared" si="17"/>
        <v>0</v>
      </c>
      <c r="M216" s="66"/>
      <c r="N216" s="315">
        <f t="shared" si="18"/>
        <v>0</v>
      </c>
      <c r="P216" s="292" t="s">
        <v>336</v>
      </c>
      <c r="Q216" s="139" t="s">
        <v>1807</v>
      </c>
      <c r="R216" s="66">
        <v>2</v>
      </c>
      <c r="S216" s="66" t="s">
        <v>773</v>
      </c>
      <c r="T216" s="74" t="s">
        <v>771</v>
      </c>
      <c r="U216" s="307">
        <f t="shared" si="19"/>
        <v>0</v>
      </c>
      <c r="V216" s="161"/>
    </row>
    <row r="217" spans="3:22">
      <c r="C217" s="366">
        <v>216</v>
      </c>
      <c r="D217" s="309" t="s">
        <v>669</v>
      </c>
      <c r="E217" s="139" t="s">
        <v>670</v>
      </c>
      <c r="F217" s="66">
        <v>2</v>
      </c>
      <c r="G217" s="66" t="s">
        <v>770</v>
      </c>
      <c r="H217" s="74" t="s">
        <v>771</v>
      </c>
      <c r="I217" s="307">
        <f t="shared" si="15"/>
        <v>1</v>
      </c>
      <c r="K217" s="66">
        <f t="shared" si="16"/>
        <v>0</v>
      </c>
      <c r="L217" s="66">
        <f t="shared" si="17"/>
        <v>0</v>
      </c>
      <c r="M217" s="66"/>
      <c r="N217" s="315">
        <f t="shared" si="18"/>
        <v>0</v>
      </c>
      <c r="P217" s="292" t="s">
        <v>669</v>
      </c>
      <c r="Q217" s="139" t="s">
        <v>1979</v>
      </c>
      <c r="R217" s="66">
        <v>2</v>
      </c>
      <c r="S217" s="66" t="s">
        <v>770</v>
      </c>
      <c r="T217" s="74" t="s">
        <v>771</v>
      </c>
      <c r="U217" s="307">
        <f t="shared" si="19"/>
        <v>1</v>
      </c>
      <c r="V217" s="161"/>
    </row>
    <row r="218" spans="3:22">
      <c r="C218" s="366">
        <v>217</v>
      </c>
      <c r="D218" s="319" t="s">
        <v>1398</v>
      </c>
      <c r="E218" s="113" t="s">
        <v>1397</v>
      </c>
      <c r="F218" s="66">
        <v>2</v>
      </c>
      <c r="G218" s="66" t="s">
        <v>773</v>
      </c>
      <c r="H218" s="74" t="s">
        <v>771</v>
      </c>
      <c r="I218" s="307">
        <f t="shared" si="15"/>
        <v>0</v>
      </c>
      <c r="K218" s="66">
        <f t="shared" si="16"/>
        <v>0</v>
      </c>
      <c r="L218" s="66">
        <f t="shared" si="17"/>
        <v>0</v>
      </c>
      <c r="M218" s="66"/>
      <c r="N218" s="315">
        <f t="shared" si="18"/>
        <v>0</v>
      </c>
      <c r="P218" s="304" t="s">
        <v>1398</v>
      </c>
      <c r="Q218" s="113" t="s">
        <v>2580</v>
      </c>
      <c r="R218" s="66">
        <v>2</v>
      </c>
      <c r="S218" s="66" t="s">
        <v>773</v>
      </c>
      <c r="T218" s="74" t="s">
        <v>771</v>
      </c>
      <c r="U218" s="307">
        <f t="shared" si="19"/>
        <v>0</v>
      </c>
      <c r="V218" s="161"/>
    </row>
    <row r="219" spans="3:22">
      <c r="C219" s="366">
        <v>218</v>
      </c>
      <c r="D219" s="309" t="s">
        <v>185</v>
      </c>
      <c r="E219" s="139" t="s">
        <v>186</v>
      </c>
      <c r="F219" s="66">
        <v>1</v>
      </c>
      <c r="G219" s="66" t="s">
        <v>773</v>
      </c>
      <c r="H219" s="74" t="s">
        <v>771</v>
      </c>
      <c r="I219" s="307">
        <f t="shared" si="15"/>
        <v>0</v>
      </c>
      <c r="K219" s="66">
        <f t="shared" si="16"/>
        <v>0</v>
      </c>
      <c r="L219" s="66">
        <f t="shared" si="17"/>
        <v>0</v>
      </c>
      <c r="M219" s="66"/>
      <c r="N219" s="315">
        <f t="shared" si="18"/>
        <v>0</v>
      </c>
      <c r="P219" s="292" t="s">
        <v>185</v>
      </c>
      <c r="Q219" s="139" t="s">
        <v>1729</v>
      </c>
      <c r="R219" s="66">
        <v>1</v>
      </c>
      <c r="S219" s="66" t="s">
        <v>773</v>
      </c>
      <c r="T219" s="74" t="s">
        <v>771</v>
      </c>
      <c r="U219" s="307">
        <f t="shared" si="19"/>
        <v>0</v>
      </c>
      <c r="V219" s="161"/>
    </row>
    <row r="220" spans="3:22">
      <c r="C220" s="366">
        <v>219</v>
      </c>
      <c r="D220" s="309" t="s">
        <v>691</v>
      </c>
      <c r="E220" s="139" t="s">
        <v>692</v>
      </c>
      <c r="F220" s="66">
        <v>1</v>
      </c>
      <c r="G220" s="66" t="s">
        <v>773</v>
      </c>
      <c r="H220" s="74" t="s">
        <v>771</v>
      </c>
      <c r="I220" s="307">
        <f t="shared" si="15"/>
        <v>0</v>
      </c>
      <c r="K220" s="66">
        <f t="shared" si="16"/>
        <v>0</v>
      </c>
      <c r="L220" s="66">
        <f t="shared" si="17"/>
        <v>0</v>
      </c>
      <c r="M220" s="66"/>
      <c r="N220" s="315">
        <f t="shared" si="18"/>
        <v>0</v>
      </c>
      <c r="P220" s="292" t="s">
        <v>691</v>
      </c>
      <c r="Q220" s="139" t="s">
        <v>1991</v>
      </c>
      <c r="R220" s="66">
        <v>1</v>
      </c>
      <c r="S220" s="66" t="s">
        <v>773</v>
      </c>
      <c r="T220" s="74" t="s">
        <v>771</v>
      </c>
      <c r="U220" s="307">
        <f t="shared" si="19"/>
        <v>0</v>
      </c>
      <c r="V220" s="161"/>
    </row>
    <row r="221" spans="3:22">
      <c r="C221" s="366">
        <v>220</v>
      </c>
      <c r="D221" s="309" t="s">
        <v>507</v>
      </c>
      <c r="E221" s="139" t="s">
        <v>508</v>
      </c>
      <c r="F221" s="66">
        <v>1</v>
      </c>
      <c r="G221" s="66" t="s">
        <v>773</v>
      </c>
      <c r="H221" s="74" t="s">
        <v>771</v>
      </c>
      <c r="I221" s="307">
        <f t="shared" si="15"/>
        <v>0</v>
      </c>
      <c r="K221" s="66">
        <f t="shared" si="16"/>
        <v>0</v>
      </c>
      <c r="L221" s="66">
        <f t="shared" si="17"/>
        <v>0</v>
      </c>
      <c r="M221" s="66"/>
      <c r="N221" s="315">
        <f t="shared" si="18"/>
        <v>0</v>
      </c>
      <c r="P221" s="292" t="s">
        <v>507</v>
      </c>
      <c r="Q221" s="139" t="s">
        <v>1895</v>
      </c>
      <c r="R221" s="66">
        <v>1</v>
      </c>
      <c r="S221" s="66" t="s">
        <v>773</v>
      </c>
      <c r="T221" s="74" t="s">
        <v>771</v>
      </c>
      <c r="U221" s="307">
        <f t="shared" si="19"/>
        <v>0</v>
      </c>
      <c r="V221" s="161"/>
    </row>
    <row r="222" spans="3:22">
      <c r="C222" s="366">
        <v>221</v>
      </c>
      <c r="D222" s="309" t="s">
        <v>328</v>
      </c>
      <c r="E222" s="139" t="s">
        <v>329</v>
      </c>
      <c r="F222" s="66">
        <v>2</v>
      </c>
      <c r="G222" s="66" t="s">
        <v>770</v>
      </c>
      <c r="H222" s="74" t="s">
        <v>772</v>
      </c>
      <c r="I222" s="307">
        <f t="shared" si="15"/>
        <v>1</v>
      </c>
      <c r="K222" s="66">
        <f t="shared" si="16"/>
        <v>0</v>
      </c>
      <c r="L222" s="66">
        <f t="shared" si="17"/>
        <v>0</v>
      </c>
      <c r="M222" s="66"/>
      <c r="N222" s="315">
        <f t="shared" si="18"/>
        <v>0</v>
      </c>
      <c r="P222" s="292" t="s">
        <v>328</v>
      </c>
      <c r="Q222" s="139" t="s">
        <v>1803</v>
      </c>
      <c r="R222" s="66">
        <v>2</v>
      </c>
      <c r="S222" s="66" t="s">
        <v>770</v>
      </c>
      <c r="T222" s="74" t="s">
        <v>772</v>
      </c>
      <c r="U222" s="307">
        <f t="shared" si="19"/>
        <v>1</v>
      </c>
      <c r="V222" s="161"/>
    </row>
    <row r="223" spans="3:22">
      <c r="C223" s="366">
        <v>222</v>
      </c>
      <c r="D223" s="309" t="s">
        <v>332</v>
      </c>
      <c r="E223" s="139" t="s">
        <v>333</v>
      </c>
      <c r="F223" s="66">
        <v>2</v>
      </c>
      <c r="G223" s="66" t="s">
        <v>773</v>
      </c>
      <c r="H223" s="74" t="s">
        <v>771</v>
      </c>
      <c r="I223" s="307">
        <f t="shared" si="15"/>
        <v>0</v>
      </c>
      <c r="K223" s="66">
        <f t="shared" si="16"/>
        <v>0</v>
      </c>
      <c r="L223" s="66">
        <f t="shared" si="17"/>
        <v>0</v>
      </c>
      <c r="M223" s="66"/>
      <c r="N223" s="315">
        <f t="shared" si="18"/>
        <v>0</v>
      </c>
      <c r="P223" s="292" t="s">
        <v>332</v>
      </c>
      <c r="Q223" s="139" t="s">
        <v>1805</v>
      </c>
      <c r="R223" s="66">
        <v>2</v>
      </c>
      <c r="S223" s="66" t="s">
        <v>773</v>
      </c>
      <c r="T223" s="74" t="s">
        <v>771</v>
      </c>
      <c r="U223" s="307">
        <f t="shared" si="19"/>
        <v>0</v>
      </c>
      <c r="V223" s="161"/>
    </row>
    <row r="224" spans="3:22">
      <c r="C224" s="366">
        <v>223</v>
      </c>
      <c r="D224" s="320" t="s">
        <v>1520</v>
      </c>
      <c r="E224" t="s">
        <v>1522</v>
      </c>
      <c r="F224" s="66">
        <v>2</v>
      </c>
      <c r="G224" s="66" t="s">
        <v>773</v>
      </c>
      <c r="H224" s="74" t="s">
        <v>771</v>
      </c>
      <c r="I224" s="307">
        <f t="shared" si="15"/>
        <v>0</v>
      </c>
      <c r="K224" s="66">
        <f t="shared" si="16"/>
        <v>0</v>
      </c>
      <c r="L224" s="66">
        <f t="shared" si="17"/>
        <v>0</v>
      </c>
      <c r="M224" s="66"/>
      <c r="N224" s="315">
        <f t="shared" si="18"/>
        <v>0</v>
      </c>
      <c r="P224" s="305" t="s">
        <v>1520</v>
      </c>
      <c r="Q224" t="s">
        <v>1743</v>
      </c>
      <c r="R224" s="66">
        <v>2</v>
      </c>
      <c r="S224" s="66" t="s">
        <v>773</v>
      </c>
      <c r="T224" s="74" t="s">
        <v>771</v>
      </c>
      <c r="U224" s="307">
        <f t="shared" si="19"/>
        <v>0</v>
      </c>
      <c r="V224" s="161"/>
    </row>
    <row r="225" spans="3:22">
      <c r="C225" s="366">
        <v>224</v>
      </c>
      <c r="D225" s="309" t="s">
        <v>211</v>
      </c>
      <c r="E225" s="139" t="s">
        <v>212</v>
      </c>
      <c r="F225" s="66">
        <v>1</v>
      </c>
      <c r="G225" s="66" t="s">
        <v>773</v>
      </c>
      <c r="H225" s="74" t="s">
        <v>771</v>
      </c>
      <c r="I225" s="307">
        <f t="shared" si="15"/>
        <v>0</v>
      </c>
      <c r="K225" s="66">
        <f t="shared" si="16"/>
        <v>0</v>
      </c>
      <c r="L225" s="66">
        <f t="shared" si="17"/>
        <v>0</v>
      </c>
      <c r="M225" s="66"/>
      <c r="N225" s="315">
        <f t="shared" si="18"/>
        <v>0</v>
      </c>
      <c r="P225" s="292" t="s">
        <v>211</v>
      </c>
      <c r="Q225" s="139" t="s">
        <v>1742</v>
      </c>
      <c r="R225" s="66">
        <v>1</v>
      </c>
      <c r="S225" s="66" t="s">
        <v>773</v>
      </c>
      <c r="T225" s="74" t="s">
        <v>771</v>
      </c>
      <c r="U225" s="307">
        <f t="shared" si="19"/>
        <v>0</v>
      </c>
      <c r="V225" s="161"/>
    </row>
    <row r="226" spans="3:22">
      <c r="C226" s="366">
        <v>225</v>
      </c>
      <c r="D226" s="309" t="s">
        <v>311</v>
      </c>
      <c r="E226" s="139" t="s">
        <v>1644</v>
      </c>
      <c r="F226" s="66">
        <v>2</v>
      </c>
      <c r="G226" s="66" t="s">
        <v>773</v>
      </c>
      <c r="H226" s="74" t="s">
        <v>771</v>
      </c>
      <c r="I226" s="307">
        <f t="shared" si="15"/>
        <v>0</v>
      </c>
      <c r="K226" s="66">
        <f t="shared" si="16"/>
        <v>0</v>
      </c>
      <c r="L226" s="66">
        <f t="shared" si="17"/>
        <v>0</v>
      </c>
      <c r="M226" s="66"/>
      <c r="N226" s="315">
        <f t="shared" si="18"/>
        <v>0</v>
      </c>
      <c r="P226" s="292" t="s">
        <v>311</v>
      </c>
      <c r="Q226" s="139" t="s">
        <v>1794</v>
      </c>
      <c r="R226" s="66">
        <v>2</v>
      </c>
      <c r="S226" s="66" t="s">
        <v>773</v>
      </c>
      <c r="T226" s="74" t="s">
        <v>771</v>
      </c>
      <c r="U226" s="307">
        <f t="shared" si="19"/>
        <v>0</v>
      </c>
      <c r="V226" s="161"/>
    </row>
    <row r="227" spans="3:22">
      <c r="C227" s="366">
        <v>226</v>
      </c>
      <c r="D227" s="309" t="s">
        <v>279</v>
      </c>
      <c r="E227" s="139" t="s">
        <v>280</v>
      </c>
      <c r="F227" s="66">
        <v>1</v>
      </c>
      <c r="G227" s="66" t="s">
        <v>773</v>
      </c>
      <c r="H227" s="74" t="s">
        <v>771</v>
      </c>
      <c r="I227" s="307">
        <f t="shared" si="15"/>
        <v>0</v>
      </c>
      <c r="K227" s="66">
        <f t="shared" si="16"/>
        <v>0</v>
      </c>
      <c r="L227" s="66">
        <f t="shared" si="17"/>
        <v>0</v>
      </c>
      <c r="M227" s="66"/>
      <c r="N227" s="315">
        <f t="shared" si="18"/>
        <v>0</v>
      </c>
      <c r="P227" s="292" t="s">
        <v>279</v>
      </c>
      <c r="Q227" s="139" t="s">
        <v>1778</v>
      </c>
      <c r="R227" s="66">
        <v>1</v>
      </c>
      <c r="S227" s="66" t="s">
        <v>773</v>
      </c>
      <c r="T227" s="74" t="s">
        <v>771</v>
      </c>
      <c r="U227" s="307">
        <f t="shared" si="19"/>
        <v>0</v>
      </c>
      <c r="V227" s="161"/>
    </row>
    <row r="228" spans="3:22">
      <c r="C228" s="366">
        <v>227</v>
      </c>
      <c r="D228" s="309" t="s">
        <v>648</v>
      </c>
      <c r="E228" s="139" t="s">
        <v>649</v>
      </c>
      <c r="F228" s="66">
        <v>2</v>
      </c>
      <c r="G228" s="66" t="s">
        <v>773</v>
      </c>
      <c r="H228" s="74" t="s">
        <v>771</v>
      </c>
      <c r="I228" s="307">
        <f t="shared" si="15"/>
        <v>0</v>
      </c>
      <c r="K228" s="66">
        <f t="shared" si="16"/>
        <v>0</v>
      </c>
      <c r="L228" s="66">
        <f t="shared" si="17"/>
        <v>0</v>
      </c>
      <c r="M228" s="66"/>
      <c r="N228" s="315">
        <f t="shared" si="18"/>
        <v>0</v>
      </c>
      <c r="P228" s="292" t="s">
        <v>648</v>
      </c>
      <c r="Q228" s="139" t="s">
        <v>1967</v>
      </c>
      <c r="R228" s="66">
        <v>2</v>
      </c>
      <c r="S228" s="66" t="s">
        <v>773</v>
      </c>
      <c r="T228" s="74" t="s">
        <v>771</v>
      </c>
      <c r="U228" s="307">
        <f t="shared" si="19"/>
        <v>0</v>
      </c>
      <c r="V228" s="161"/>
    </row>
    <row r="229" spans="3:22">
      <c r="C229" s="366">
        <v>228</v>
      </c>
      <c r="D229" s="319" t="s">
        <v>1410</v>
      </c>
      <c r="E229" s="113" t="s">
        <v>1517</v>
      </c>
      <c r="F229" s="66">
        <v>2</v>
      </c>
      <c r="G229" s="66" t="s">
        <v>773</v>
      </c>
      <c r="H229" s="74" t="s">
        <v>771</v>
      </c>
      <c r="I229" s="307">
        <f t="shared" si="15"/>
        <v>0</v>
      </c>
      <c r="K229" s="66">
        <f t="shared" si="16"/>
        <v>0</v>
      </c>
      <c r="L229" s="66">
        <f t="shared" si="17"/>
        <v>0</v>
      </c>
      <c r="M229" s="66"/>
      <c r="N229" s="315">
        <f t="shared" si="18"/>
        <v>0</v>
      </c>
      <c r="P229" s="304" t="s">
        <v>1410</v>
      </c>
      <c r="Q229" s="113" t="s">
        <v>2019</v>
      </c>
      <c r="R229" s="66">
        <v>2</v>
      </c>
      <c r="S229" s="66" t="s">
        <v>773</v>
      </c>
      <c r="T229" s="74" t="s">
        <v>771</v>
      </c>
      <c r="U229" s="307">
        <f t="shared" si="19"/>
        <v>0</v>
      </c>
      <c r="V229" s="161"/>
    </row>
    <row r="230" spans="3:22">
      <c r="C230" s="366">
        <v>229</v>
      </c>
      <c r="D230" s="319" t="s">
        <v>1516</v>
      </c>
      <c r="E230" s="73" t="s">
        <v>1639</v>
      </c>
      <c r="F230" s="66">
        <v>2</v>
      </c>
      <c r="G230" s="66" t="s">
        <v>773</v>
      </c>
      <c r="H230" s="74" t="s">
        <v>771</v>
      </c>
      <c r="I230" s="307">
        <f t="shared" si="15"/>
        <v>0</v>
      </c>
      <c r="K230" s="66">
        <f t="shared" si="16"/>
        <v>0</v>
      </c>
      <c r="L230" s="66">
        <f t="shared" si="17"/>
        <v>0</v>
      </c>
      <c r="M230" s="66"/>
      <c r="N230" s="315">
        <f t="shared" si="18"/>
        <v>0</v>
      </c>
      <c r="P230" s="304" t="s">
        <v>1516</v>
      </c>
      <c r="Q230" s="73" t="s">
        <v>2020</v>
      </c>
      <c r="R230" s="66">
        <v>2</v>
      </c>
      <c r="S230" s="66" t="s">
        <v>773</v>
      </c>
      <c r="T230" s="74" t="s">
        <v>771</v>
      </c>
      <c r="U230" s="307">
        <f t="shared" si="19"/>
        <v>0</v>
      </c>
      <c r="V230" s="161"/>
    </row>
    <row r="231" spans="3:22">
      <c r="C231" s="366">
        <v>230</v>
      </c>
      <c r="D231" s="309" t="s">
        <v>490</v>
      </c>
      <c r="E231" s="139" t="s">
        <v>491</v>
      </c>
      <c r="F231" s="66">
        <v>2</v>
      </c>
      <c r="G231" s="66" t="s">
        <v>773</v>
      </c>
      <c r="H231" s="74" t="s">
        <v>771</v>
      </c>
      <c r="I231" s="307">
        <f t="shared" si="15"/>
        <v>0</v>
      </c>
      <c r="K231" s="66">
        <f t="shared" si="16"/>
        <v>0</v>
      </c>
      <c r="L231" s="66">
        <f t="shared" si="17"/>
        <v>0</v>
      </c>
      <c r="M231" s="66"/>
      <c r="N231" s="315">
        <f t="shared" si="18"/>
        <v>0</v>
      </c>
      <c r="P231" s="292" t="s">
        <v>490</v>
      </c>
      <c r="Q231" s="139" t="s">
        <v>1886</v>
      </c>
      <c r="R231" s="66">
        <v>2</v>
      </c>
      <c r="S231" s="66" t="s">
        <v>773</v>
      </c>
      <c r="T231" s="74" t="s">
        <v>771</v>
      </c>
      <c r="U231" s="307">
        <f t="shared" si="19"/>
        <v>0</v>
      </c>
      <c r="V231" s="161"/>
    </row>
    <row r="232" spans="3:22">
      <c r="C232" s="366">
        <v>231</v>
      </c>
      <c r="D232" s="309" t="s">
        <v>444</v>
      </c>
      <c r="E232" s="139" t="s">
        <v>445</v>
      </c>
      <c r="F232" s="66">
        <v>2</v>
      </c>
      <c r="G232" s="66" t="s">
        <v>770</v>
      </c>
      <c r="H232" s="74" t="s">
        <v>771</v>
      </c>
      <c r="I232" s="307">
        <f t="shared" si="15"/>
        <v>1</v>
      </c>
      <c r="K232" s="66">
        <f t="shared" si="16"/>
        <v>0</v>
      </c>
      <c r="L232" s="66">
        <f t="shared" si="17"/>
        <v>0</v>
      </c>
      <c r="M232" s="66"/>
      <c r="N232" s="315">
        <f t="shared" si="18"/>
        <v>0</v>
      </c>
      <c r="P232" s="292" t="s">
        <v>444</v>
      </c>
      <c r="Q232" s="139" t="s">
        <v>1864</v>
      </c>
      <c r="R232" s="66">
        <v>2</v>
      </c>
      <c r="S232" s="66" t="s">
        <v>770</v>
      </c>
      <c r="T232" s="74" t="s">
        <v>771</v>
      </c>
      <c r="U232" s="307">
        <f t="shared" si="19"/>
        <v>1</v>
      </c>
      <c r="V232" s="161"/>
    </row>
    <row r="233" spans="3:22">
      <c r="C233" s="366">
        <v>232</v>
      </c>
      <c r="D233" s="309" t="s">
        <v>350</v>
      </c>
      <c r="E233" s="139" t="s">
        <v>351</v>
      </c>
      <c r="F233" s="66">
        <v>1</v>
      </c>
      <c r="G233" s="66" t="s">
        <v>773</v>
      </c>
      <c r="H233" s="74" t="s">
        <v>771</v>
      </c>
      <c r="I233" s="307">
        <f t="shared" si="15"/>
        <v>0</v>
      </c>
      <c r="K233" s="66">
        <f t="shared" si="16"/>
        <v>0</v>
      </c>
      <c r="L233" s="66">
        <f t="shared" si="17"/>
        <v>0</v>
      </c>
      <c r="M233" s="66"/>
      <c r="N233" s="315">
        <f t="shared" si="18"/>
        <v>0</v>
      </c>
      <c r="P233" s="292" t="s">
        <v>350</v>
      </c>
      <c r="Q233" s="139" t="s">
        <v>1814</v>
      </c>
      <c r="R233" s="66">
        <v>1</v>
      </c>
      <c r="S233" s="66" t="s">
        <v>773</v>
      </c>
      <c r="T233" s="74" t="s">
        <v>771</v>
      </c>
      <c r="U233" s="307">
        <f t="shared" si="19"/>
        <v>0</v>
      </c>
      <c r="V233" s="161"/>
    </row>
    <row r="234" spans="3:22">
      <c r="C234" s="366">
        <v>233</v>
      </c>
      <c r="D234" s="309" t="s">
        <v>265</v>
      </c>
      <c r="E234" s="139" t="s">
        <v>266</v>
      </c>
      <c r="F234" s="66">
        <v>2</v>
      </c>
      <c r="G234" s="66" t="s">
        <v>770</v>
      </c>
      <c r="H234" s="74" t="s">
        <v>771</v>
      </c>
      <c r="I234" s="307">
        <f t="shared" si="15"/>
        <v>1</v>
      </c>
      <c r="K234" s="66">
        <f t="shared" si="16"/>
        <v>0</v>
      </c>
      <c r="L234" s="66">
        <f t="shared" si="17"/>
        <v>0</v>
      </c>
      <c r="M234" s="66"/>
      <c r="N234" s="315">
        <f t="shared" si="18"/>
        <v>0</v>
      </c>
      <c r="P234" s="292" t="s">
        <v>265</v>
      </c>
      <c r="Q234" s="139" t="s">
        <v>1771</v>
      </c>
      <c r="R234" s="66">
        <v>2</v>
      </c>
      <c r="S234" s="66" t="s">
        <v>770</v>
      </c>
      <c r="T234" s="74" t="s">
        <v>771</v>
      </c>
      <c r="U234" s="307">
        <f t="shared" si="19"/>
        <v>1</v>
      </c>
      <c r="V234" s="161"/>
    </row>
    <row r="235" spans="3:22">
      <c r="C235" s="366">
        <v>234</v>
      </c>
      <c r="D235" s="309" t="s">
        <v>187</v>
      </c>
      <c r="E235" s="139" t="s">
        <v>188</v>
      </c>
      <c r="F235" s="66">
        <v>1</v>
      </c>
      <c r="G235" s="66" t="s">
        <v>773</v>
      </c>
      <c r="H235" s="74" t="s">
        <v>771</v>
      </c>
      <c r="I235" s="307">
        <f t="shared" si="15"/>
        <v>0</v>
      </c>
      <c r="K235" s="66">
        <f t="shared" si="16"/>
        <v>0</v>
      </c>
      <c r="L235" s="66">
        <f t="shared" si="17"/>
        <v>0</v>
      </c>
      <c r="M235" s="66"/>
      <c r="N235" s="315">
        <f t="shared" si="18"/>
        <v>0</v>
      </c>
      <c r="P235" s="292" t="s">
        <v>187</v>
      </c>
      <c r="Q235" s="139" t="s">
        <v>1730</v>
      </c>
      <c r="R235" s="66">
        <v>1</v>
      </c>
      <c r="S235" s="66" t="s">
        <v>773</v>
      </c>
      <c r="T235" s="74" t="s">
        <v>771</v>
      </c>
      <c r="U235" s="307">
        <f t="shared" si="19"/>
        <v>0</v>
      </c>
      <c r="V235" s="161"/>
    </row>
    <row r="236" spans="3:22">
      <c r="C236" s="366">
        <v>235</v>
      </c>
      <c r="D236" s="309" t="s">
        <v>227</v>
      </c>
      <c r="E236" s="139" t="s">
        <v>228</v>
      </c>
      <c r="F236" s="66">
        <v>1</v>
      </c>
      <c r="G236" s="66" t="s">
        <v>773</v>
      </c>
      <c r="H236" s="74" t="s">
        <v>771</v>
      </c>
      <c r="I236" s="307">
        <f t="shared" si="15"/>
        <v>0</v>
      </c>
      <c r="K236" s="66">
        <f t="shared" si="16"/>
        <v>0</v>
      </c>
      <c r="L236" s="66">
        <f t="shared" si="17"/>
        <v>0</v>
      </c>
      <c r="M236" s="66"/>
      <c r="N236" s="315">
        <f t="shared" si="18"/>
        <v>0</v>
      </c>
      <c r="P236" s="292" t="s">
        <v>227</v>
      </c>
      <c r="Q236" s="139" t="s">
        <v>1752</v>
      </c>
      <c r="R236" s="66">
        <v>1</v>
      </c>
      <c r="S236" s="66" t="s">
        <v>773</v>
      </c>
      <c r="T236" s="74" t="s">
        <v>771</v>
      </c>
      <c r="U236" s="307">
        <f t="shared" si="19"/>
        <v>0</v>
      </c>
      <c r="V236" s="161"/>
    </row>
    <row r="237" spans="3:22">
      <c r="C237" s="366">
        <v>236</v>
      </c>
      <c r="D237" s="309" t="s">
        <v>171</v>
      </c>
      <c r="E237" s="139" t="s">
        <v>172</v>
      </c>
      <c r="F237" s="66">
        <v>2</v>
      </c>
      <c r="G237" s="66" t="s">
        <v>770</v>
      </c>
      <c r="H237" s="74" t="s">
        <v>771</v>
      </c>
      <c r="I237" s="307">
        <f t="shared" si="15"/>
        <v>1</v>
      </c>
      <c r="K237" s="66">
        <f t="shared" si="16"/>
        <v>0</v>
      </c>
      <c r="L237" s="66">
        <f t="shared" si="17"/>
        <v>0</v>
      </c>
      <c r="M237" s="66"/>
      <c r="N237" s="315">
        <f t="shared" si="18"/>
        <v>0</v>
      </c>
      <c r="P237" s="292" t="s">
        <v>171</v>
      </c>
      <c r="Q237" s="139" t="s">
        <v>1722</v>
      </c>
      <c r="R237" s="66">
        <v>2</v>
      </c>
      <c r="S237" s="66" t="s">
        <v>770</v>
      </c>
      <c r="T237" s="74" t="s">
        <v>771</v>
      </c>
      <c r="U237" s="307">
        <f t="shared" si="19"/>
        <v>1</v>
      </c>
      <c r="V237" s="161"/>
    </row>
    <row r="238" spans="3:22">
      <c r="C238" s="366">
        <v>237</v>
      </c>
      <c r="D238" s="309" t="s">
        <v>616</v>
      </c>
      <c r="E238" s="139" t="s">
        <v>617</v>
      </c>
      <c r="F238" s="66">
        <v>2</v>
      </c>
      <c r="G238" s="66" t="s">
        <v>773</v>
      </c>
      <c r="H238" s="74" t="s">
        <v>771</v>
      </c>
      <c r="I238" s="307">
        <f t="shared" si="15"/>
        <v>0</v>
      </c>
      <c r="K238" s="66">
        <f t="shared" si="16"/>
        <v>0</v>
      </c>
      <c r="L238" s="66">
        <f t="shared" si="17"/>
        <v>0</v>
      </c>
      <c r="M238" s="66"/>
      <c r="N238" s="315">
        <f t="shared" si="18"/>
        <v>0</v>
      </c>
      <c r="P238" s="292" t="s">
        <v>616</v>
      </c>
      <c r="Q238" s="139" t="s">
        <v>1950</v>
      </c>
      <c r="R238" s="66">
        <v>2</v>
      </c>
      <c r="S238" s="66" t="s">
        <v>773</v>
      </c>
      <c r="T238" s="74" t="s">
        <v>771</v>
      </c>
      <c r="U238" s="307">
        <f t="shared" si="19"/>
        <v>0</v>
      </c>
      <c r="V238" s="161"/>
    </row>
    <row r="239" spans="3:22">
      <c r="C239" s="366">
        <v>238</v>
      </c>
      <c r="D239" s="309" t="s">
        <v>358</v>
      </c>
      <c r="E239" s="139" t="s">
        <v>359</v>
      </c>
      <c r="F239" s="66">
        <v>1</v>
      </c>
      <c r="G239" s="66" t="s">
        <v>773</v>
      </c>
      <c r="H239" s="74" t="s">
        <v>771</v>
      </c>
      <c r="I239" s="307">
        <f t="shared" si="15"/>
        <v>0</v>
      </c>
      <c r="K239" s="66">
        <f t="shared" si="16"/>
        <v>0</v>
      </c>
      <c r="L239" s="66">
        <f t="shared" si="17"/>
        <v>0</v>
      </c>
      <c r="M239" s="66"/>
      <c r="N239" s="315">
        <f t="shared" si="18"/>
        <v>0</v>
      </c>
      <c r="P239" s="292" t="s">
        <v>358</v>
      </c>
      <c r="Q239" s="139" t="s">
        <v>1818</v>
      </c>
      <c r="R239" s="66">
        <v>1</v>
      </c>
      <c r="S239" s="66" t="s">
        <v>773</v>
      </c>
      <c r="T239" s="74" t="s">
        <v>771</v>
      </c>
      <c r="U239" s="307">
        <f t="shared" si="19"/>
        <v>0</v>
      </c>
      <c r="V239" s="161"/>
    </row>
    <row r="240" spans="3:22">
      <c r="C240" s="366">
        <v>239</v>
      </c>
      <c r="D240" s="309" t="s">
        <v>652</v>
      </c>
      <c r="E240" s="139" t="s">
        <v>653</v>
      </c>
      <c r="F240" s="66">
        <v>1</v>
      </c>
      <c r="G240" s="66" t="s">
        <v>773</v>
      </c>
      <c r="H240" s="74" t="s">
        <v>771</v>
      </c>
      <c r="I240" s="307">
        <f t="shared" si="15"/>
        <v>0</v>
      </c>
      <c r="K240" s="66">
        <f t="shared" si="16"/>
        <v>0</v>
      </c>
      <c r="L240" s="66">
        <f t="shared" si="17"/>
        <v>0</v>
      </c>
      <c r="M240" s="66"/>
      <c r="N240" s="315">
        <f t="shared" si="18"/>
        <v>0</v>
      </c>
      <c r="P240" s="292" t="s">
        <v>652</v>
      </c>
      <c r="Q240" s="139" t="s">
        <v>1969</v>
      </c>
      <c r="R240" s="66">
        <v>1</v>
      </c>
      <c r="S240" s="66" t="s">
        <v>773</v>
      </c>
      <c r="T240" s="74" t="s">
        <v>771</v>
      </c>
      <c r="U240" s="307">
        <f t="shared" si="19"/>
        <v>0</v>
      </c>
      <c r="V240" s="161"/>
    </row>
    <row r="241" spans="3:22">
      <c r="C241" s="366">
        <v>240</v>
      </c>
      <c r="D241" s="314" t="s">
        <v>2368</v>
      </c>
      <c r="E241" s="303" t="s">
        <v>2367</v>
      </c>
      <c r="F241" s="66">
        <v>2</v>
      </c>
      <c r="G241" s="66" t="s">
        <v>773</v>
      </c>
      <c r="H241" s="74" t="s">
        <v>771</v>
      </c>
      <c r="I241" s="307">
        <f t="shared" si="15"/>
        <v>0</v>
      </c>
      <c r="K241" s="66">
        <f t="shared" si="16"/>
        <v>0</v>
      </c>
      <c r="L241" s="66">
        <f t="shared" si="17"/>
        <v>0</v>
      </c>
      <c r="M241" s="66"/>
      <c r="N241" s="315">
        <f t="shared" si="18"/>
        <v>0</v>
      </c>
      <c r="P241" s="298" t="s">
        <v>2368</v>
      </c>
      <c r="Q241" s="303" t="s">
        <v>2452</v>
      </c>
      <c r="R241" s="66">
        <v>2</v>
      </c>
      <c r="S241" s="66" t="s">
        <v>773</v>
      </c>
      <c r="T241" s="74" t="s">
        <v>771</v>
      </c>
      <c r="U241" s="307">
        <f t="shared" si="19"/>
        <v>0</v>
      </c>
      <c r="V241" s="161"/>
    </row>
    <row r="242" spans="3:22">
      <c r="C242" s="366">
        <v>241</v>
      </c>
      <c r="D242" s="309" t="s">
        <v>408</v>
      </c>
      <c r="E242" s="139" t="s">
        <v>409</v>
      </c>
      <c r="F242" s="66">
        <v>2</v>
      </c>
      <c r="G242" s="66" t="s">
        <v>770</v>
      </c>
      <c r="H242" s="74" t="s">
        <v>772</v>
      </c>
      <c r="I242" s="307">
        <f t="shared" si="15"/>
        <v>1</v>
      </c>
      <c r="K242" s="66">
        <f t="shared" si="16"/>
        <v>0</v>
      </c>
      <c r="L242" s="66">
        <f t="shared" si="17"/>
        <v>0</v>
      </c>
      <c r="M242" s="66"/>
      <c r="N242" s="315">
        <f t="shared" si="18"/>
        <v>0</v>
      </c>
      <c r="P242" s="292" t="s">
        <v>408</v>
      </c>
      <c r="Q242" s="139" t="s">
        <v>1846</v>
      </c>
      <c r="R242" s="66">
        <v>2</v>
      </c>
      <c r="S242" s="66" t="s">
        <v>770</v>
      </c>
      <c r="T242" s="74" t="s">
        <v>772</v>
      </c>
      <c r="U242" s="307">
        <f t="shared" si="19"/>
        <v>1</v>
      </c>
      <c r="V242" s="161"/>
    </row>
    <row r="243" spans="3:22">
      <c r="C243" s="366">
        <v>242</v>
      </c>
      <c r="D243" s="309" t="s">
        <v>705</v>
      </c>
      <c r="E243" s="139" t="s">
        <v>706</v>
      </c>
      <c r="F243" s="66">
        <v>2</v>
      </c>
      <c r="G243" s="66" t="s">
        <v>770</v>
      </c>
      <c r="H243" s="74" t="s">
        <v>771</v>
      </c>
      <c r="I243" s="307">
        <f t="shared" si="15"/>
        <v>1</v>
      </c>
      <c r="K243" s="66">
        <f t="shared" si="16"/>
        <v>0</v>
      </c>
      <c r="L243" s="66">
        <f t="shared" si="17"/>
        <v>0</v>
      </c>
      <c r="M243" s="66"/>
      <c r="N243" s="315">
        <f t="shared" si="18"/>
        <v>0</v>
      </c>
      <c r="P243" s="292" t="s">
        <v>705</v>
      </c>
      <c r="Q243" s="139" t="s">
        <v>1998</v>
      </c>
      <c r="R243" s="66">
        <v>2</v>
      </c>
      <c r="S243" s="66" t="s">
        <v>770</v>
      </c>
      <c r="T243" s="74" t="s">
        <v>771</v>
      </c>
      <c r="U243" s="307">
        <f t="shared" si="19"/>
        <v>1</v>
      </c>
      <c r="V243" s="161"/>
    </row>
    <row r="244" spans="3:22">
      <c r="C244" s="366">
        <v>243</v>
      </c>
      <c r="D244" s="309" t="s">
        <v>287</v>
      </c>
      <c r="E244" s="139" t="s">
        <v>288</v>
      </c>
      <c r="F244" s="66">
        <v>2</v>
      </c>
      <c r="G244" s="66" t="s">
        <v>773</v>
      </c>
      <c r="H244" s="74" t="s">
        <v>771</v>
      </c>
      <c r="I244" s="307">
        <f t="shared" si="15"/>
        <v>0</v>
      </c>
      <c r="K244" s="66">
        <f t="shared" si="16"/>
        <v>0</v>
      </c>
      <c r="L244" s="66">
        <f t="shared" si="17"/>
        <v>0</v>
      </c>
      <c r="M244" s="66"/>
      <c r="N244" s="315">
        <f t="shared" si="18"/>
        <v>0</v>
      </c>
      <c r="P244" s="292" t="s">
        <v>287</v>
      </c>
      <c r="Q244" s="139" t="s">
        <v>1782</v>
      </c>
      <c r="R244" s="66">
        <v>2</v>
      </c>
      <c r="S244" s="66" t="s">
        <v>773</v>
      </c>
      <c r="T244" s="74" t="s">
        <v>771</v>
      </c>
      <c r="U244" s="307">
        <f t="shared" si="19"/>
        <v>0</v>
      </c>
      <c r="V244" s="161"/>
    </row>
    <row r="245" spans="3:22">
      <c r="C245" s="366">
        <v>244</v>
      </c>
      <c r="D245" s="309" t="s">
        <v>541</v>
      </c>
      <c r="E245" s="139" t="s">
        <v>542</v>
      </c>
      <c r="F245" s="66">
        <v>2</v>
      </c>
      <c r="G245" s="66" t="s">
        <v>773</v>
      </c>
      <c r="H245" s="74" t="s">
        <v>771</v>
      </c>
      <c r="I245" s="307">
        <f t="shared" si="15"/>
        <v>0</v>
      </c>
      <c r="K245" s="66">
        <f t="shared" si="16"/>
        <v>0</v>
      </c>
      <c r="L245" s="66">
        <f t="shared" si="17"/>
        <v>0</v>
      </c>
      <c r="M245" s="66"/>
      <c r="N245" s="315">
        <f t="shared" si="18"/>
        <v>0</v>
      </c>
      <c r="P245" s="292" t="s">
        <v>541</v>
      </c>
      <c r="Q245" s="139" t="s">
        <v>1911</v>
      </c>
      <c r="R245" s="66">
        <v>2</v>
      </c>
      <c r="S245" s="66" t="s">
        <v>773</v>
      </c>
      <c r="T245" s="74" t="s">
        <v>771</v>
      </c>
      <c r="U245" s="307">
        <f t="shared" si="19"/>
        <v>0</v>
      </c>
      <c r="V245" s="161"/>
    </row>
    <row r="246" spans="3:22">
      <c r="C246" s="366">
        <v>245</v>
      </c>
      <c r="D246" s="309" t="s">
        <v>314</v>
      </c>
      <c r="E246" s="139" t="s">
        <v>315</v>
      </c>
      <c r="F246" s="66">
        <v>2</v>
      </c>
      <c r="G246" s="66" t="s">
        <v>770</v>
      </c>
      <c r="H246" s="74" t="s">
        <v>772</v>
      </c>
      <c r="I246" s="307">
        <f t="shared" si="15"/>
        <v>1</v>
      </c>
      <c r="K246" s="66">
        <f t="shared" si="16"/>
        <v>0</v>
      </c>
      <c r="L246" s="66">
        <f t="shared" si="17"/>
        <v>0</v>
      </c>
      <c r="M246" s="66"/>
      <c r="N246" s="315">
        <f t="shared" si="18"/>
        <v>0</v>
      </c>
      <c r="P246" s="292" t="s">
        <v>314</v>
      </c>
      <c r="Q246" s="139" t="s">
        <v>1796</v>
      </c>
      <c r="R246" s="66">
        <v>2</v>
      </c>
      <c r="S246" s="66" t="s">
        <v>770</v>
      </c>
      <c r="T246" s="74" t="s">
        <v>772</v>
      </c>
      <c r="U246" s="307">
        <f t="shared" si="19"/>
        <v>1</v>
      </c>
      <c r="V246" s="161"/>
    </row>
    <row r="247" spans="3:22">
      <c r="C247" s="366">
        <v>246</v>
      </c>
      <c r="D247" s="309" t="s">
        <v>338</v>
      </c>
      <c r="E247" s="139" t="s">
        <v>339</v>
      </c>
      <c r="F247" s="66">
        <v>1</v>
      </c>
      <c r="G247" s="66" t="s">
        <v>773</v>
      </c>
      <c r="H247" s="74" t="s">
        <v>771</v>
      </c>
      <c r="I247" s="307">
        <f t="shared" si="15"/>
        <v>0</v>
      </c>
      <c r="K247" s="66">
        <f t="shared" si="16"/>
        <v>0</v>
      </c>
      <c r="L247" s="66">
        <f t="shared" si="17"/>
        <v>0</v>
      </c>
      <c r="M247" s="66"/>
      <c r="N247" s="315">
        <f t="shared" si="18"/>
        <v>0</v>
      </c>
      <c r="P247" s="292" t="s">
        <v>338</v>
      </c>
      <c r="Q247" s="139" t="s">
        <v>1808</v>
      </c>
      <c r="R247" s="66">
        <v>1</v>
      </c>
      <c r="S247" s="66" t="s">
        <v>773</v>
      </c>
      <c r="T247" s="74" t="s">
        <v>771</v>
      </c>
      <c r="U247" s="307">
        <f t="shared" si="19"/>
        <v>0</v>
      </c>
      <c r="V247" s="161"/>
    </row>
    <row r="248" spans="3:22">
      <c r="C248" s="366">
        <v>247</v>
      </c>
      <c r="D248" s="309" t="s">
        <v>546</v>
      </c>
      <c r="E248" s="139" t="s">
        <v>547</v>
      </c>
      <c r="F248" s="66">
        <v>1</v>
      </c>
      <c r="G248" s="66" t="s">
        <v>773</v>
      </c>
      <c r="H248" s="74" t="s">
        <v>771</v>
      </c>
      <c r="I248" s="307">
        <f t="shared" si="15"/>
        <v>0</v>
      </c>
      <c r="K248" s="66">
        <f t="shared" si="16"/>
        <v>0</v>
      </c>
      <c r="L248" s="66">
        <f t="shared" si="17"/>
        <v>0</v>
      </c>
      <c r="M248" s="66"/>
      <c r="N248" s="315">
        <f t="shared" si="18"/>
        <v>0</v>
      </c>
      <c r="P248" s="292" t="s">
        <v>546</v>
      </c>
      <c r="Q248" s="139" t="s">
        <v>1914</v>
      </c>
      <c r="R248" s="66">
        <v>1</v>
      </c>
      <c r="S248" s="66" t="s">
        <v>773</v>
      </c>
      <c r="T248" s="74" t="s">
        <v>771</v>
      </c>
      <c r="U248" s="307">
        <f t="shared" si="19"/>
        <v>0</v>
      </c>
      <c r="V248" s="161"/>
    </row>
    <row r="249" spans="3:22">
      <c r="C249" s="366">
        <v>248</v>
      </c>
      <c r="D249" s="309" t="s">
        <v>718</v>
      </c>
      <c r="E249" s="139" t="s">
        <v>719</v>
      </c>
      <c r="F249" s="66">
        <v>1</v>
      </c>
      <c r="G249" s="66" t="s">
        <v>773</v>
      </c>
      <c r="H249" s="74" t="s">
        <v>771</v>
      </c>
      <c r="I249" s="307">
        <f t="shared" si="15"/>
        <v>0</v>
      </c>
      <c r="K249" s="66">
        <f t="shared" si="16"/>
        <v>0</v>
      </c>
      <c r="L249" s="66">
        <f t="shared" si="17"/>
        <v>0</v>
      </c>
      <c r="M249" s="66"/>
      <c r="N249" s="315">
        <f t="shared" si="18"/>
        <v>0</v>
      </c>
      <c r="P249" s="292" t="s">
        <v>718</v>
      </c>
      <c r="Q249" s="139" t="s">
        <v>2005</v>
      </c>
      <c r="R249" s="66">
        <v>1</v>
      </c>
      <c r="S249" s="66" t="s">
        <v>773</v>
      </c>
      <c r="T249" s="74" t="s">
        <v>771</v>
      </c>
      <c r="U249" s="307">
        <f t="shared" si="19"/>
        <v>0</v>
      </c>
      <c r="V249" s="161"/>
    </row>
    <row r="250" spans="3:22">
      <c r="C250" s="366">
        <v>249</v>
      </c>
      <c r="D250" s="309" t="s">
        <v>503</v>
      </c>
      <c r="E250" s="139" t="s">
        <v>504</v>
      </c>
      <c r="F250" s="66">
        <v>2</v>
      </c>
      <c r="G250" s="66" t="s">
        <v>770</v>
      </c>
      <c r="H250" s="74" t="s">
        <v>771</v>
      </c>
      <c r="I250" s="307">
        <f t="shared" si="15"/>
        <v>1</v>
      </c>
      <c r="K250" s="66">
        <f t="shared" si="16"/>
        <v>0</v>
      </c>
      <c r="L250" s="66">
        <f t="shared" si="17"/>
        <v>0</v>
      </c>
      <c r="M250" s="66"/>
      <c r="N250" s="315">
        <f t="shared" si="18"/>
        <v>0</v>
      </c>
      <c r="P250" s="292" t="s">
        <v>503</v>
      </c>
      <c r="Q250" s="139" t="s">
        <v>1893</v>
      </c>
      <c r="R250" s="66">
        <v>2</v>
      </c>
      <c r="S250" s="66" t="s">
        <v>770</v>
      </c>
      <c r="T250" s="74" t="s">
        <v>771</v>
      </c>
      <c r="U250" s="307">
        <f t="shared" si="19"/>
        <v>1</v>
      </c>
      <c r="V250" s="161"/>
    </row>
    <row r="251" spans="3:22">
      <c r="C251" s="366">
        <v>250</v>
      </c>
      <c r="D251" s="309" t="s">
        <v>207</v>
      </c>
      <c r="E251" s="139" t="s">
        <v>208</v>
      </c>
      <c r="F251" s="66">
        <v>1</v>
      </c>
      <c r="G251" s="66" t="s">
        <v>773</v>
      </c>
      <c r="H251" s="74" t="s">
        <v>771</v>
      </c>
      <c r="I251" s="307">
        <f t="shared" si="15"/>
        <v>0</v>
      </c>
      <c r="K251" s="66">
        <f t="shared" si="16"/>
        <v>0</v>
      </c>
      <c r="L251" s="66">
        <f t="shared" si="17"/>
        <v>0</v>
      </c>
      <c r="M251" s="66"/>
      <c r="N251" s="315">
        <f t="shared" si="18"/>
        <v>0</v>
      </c>
      <c r="P251" s="292" t="s">
        <v>207</v>
      </c>
      <c r="Q251" s="139" t="s">
        <v>1740</v>
      </c>
      <c r="R251" s="66">
        <v>1</v>
      </c>
      <c r="S251" s="66" t="s">
        <v>773</v>
      </c>
      <c r="T251" s="74" t="s">
        <v>771</v>
      </c>
      <c r="U251" s="307">
        <f t="shared" si="19"/>
        <v>0</v>
      </c>
      <c r="V251" s="161"/>
    </row>
    <row r="252" spans="3:22">
      <c r="C252" s="366">
        <v>251</v>
      </c>
      <c r="D252" s="309" t="s">
        <v>535</v>
      </c>
      <c r="E252" s="139" t="s">
        <v>536</v>
      </c>
      <c r="F252" s="66">
        <v>2</v>
      </c>
      <c r="G252" s="66" t="s">
        <v>770</v>
      </c>
      <c r="H252" s="74" t="s">
        <v>772</v>
      </c>
      <c r="I252" s="307">
        <f t="shared" si="15"/>
        <v>1</v>
      </c>
      <c r="K252" s="66">
        <f t="shared" si="16"/>
        <v>0</v>
      </c>
      <c r="L252" s="66">
        <f t="shared" si="17"/>
        <v>0</v>
      </c>
      <c r="M252" s="66"/>
      <c r="N252" s="315">
        <f t="shared" si="18"/>
        <v>0</v>
      </c>
      <c r="P252" s="292" t="s">
        <v>535</v>
      </c>
      <c r="Q252" s="139" t="s">
        <v>1909</v>
      </c>
      <c r="R252" s="66">
        <v>2</v>
      </c>
      <c r="S252" s="66" t="s">
        <v>770</v>
      </c>
      <c r="T252" s="74" t="s">
        <v>772</v>
      </c>
      <c r="U252" s="307">
        <f t="shared" si="19"/>
        <v>1</v>
      </c>
      <c r="V252" s="161"/>
    </row>
    <row r="253" spans="3:22">
      <c r="C253" s="366">
        <v>252</v>
      </c>
      <c r="D253" s="309" t="s">
        <v>462</v>
      </c>
      <c r="E253" s="139" t="s">
        <v>463</v>
      </c>
      <c r="F253" s="66">
        <v>1</v>
      </c>
      <c r="G253" s="66" t="s">
        <v>773</v>
      </c>
      <c r="H253" s="74" t="s">
        <v>771</v>
      </c>
      <c r="I253" s="307">
        <f t="shared" si="15"/>
        <v>0</v>
      </c>
      <c r="K253" s="66">
        <f t="shared" si="16"/>
        <v>0</v>
      </c>
      <c r="L253" s="66">
        <f t="shared" si="17"/>
        <v>0</v>
      </c>
      <c r="M253" s="66"/>
      <c r="N253" s="315">
        <f t="shared" si="18"/>
        <v>0</v>
      </c>
      <c r="P253" s="292" t="s">
        <v>462</v>
      </c>
      <c r="Q253" s="139" t="s">
        <v>1873</v>
      </c>
      <c r="R253" s="66">
        <v>1</v>
      </c>
      <c r="S253" s="66" t="s">
        <v>773</v>
      </c>
      <c r="T253" s="74" t="s">
        <v>771</v>
      </c>
      <c r="U253" s="307">
        <f t="shared" si="19"/>
        <v>0</v>
      </c>
      <c r="V253" s="161"/>
    </row>
    <row r="254" spans="3:22">
      <c r="C254" s="366">
        <v>253</v>
      </c>
      <c r="D254" s="309" t="s">
        <v>366</v>
      </c>
      <c r="E254" s="139" t="s">
        <v>367</v>
      </c>
      <c r="F254" s="66">
        <v>1</v>
      </c>
      <c r="G254" s="66" t="s">
        <v>773</v>
      </c>
      <c r="H254" s="74" t="s">
        <v>771</v>
      </c>
      <c r="I254" s="307">
        <f t="shared" si="15"/>
        <v>0</v>
      </c>
      <c r="K254" s="66">
        <f t="shared" si="16"/>
        <v>0</v>
      </c>
      <c r="L254" s="66">
        <f t="shared" si="17"/>
        <v>0</v>
      </c>
      <c r="M254" s="66"/>
      <c r="N254" s="315">
        <f t="shared" si="18"/>
        <v>0</v>
      </c>
      <c r="P254" s="292" t="s">
        <v>366</v>
      </c>
      <c r="Q254" s="139" t="s">
        <v>1823</v>
      </c>
      <c r="R254" s="66">
        <v>1</v>
      </c>
      <c r="S254" s="66" t="s">
        <v>773</v>
      </c>
      <c r="T254" s="74" t="s">
        <v>771</v>
      </c>
      <c r="U254" s="307">
        <f t="shared" si="19"/>
        <v>0</v>
      </c>
      <c r="V254" s="161"/>
    </row>
    <row r="255" spans="3:22">
      <c r="C255" s="366">
        <v>254</v>
      </c>
      <c r="D255" s="309" t="s">
        <v>556</v>
      </c>
      <c r="E255" s="139" t="s">
        <v>557</v>
      </c>
      <c r="F255" s="66">
        <v>2</v>
      </c>
      <c r="G255" s="66" t="s">
        <v>770</v>
      </c>
      <c r="H255" s="74" t="s">
        <v>772</v>
      </c>
      <c r="I255" s="307">
        <f t="shared" si="15"/>
        <v>1</v>
      </c>
      <c r="K255" s="66">
        <f t="shared" si="16"/>
        <v>0</v>
      </c>
      <c r="L255" s="66">
        <f t="shared" si="17"/>
        <v>0</v>
      </c>
      <c r="M255" s="66"/>
      <c r="N255" s="315">
        <f t="shared" si="18"/>
        <v>0</v>
      </c>
      <c r="P255" s="292" t="s">
        <v>556</v>
      </c>
      <c r="Q255" s="139" t="s">
        <v>1919</v>
      </c>
      <c r="R255" s="66">
        <v>2</v>
      </c>
      <c r="S255" s="66" t="s">
        <v>770</v>
      </c>
      <c r="T255" s="74" t="s">
        <v>772</v>
      </c>
      <c r="U255" s="307">
        <f t="shared" si="19"/>
        <v>1</v>
      </c>
      <c r="V255" s="161"/>
    </row>
    <row r="256" spans="3:22">
      <c r="C256" s="366">
        <v>255</v>
      </c>
      <c r="D256" s="309" t="s">
        <v>352</v>
      </c>
      <c r="E256" s="139" t="s">
        <v>353</v>
      </c>
      <c r="F256" s="66">
        <v>2</v>
      </c>
      <c r="G256" s="66" t="s">
        <v>770</v>
      </c>
      <c r="H256" s="74" t="s">
        <v>771</v>
      </c>
      <c r="I256" s="307">
        <f t="shared" si="15"/>
        <v>1</v>
      </c>
      <c r="K256" s="66">
        <f t="shared" si="16"/>
        <v>0</v>
      </c>
      <c r="L256" s="66">
        <f t="shared" si="17"/>
        <v>0</v>
      </c>
      <c r="M256" s="66"/>
      <c r="N256" s="315">
        <f t="shared" si="18"/>
        <v>0</v>
      </c>
      <c r="P256" s="292" t="s">
        <v>352</v>
      </c>
      <c r="Q256" s="139" t="s">
        <v>1815</v>
      </c>
      <c r="R256" s="66">
        <v>2</v>
      </c>
      <c r="S256" s="66" t="s">
        <v>770</v>
      </c>
      <c r="T256" s="74" t="s">
        <v>771</v>
      </c>
      <c r="U256" s="307">
        <f t="shared" si="19"/>
        <v>1</v>
      </c>
      <c r="V256" s="161"/>
    </row>
    <row r="257" spans="3:22">
      <c r="C257" s="366">
        <v>256</v>
      </c>
      <c r="D257" s="309" t="s">
        <v>580</v>
      </c>
      <c r="E257" s="139" t="s">
        <v>581</v>
      </c>
      <c r="F257" s="66">
        <v>1</v>
      </c>
      <c r="G257" s="66" t="s">
        <v>773</v>
      </c>
      <c r="H257" s="74" t="s">
        <v>771</v>
      </c>
      <c r="I257" s="307">
        <f t="shared" si="15"/>
        <v>0</v>
      </c>
      <c r="K257" s="66">
        <f t="shared" si="16"/>
        <v>0</v>
      </c>
      <c r="L257" s="66">
        <f t="shared" si="17"/>
        <v>0</v>
      </c>
      <c r="M257" s="66"/>
      <c r="N257" s="315">
        <f t="shared" si="18"/>
        <v>0</v>
      </c>
      <c r="P257" s="292" t="s">
        <v>580</v>
      </c>
      <c r="Q257" s="139" t="s">
        <v>1931</v>
      </c>
      <c r="R257" s="66">
        <v>1</v>
      </c>
      <c r="S257" s="66" t="s">
        <v>773</v>
      </c>
      <c r="T257" s="74" t="s">
        <v>771</v>
      </c>
      <c r="U257" s="307">
        <f t="shared" si="19"/>
        <v>0</v>
      </c>
      <c r="V257" s="161"/>
    </row>
    <row r="258" spans="3:22">
      <c r="C258" s="366">
        <v>257</v>
      </c>
      <c r="D258" s="309" t="s">
        <v>363</v>
      </c>
      <c r="E258" s="139" t="s">
        <v>1135</v>
      </c>
      <c r="F258" s="66">
        <v>1</v>
      </c>
      <c r="G258" s="66" t="s">
        <v>773</v>
      </c>
      <c r="H258" s="74" t="s">
        <v>771</v>
      </c>
      <c r="I258" s="307">
        <f t="shared" ref="I258:I321" si="20">IF(+G258="cash",1,0)</f>
        <v>0</v>
      </c>
      <c r="K258" s="66">
        <f t="shared" ref="K258:K321" si="21">+F258-R258</f>
        <v>0</v>
      </c>
      <c r="L258" s="66">
        <f t="shared" ref="L258:L321" si="22">+I258-U258</f>
        <v>0</v>
      </c>
      <c r="M258" s="66"/>
      <c r="N258" s="315">
        <f t="shared" ref="N258:N321" si="23">+P258-D258</f>
        <v>0</v>
      </c>
      <c r="P258" s="292" t="s">
        <v>363</v>
      </c>
      <c r="Q258" s="139" t="s">
        <v>1821</v>
      </c>
      <c r="R258" s="66">
        <v>1</v>
      </c>
      <c r="S258" s="66" t="s">
        <v>773</v>
      </c>
      <c r="T258" s="74" t="s">
        <v>771</v>
      </c>
      <c r="U258" s="307">
        <f t="shared" ref="U258:U321" si="24">IF(+S258="cash",1,0)</f>
        <v>0</v>
      </c>
      <c r="V258" s="161"/>
    </row>
    <row r="259" spans="3:22">
      <c r="C259" s="366">
        <v>258</v>
      </c>
      <c r="D259" s="309" t="s">
        <v>285</v>
      </c>
      <c r="E259" s="139" t="s">
        <v>286</v>
      </c>
      <c r="F259" s="66">
        <v>2</v>
      </c>
      <c r="G259" s="66" t="s">
        <v>773</v>
      </c>
      <c r="H259" s="74" t="s">
        <v>771</v>
      </c>
      <c r="I259" s="307">
        <f t="shared" si="20"/>
        <v>0</v>
      </c>
      <c r="K259" s="66">
        <f t="shared" si="21"/>
        <v>0</v>
      </c>
      <c r="L259" s="66">
        <f t="shared" si="22"/>
        <v>0</v>
      </c>
      <c r="M259" s="66"/>
      <c r="N259" s="315">
        <f t="shared" si="23"/>
        <v>0</v>
      </c>
      <c r="P259" s="292" t="s">
        <v>285</v>
      </c>
      <c r="Q259" s="139" t="s">
        <v>1781</v>
      </c>
      <c r="R259" s="66">
        <v>2</v>
      </c>
      <c r="S259" s="66" t="s">
        <v>773</v>
      </c>
      <c r="T259" s="74" t="s">
        <v>771</v>
      </c>
      <c r="U259" s="307">
        <f t="shared" si="24"/>
        <v>0</v>
      </c>
      <c r="V259" s="161"/>
    </row>
    <row r="260" spans="3:22">
      <c r="C260" s="366">
        <v>259</v>
      </c>
      <c r="D260" s="309" t="s">
        <v>492</v>
      </c>
      <c r="E260" s="113" t="s">
        <v>493</v>
      </c>
      <c r="F260" s="66">
        <v>2</v>
      </c>
      <c r="G260" s="297" t="s">
        <v>770</v>
      </c>
      <c r="H260" s="74" t="s">
        <v>771</v>
      </c>
      <c r="I260" s="307">
        <f t="shared" si="20"/>
        <v>1</v>
      </c>
      <c r="K260" s="66">
        <f t="shared" si="21"/>
        <v>0</v>
      </c>
      <c r="L260" s="66">
        <f t="shared" si="22"/>
        <v>0</v>
      </c>
      <c r="M260" s="66"/>
      <c r="N260" s="315">
        <f t="shared" si="23"/>
        <v>0</v>
      </c>
      <c r="P260" s="292" t="s">
        <v>492</v>
      </c>
      <c r="Q260" s="113" t="s">
        <v>1887</v>
      </c>
      <c r="R260" s="66">
        <v>2</v>
      </c>
      <c r="S260" s="297" t="s">
        <v>770</v>
      </c>
      <c r="T260" s="74" t="s">
        <v>771</v>
      </c>
      <c r="U260" s="307">
        <f t="shared" si="24"/>
        <v>1</v>
      </c>
      <c r="V260" s="161"/>
    </row>
    <row r="261" spans="3:22">
      <c r="C261" s="366">
        <v>260</v>
      </c>
      <c r="D261" s="309" t="s">
        <v>382</v>
      </c>
      <c r="E261" s="113" t="s">
        <v>383</v>
      </c>
      <c r="F261" s="66">
        <v>1</v>
      </c>
      <c r="G261" s="66" t="s">
        <v>773</v>
      </c>
      <c r="H261" s="74" t="s">
        <v>771</v>
      </c>
      <c r="I261" s="307">
        <f t="shared" si="20"/>
        <v>0</v>
      </c>
      <c r="K261" s="66">
        <f t="shared" si="21"/>
        <v>0</v>
      </c>
      <c r="L261" s="66">
        <f t="shared" si="22"/>
        <v>0</v>
      </c>
      <c r="M261" s="66"/>
      <c r="N261" s="315">
        <f t="shared" si="23"/>
        <v>0</v>
      </c>
      <c r="P261" s="292" t="s">
        <v>382</v>
      </c>
      <c r="Q261" s="113" t="s">
        <v>1832</v>
      </c>
      <c r="R261" s="66">
        <v>1</v>
      </c>
      <c r="S261" s="66" t="s">
        <v>773</v>
      </c>
      <c r="T261" s="74" t="s">
        <v>771</v>
      </c>
      <c r="U261" s="307">
        <f t="shared" si="24"/>
        <v>0</v>
      </c>
      <c r="V261" s="161"/>
    </row>
    <row r="262" spans="3:22">
      <c r="C262" s="366">
        <v>261</v>
      </c>
      <c r="D262" s="309" t="s">
        <v>326</v>
      </c>
      <c r="E262" s="113" t="s">
        <v>327</v>
      </c>
      <c r="F262" s="66">
        <v>2</v>
      </c>
      <c r="G262" s="66" t="s">
        <v>773</v>
      </c>
      <c r="H262" s="74" t="s">
        <v>771</v>
      </c>
      <c r="I262" s="307">
        <f t="shared" si="20"/>
        <v>0</v>
      </c>
      <c r="K262" s="66">
        <f t="shared" si="21"/>
        <v>0</v>
      </c>
      <c r="L262" s="66">
        <f t="shared" si="22"/>
        <v>0</v>
      </c>
      <c r="M262" s="66"/>
      <c r="N262" s="315">
        <f t="shared" si="23"/>
        <v>0</v>
      </c>
      <c r="P262" s="292" t="s">
        <v>326</v>
      </c>
      <c r="Q262" s="113" t="s">
        <v>1802</v>
      </c>
      <c r="R262" s="66">
        <v>2</v>
      </c>
      <c r="S262" s="66" t="s">
        <v>773</v>
      </c>
      <c r="T262" s="74" t="s">
        <v>771</v>
      </c>
      <c r="U262" s="307">
        <f t="shared" si="24"/>
        <v>0</v>
      </c>
      <c r="V262" s="161"/>
    </row>
    <row r="263" spans="3:22">
      <c r="C263" s="366">
        <v>262</v>
      </c>
      <c r="D263" s="309" t="s">
        <v>458</v>
      </c>
      <c r="E263" s="113" t="s">
        <v>459</v>
      </c>
      <c r="F263" s="66">
        <v>2</v>
      </c>
      <c r="G263" s="66" t="s">
        <v>773</v>
      </c>
      <c r="H263" s="74" t="s">
        <v>772</v>
      </c>
      <c r="I263" s="307">
        <f t="shared" si="20"/>
        <v>0</v>
      </c>
      <c r="K263" s="66">
        <f t="shared" si="21"/>
        <v>0</v>
      </c>
      <c r="L263" s="66">
        <f t="shared" si="22"/>
        <v>0</v>
      </c>
      <c r="M263" s="66"/>
      <c r="N263" s="315">
        <f t="shared" si="23"/>
        <v>0</v>
      </c>
      <c r="P263" s="292" t="s">
        <v>458</v>
      </c>
      <c r="Q263" s="113" t="s">
        <v>1871</v>
      </c>
      <c r="R263" s="66">
        <v>2</v>
      </c>
      <c r="S263" s="66" t="s">
        <v>773</v>
      </c>
      <c r="T263" s="74" t="s">
        <v>772</v>
      </c>
      <c r="U263" s="307">
        <f t="shared" si="24"/>
        <v>0</v>
      </c>
      <c r="V263" s="161"/>
    </row>
    <row r="264" spans="3:22">
      <c r="C264" s="366">
        <v>263</v>
      </c>
      <c r="D264" s="309" t="s">
        <v>592</v>
      </c>
      <c r="E264" s="113" t="s">
        <v>593</v>
      </c>
      <c r="F264" s="66">
        <v>1</v>
      </c>
      <c r="G264" s="66" t="s">
        <v>773</v>
      </c>
      <c r="H264" s="74" t="s">
        <v>771</v>
      </c>
      <c r="I264" s="307">
        <f t="shared" si="20"/>
        <v>0</v>
      </c>
      <c r="K264" s="66">
        <f t="shared" si="21"/>
        <v>0</v>
      </c>
      <c r="L264" s="66">
        <f t="shared" si="22"/>
        <v>0</v>
      </c>
      <c r="M264" s="66"/>
      <c r="N264" s="315">
        <f t="shared" si="23"/>
        <v>0</v>
      </c>
      <c r="P264" s="292" t="s">
        <v>592</v>
      </c>
      <c r="Q264" s="113" t="s">
        <v>1937</v>
      </c>
      <c r="R264" s="66">
        <v>1</v>
      </c>
      <c r="S264" s="66" t="s">
        <v>773</v>
      </c>
      <c r="T264" s="74" t="s">
        <v>771</v>
      </c>
      <c r="U264" s="307">
        <f t="shared" si="24"/>
        <v>0</v>
      </c>
      <c r="V264" s="161"/>
    </row>
    <row r="265" spans="3:22">
      <c r="C265" s="366">
        <v>264</v>
      </c>
      <c r="D265" s="319" t="s">
        <v>1446</v>
      </c>
      <c r="E265" s="113" t="s">
        <v>1445</v>
      </c>
      <c r="F265" s="66">
        <v>2</v>
      </c>
      <c r="G265" s="66" t="s">
        <v>773</v>
      </c>
      <c r="H265" s="74" t="s">
        <v>771</v>
      </c>
      <c r="I265" s="307">
        <f t="shared" si="20"/>
        <v>0</v>
      </c>
      <c r="K265" s="66">
        <f t="shared" si="21"/>
        <v>0</v>
      </c>
      <c r="L265" s="66">
        <f t="shared" si="22"/>
        <v>0</v>
      </c>
      <c r="M265" s="66"/>
      <c r="N265" s="315">
        <f t="shared" si="23"/>
        <v>0</v>
      </c>
      <c r="P265" s="304" t="s">
        <v>1446</v>
      </c>
      <c r="Q265" s="113" t="s">
        <v>2026</v>
      </c>
      <c r="R265" s="66">
        <v>2</v>
      </c>
      <c r="S265" s="66" t="s">
        <v>773</v>
      </c>
      <c r="T265" s="74" t="s">
        <v>771</v>
      </c>
      <c r="U265" s="307">
        <f t="shared" si="24"/>
        <v>0</v>
      </c>
      <c r="V265" s="161"/>
    </row>
    <row r="266" spans="3:22">
      <c r="C266" s="366">
        <v>265</v>
      </c>
      <c r="D266" s="309" t="s">
        <v>442</v>
      </c>
      <c r="E266" s="139" t="s">
        <v>443</v>
      </c>
      <c r="F266" s="66">
        <v>2</v>
      </c>
      <c r="G266" s="540" t="s">
        <v>770</v>
      </c>
      <c r="H266" s="74" t="s">
        <v>771</v>
      </c>
      <c r="I266" s="307">
        <f t="shared" si="20"/>
        <v>1</v>
      </c>
      <c r="K266" s="66">
        <f t="shared" si="21"/>
        <v>0</v>
      </c>
      <c r="L266" s="66">
        <f t="shared" si="22"/>
        <v>0</v>
      </c>
      <c r="M266" s="66"/>
      <c r="N266" s="315">
        <f t="shared" si="23"/>
        <v>0</v>
      </c>
      <c r="P266" s="292" t="s">
        <v>442</v>
      </c>
      <c r="Q266" s="139" t="s">
        <v>1863</v>
      </c>
      <c r="R266" s="66">
        <v>2</v>
      </c>
      <c r="S266" s="66" t="s">
        <v>770</v>
      </c>
      <c r="T266" s="74" t="s">
        <v>771</v>
      </c>
      <c r="U266" s="307">
        <f t="shared" si="24"/>
        <v>1</v>
      </c>
      <c r="V266" s="161"/>
    </row>
    <row r="267" spans="3:22">
      <c r="C267" s="366">
        <v>266</v>
      </c>
      <c r="D267" s="309" t="s">
        <v>707</v>
      </c>
      <c r="E267" s="139" t="s">
        <v>708</v>
      </c>
      <c r="F267" s="66">
        <v>2</v>
      </c>
      <c r="G267" s="66" t="s">
        <v>770</v>
      </c>
      <c r="H267" s="74" t="s">
        <v>771</v>
      </c>
      <c r="I267" s="307">
        <f t="shared" si="20"/>
        <v>1</v>
      </c>
      <c r="K267" s="66">
        <f t="shared" si="21"/>
        <v>0</v>
      </c>
      <c r="L267" s="66">
        <f t="shared" si="22"/>
        <v>0</v>
      </c>
      <c r="M267" s="66"/>
      <c r="N267" s="315">
        <f t="shared" si="23"/>
        <v>0</v>
      </c>
      <c r="P267" s="292" t="s">
        <v>707</v>
      </c>
      <c r="Q267" s="139" t="s">
        <v>1999</v>
      </c>
      <c r="R267" s="66">
        <v>2</v>
      </c>
      <c r="S267" s="66" t="s">
        <v>770</v>
      </c>
      <c r="T267" s="74" t="s">
        <v>771</v>
      </c>
      <c r="U267" s="307">
        <f t="shared" si="24"/>
        <v>1</v>
      </c>
      <c r="V267" s="161"/>
    </row>
    <row r="268" spans="3:22">
      <c r="C268" s="366">
        <v>267</v>
      </c>
      <c r="D268" s="309" t="s">
        <v>590</v>
      </c>
      <c r="E268" s="139" t="s">
        <v>591</v>
      </c>
      <c r="F268" s="66">
        <v>1</v>
      </c>
      <c r="G268" s="66" t="s">
        <v>773</v>
      </c>
      <c r="H268" s="74" t="s">
        <v>771</v>
      </c>
      <c r="I268" s="307">
        <f t="shared" si="20"/>
        <v>0</v>
      </c>
      <c r="K268" s="66">
        <f t="shared" si="21"/>
        <v>0</v>
      </c>
      <c r="L268" s="66">
        <f t="shared" si="22"/>
        <v>0</v>
      </c>
      <c r="M268" s="66"/>
      <c r="N268" s="315">
        <f t="shared" si="23"/>
        <v>0</v>
      </c>
      <c r="P268" s="292" t="s">
        <v>590</v>
      </c>
      <c r="Q268" s="139" t="s">
        <v>1936</v>
      </c>
      <c r="R268" s="66">
        <v>1</v>
      </c>
      <c r="S268" s="66" t="s">
        <v>773</v>
      </c>
      <c r="T268" s="74" t="s">
        <v>771</v>
      </c>
      <c r="U268" s="307">
        <f t="shared" si="24"/>
        <v>0</v>
      </c>
      <c r="V268" s="161"/>
    </row>
    <row r="269" spans="3:22">
      <c r="C269" s="366">
        <v>268</v>
      </c>
      <c r="D269" s="309" t="s">
        <v>271</v>
      </c>
      <c r="E269" s="139" t="s">
        <v>272</v>
      </c>
      <c r="F269" s="66">
        <v>2</v>
      </c>
      <c r="G269" s="66" t="s">
        <v>770</v>
      </c>
      <c r="H269" s="74" t="s">
        <v>772</v>
      </c>
      <c r="I269" s="307">
        <f t="shared" si="20"/>
        <v>1</v>
      </c>
      <c r="K269" s="66">
        <f t="shared" si="21"/>
        <v>0</v>
      </c>
      <c r="L269" s="66">
        <f t="shared" si="22"/>
        <v>0</v>
      </c>
      <c r="M269" s="66"/>
      <c r="N269" s="315">
        <f t="shared" si="23"/>
        <v>0</v>
      </c>
      <c r="P269" s="292" t="s">
        <v>271</v>
      </c>
      <c r="Q269" s="139" t="s">
        <v>2577</v>
      </c>
      <c r="R269" s="66">
        <v>2</v>
      </c>
      <c r="S269" s="66" t="s">
        <v>770</v>
      </c>
      <c r="T269" s="74" t="s">
        <v>772</v>
      </c>
      <c r="U269" s="307">
        <f t="shared" si="24"/>
        <v>1</v>
      </c>
      <c r="V269" s="161"/>
    </row>
    <row r="270" spans="3:22" ht="15.75" customHeight="1">
      <c r="C270" s="366">
        <v>269</v>
      </c>
      <c r="D270" s="309" t="s">
        <v>231</v>
      </c>
      <c r="E270" s="139" t="s">
        <v>232</v>
      </c>
      <c r="F270" s="66">
        <v>2</v>
      </c>
      <c r="G270" s="66" t="s">
        <v>770</v>
      </c>
      <c r="H270" s="74" t="s">
        <v>772</v>
      </c>
      <c r="I270" s="307">
        <f t="shared" si="20"/>
        <v>1</v>
      </c>
      <c r="K270" s="66">
        <f t="shared" si="21"/>
        <v>0</v>
      </c>
      <c r="L270" s="66">
        <f t="shared" si="22"/>
        <v>0</v>
      </c>
      <c r="M270" s="66"/>
      <c r="N270" s="315">
        <f t="shared" si="23"/>
        <v>0</v>
      </c>
      <c r="P270" s="292" t="s">
        <v>231</v>
      </c>
      <c r="Q270" s="139" t="s">
        <v>1754</v>
      </c>
      <c r="R270" s="66">
        <v>2</v>
      </c>
      <c r="S270" s="66" t="s">
        <v>770</v>
      </c>
      <c r="T270" s="74" t="s">
        <v>771</v>
      </c>
      <c r="U270" s="307">
        <f t="shared" si="24"/>
        <v>1</v>
      </c>
      <c r="V270" s="161"/>
    </row>
    <row r="271" spans="3:22">
      <c r="C271" s="366">
        <v>270</v>
      </c>
      <c r="D271" s="309" t="s">
        <v>191</v>
      </c>
      <c r="E271" s="139" t="s">
        <v>192</v>
      </c>
      <c r="F271" s="66">
        <v>2</v>
      </c>
      <c r="G271" s="66" t="s">
        <v>773</v>
      </c>
      <c r="H271" s="74" t="s">
        <v>772</v>
      </c>
      <c r="I271" s="307">
        <f t="shared" si="20"/>
        <v>0</v>
      </c>
      <c r="K271" s="66">
        <f t="shared" si="21"/>
        <v>0</v>
      </c>
      <c r="L271" s="66">
        <f t="shared" si="22"/>
        <v>0</v>
      </c>
      <c r="M271" s="66"/>
      <c r="N271" s="315">
        <f t="shared" si="23"/>
        <v>0</v>
      </c>
      <c r="P271" s="292" t="s">
        <v>191</v>
      </c>
      <c r="Q271" s="139" t="s">
        <v>1732</v>
      </c>
      <c r="R271" s="66">
        <v>2</v>
      </c>
      <c r="S271" s="66" t="s">
        <v>773</v>
      </c>
      <c r="T271" s="74" t="s">
        <v>772</v>
      </c>
      <c r="U271" s="307">
        <f t="shared" si="24"/>
        <v>0</v>
      </c>
      <c r="V271" s="161"/>
    </row>
    <row r="272" spans="3:22">
      <c r="C272" s="366">
        <v>271</v>
      </c>
      <c r="D272" s="309" t="s">
        <v>505</v>
      </c>
      <c r="E272" s="139" t="s">
        <v>506</v>
      </c>
      <c r="F272" s="66">
        <v>1</v>
      </c>
      <c r="G272" s="66" t="s">
        <v>773</v>
      </c>
      <c r="H272" s="74" t="s">
        <v>771</v>
      </c>
      <c r="I272" s="307">
        <f t="shared" si="20"/>
        <v>0</v>
      </c>
      <c r="K272" s="66">
        <f t="shared" si="21"/>
        <v>0</v>
      </c>
      <c r="L272" s="66">
        <f t="shared" si="22"/>
        <v>0</v>
      </c>
      <c r="M272" s="66"/>
      <c r="N272" s="315">
        <f t="shared" si="23"/>
        <v>0</v>
      </c>
      <c r="P272" s="292" t="s">
        <v>505</v>
      </c>
      <c r="Q272" s="139" t="s">
        <v>1894</v>
      </c>
      <c r="R272" s="66">
        <v>1</v>
      </c>
      <c r="S272" s="66" t="s">
        <v>773</v>
      </c>
      <c r="T272" s="74" t="s">
        <v>771</v>
      </c>
      <c r="U272" s="307">
        <f t="shared" si="24"/>
        <v>0</v>
      </c>
      <c r="V272" s="161"/>
    </row>
    <row r="273" spans="3:22">
      <c r="C273" s="366">
        <v>272</v>
      </c>
      <c r="D273" s="309" t="s">
        <v>699</v>
      </c>
      <c r="E273" s="139" t="s">
        <v>700</v>
      </c>
      <c r="F273" s="66">
        <v>2</v>
      </c>
      <c r="G273" s="66" t="s">
        <v>770</v>
      </c>
      <c r="H273" s="74" t="s">
        <v>772</v>
      </c>
      <c r="I273" s="307">
        <f t="shared" si="20"/>
        <v>1</v>
      </c>
      <c r="K273" s="66">
        <f t="shared" si="21"/>
        <v>0</v>
      </c>
      <c r="L273" s="66">
        <f t="shared" si="22"/>
        <v>0</v>
      </c>
      <c r="M273" s="66"/>
      <c r="N273" s="315">
        <f t="shared" si="23"/>
        <v>0</v>
      </c>
      <c r="P273" s="292" t="s">
        <v>699</v>
      </c>
      <c r="Q273" s="139" t="s">
        <v>1995</v>
      </c>
      <c r="R273" s="66">
        <v>2</v>
      </c>
      <c r="S273" s="66" t="s">
        <v>770</v>
      </c>
      <c r="T273" s="74" t="s">
        <v>772</v>
      </c>
      <c r="U273" s="307">
        <f t="shared" si="24"/>
        <v>1</v>
      </c>
      <c r="V273" s="161"/>
    </row>
    <row r="274" spans="3:22">
      <c r="C274" s="366">
        <v>273</v>
      </c>
      <c r="D274" s="309" t="s">
        <v>562</v>
      </c>
      <c r="E274" s="139" t="s">
        <v>563</v>
      </c>
      <c r="F274" s="66">
        <v>2</v>
      </c>
      <c r="G274" s="66" t="s">
        <v>773</v>
      </c>
      <c r="H274" s="74" t="s">
        <v>771</v>
      </c>
      <c r="I274" s="307">
        <f t="shared" si="20"/>
        <v>0</v>
      </c>
      <c r="K274" s="66">
        <f t="shared" si="21"/>
        <v>0</v>
      </c>
      <c r="L274" s="66">
        <f t="shared" si="22"/>
        <v>0</v>
      </c>
      <c r="M274" s="66"/>
      <c r="N274" s="315">
        <f t="shared" si="23"/>
        <v>0</v>
      </c>
      <c r="P274" s="292" t="s">
        <v>562</v>
      </c>
      <c r="Q274" s="139" t="s">
        <v>1922</v>
      </c>
      <c r="R274" s="66">
        <v>2</v>
      </c>
      <c r="S274" s="66" t="s">
        <v>773</v>
      </c>
      <c r="T274" s="74" t="s">
        <v>771</v>
      </c>
      <c r="U274" s="307">
        <f t="shared" si="24"/>
        <v>0</v>
      </c>
      <c r="V274" s="161"/>
    </row>
    <row r="275" spans="3:22">
      <c r="C275" s="366">
        <v>274</v>
      </c>
      <c r="D275" s="309" t="s">
        <v>584</v>
      </c>
      <c r="E275" s="139" t="s">
        <v>585</v>
      </c>
      <c r="F275" s="66">
        <v>1</v>
      </c>
      <c r="G275" s="66" t="s">
        <v>773</v>
      </c>
      <c r="H275" s="74" t="s">
        <v>771</v>
      </c>
      <c r="I275" s="307">
        <f t="shared" si="20"/>
        <v>0</v>
      </c>
      <c r="K275" s="66">
        <f t="shared" si="21"/>
        <v>0</v>
      </c>
      <c r="L275" s="66">
        <f t="shared" si="22"/>
        <v>0</v>
      </c>
      <c r="M275" s="66"/>
      <c r="N275" s="315">
        <f t="shared" si="23"/>
        <v>0</v>
      </c>
      <c r="P275" s="292" t="s">
        <v>584</v>
      </c>
      <c r="Q275" s="139" t="s">
        <v>1933</v>
      </c>
      <c r="R275" s="66">
        <v>1</v>
      </c>
      <c r="S275" s="66" t="s">
        <v>773</v>
      </c>
      <c r="T275" s="74" t="s">
        <v>771</v>
      </c>
      <c r="U275" s="307">
        <f t="shared" si="24"/>
        <v>0</v>
      </c>
      <c r="V275" s="161"/>
    </row>
    <row r="276" spans="3:22">
      <c r="C276" s="366">
        <v>275</v>
      </c>
      <c r="D276" s="309" t="s">
        <v>630</v>
      </c>
      <c r="E276" s="139" t="s">
        <v>631</v>
      </c>
      <c r="F276" s="66">
        <v>2</v>
      </c>
      <c r="G276" s="66" t="s">
        <v>770</v>
      </c>
      <c r="H276" s="74" t="s">
        <v>772</v>
      </c>
      <c r="I276" s="307">
        <f t="shared" si="20"/>
        <v>1</v>
      </c>
      <c r="K276" s="66">
        <f t="shared" si="21"/>
        <v>0</v>
      </c>
      <c r="L276" s="66">
        <f t="shared" si="22"/>
        <v>0</v>
      </c>
      <c r="M276" s="66"/>
      <c r="N276" s="315">
        <f t="shared" si="23"/>
        <v>0</v>
      </c>
      <c r="P276" s="292" t="s">
        <v>630</v>
      </c>
      <c r="Q276" s="139" t="s">
        <v>1957</v>
      </c>
      <c r="R276" s="66">
        <v>2</v>
      </c>
      <c r="S276" s="66" t="s">
        <v>770</v>
      </c>
      <c r="T276" s="74" t="s">
        <v>772</v>
      </c>
      <c r="U276" s="307">
        <f t="shared" si="24"/>
        <v>1</v>
      </c>
      <c r="V276" s="161"/>
    </row>
    <row r="277" spans="3:22">
      <c r="C277" s="366">
        <v>276</v>
      </c>
      <c r="D277" s="317" t="s">
        <v>1515</v>
      </c>
      <c r="E277" t="s">
        <v>1592</v>
      </c>
      <c r="F277" s="66">
        <v>2</v>
      </c>
      <c r="G277" s="66" t="s">
        <v>773</v>
      </c>
      <c r="H277" s="74" t="s">
        <v>771</v>
      </c>
      <c r="I277" s="307">
        <f t="shared" si="20"/>
        <v>0</v>
      </c>
      <c r="K277" s="66">
        <f t="shared" si="21"/>
        <v>0</v>
      </c>
      <c r="L277" s="66">
        <f t="shared" si="22"/>
        <v>0</v>
      </c>
      <c r="M277" s="66"/>
      <c r="N277" s="315">
        <f t="shared" si="23"/>
        <v>0</v>
      </c>
      <c r="P277" s="302" t="s">
        <v>1515</v>
      </c>
      <c r="Q277" t="s">
        <v>1571</v>
      </c>
      <c r="R277" s="66">
        <v>2</v>
      </c>
      <c r="S277" s="66" t="s">
        <v>773</v>
      </c>
      <c r="T277" s="74" t="s">
        <v>771</v>
      </c>
      <c r="U277" s="307">
        <f t="shared" si="24"/>
        <v>0</v>
      </c>
      <c r="V277" s="161"/>
    </row>
    <row r="278" spans="3:22">
      <c r="C278" s="366">
        <v>277</v>
      </c>
      <c r="D278" s="319" t="s">
        <v>1458</v>
      </c>
      <c r="E278" t="s">
        <v>1595</v>
      </c>
      <c r="F278" s="66">
        <v>2</v>
      </c>
      <c r="G278" s="66" t="s">
        <v>773</v>
      </c>
      <c r="H278" s="74" t="s">
        <v>771</v>
      </c>
      <c r="I278" s="307">
        <f t="shared" si="20"/>
        <v>0</v>
      </c>
      <c r="K278" s="66">
        <f t="shared" si="21"/>
        <v>0</v>
      </c>
      <c r="L278" s="66">
        <f t="shared" si="22"/>
        <v>0</v>
      </c>
      <c r="M278" s="66"/>
      <c r="N278" s="315">
        <f t="shared" si="23"/>
        <v>0</v>
      </c>
      <c r="P278" s="304" t="s">
        <v>1458</v>
      </c>
      <c r="Q278" t="s">
        <v>2025</v>
      </c>
      <c r="R278" s="66">
        <v>2</v>
      </c>
      <c r="S278" s="66" t="s">
        <v>773</v>
      </c>
      <c r="T278" s="74" t="s">
        <v>771</v>
      </c>
      <c r="U278" s="307">
        <f t="shared" si="24"/>
        <v>0</v>
      </c>
      <c r="V278" s="161"/>
    </row>
    <row r="279" spans="3:22">
      <c r="C279" s="366">
        <v>278</v>
      </c>
      <c r="D279" s="319" t="s">
        <v>1460</v>
      </c>
      <c r="E279" t="s">
        <v>1596</v>
      </c>
      <c r="F279" s="66">
        <v>2</v>
      </c>
      <c r="G279" s="66" t="s">
        <v>773</v>
      </c>
      <c r="H279" s="74" t="s">
        <v>771</v>
      </c>
      <c r="I279" s="307">
        <f t="shared" si="20"/>
        <v>0</v>
      </c>
      <c r="K279" s="66">
        <f t="shared" si="21"/>
        <v>0</v>
      </c>
      <c r="L279" s="66">
        <f t="shared" si="22"/>
        <v>0</v>
      </c>
      <c r="M279" s="66"/>
      <c r="N279" s="315">
        <f t="shared" si="23"/>
        <v>0</v>
      </c>
      <c r="P279" s="304" t="s">
        <v>1460</v>
      </c>
      <c r="Q279" t="s">
        <v>2018</v>
      </c>
      <c r="R279" s="66">
        <v>2</v>
      </c>
      <c r="S279" s="66" t="s">
        <v>773</v>
      </c>
      <c r="T279" s="74" t="s">
        <v>771</v>
      </c>
      <c r="U279" s="307">
        <f t="shared" si="24"/>
        <v>0</v>
      </c>
      <c r="V279" s="161"/>
    </row>
    <row r="280" spans="3:22">
      <c r="C280" s="366">
        <v>279</v>
      </c>
      <c r="D280" s="309" t="s">
        <v>515</v>
      </c>
      <c r="E280" s="139" t="s">
        <v>1557</v>
      </c>
      <c r="F280" s="66">
        <v>1</v>
      </c>
      <c r="G280" s="66" t="s">
        <v>773</v>
      </c>
      <c r="H280" s="74" t="s">
        <v>771</v>
      </c>
      <c r="I280" s="307">
        <f t="shared" si="20"/>
        <v>0</v>
      </c>
      <c r="K280" s="66">
        <f t="shared" si="21"/>
        <v>0</v>
      </c>
      <c r="L280" s="66">
        <f t="shared" si="22"/>
        <v>0</v>
      </c>
      <c r="M280" s="66"/>
      <c r="N280" s="315">
        <f t="shared" si="23"/>
        <v>0</v>
      </c>
      <c r="P280" s="292" t="s">
        <v>515</v>
      </c>
      <c r="Q280" s="139" t="s">
        <v>2457</v>
      </c>
      <c r="R280" s="66">
        <v>1</v>
      </c>
      <c r="S280" s="66" t="s">
        <v>773</v>
      </c>
      <c r="T280" s="74" t="s">
        <v>771</v>
      </c>
      <c r="U280" s="307">
        <f t="shared" si="24"/>
        <v>0</v>
      </c>
      <c r="V280" s="161"/>
    </row>
    <row r="281" spans="3:22">
      <c r="C281" s="366">
        <v>280</v>
      </c>
      <c r="D281" s="309" t="s">
        <v>724</v>
      </c>
      <c r="E281" s="139" t="s">
        <v>725</v>
      </c>
      <c r="F281" s="66">
        <v>1</v>
      </c>
      <c r="G281" s="66" t="s">
        <v>773</v>
      </c>
      <c r="H281" s="74" t="s">
        <v>771</v>
      </c>
      <c r="I281" s="307">
        <f t="shared" si="20"/>
        <v>0</v>
      </c>
      <c r="K281" s="66">
        <f t="shared" si="21"/>
        <v>0</v>
      </c>
      <c r="L281" s="66">
        <f t="shared" si="22"/>
        <v>0</v>
      </c>
      <c r="M281" s="66"/>
      <c r="N281" s="315">
        <f t="shared" si="23"/>
        <v>0</v>
      </c>
      <c r="P281" s="292" t="s">
        <v>724</v>
      </c>
      <c r="Q281" s="139" t="s">
        <v>2008</v>
      </c>
      <c r="R281" s="66">
        <v>1</v>
      </c>
      <c r="S281" s="66" t="s">
        <v>773</v>
      </c>
      <c r="T281" s="74" t="s">
        <v>771</v>
      </c>
      <c r="U281" s="307">
        <f t="shared" si="24"/>
        <v>0</v>
      </c>
      <c r="V281" s="161"/>
    </row>
    <row r="282" spans="3:22">
      <c r="C282" s="366">
        <v>281</v>
      </c>
      <c r="D282" s="317" t="s">
        <v>1178</v>
      </c>
      <c r="E282" t="s">
        <v>1190</v>
      </c>
      <c r="F282" s="66">
        <v>2</v>
      </c>
      <c r="G282" s="66" t="s">
        <v>773</v>
      </c>
      <c r="H282" s="74" t="s">
        <v>771</v>
      </c>
      <c r="I282" s="307">
        <f t="shared" si="20"/>
        <v>0</v>
      </c>
      <c r="K282" s="66">
        <f t="shared" si="21"/>
        <v>0</v>
      </c>
      <c r="L282" s="66">
        <f t="shared" si="22"/>
        <v>0</v>
      </c>
      <c r="M282" s="66"/>
      <c r="N282" s="315">
        <f t="shared" si="23"/>
        <v>0</v>
      </c>
      <c r="P282" s="302" t="s">
        <v>1178</v>
      </c>
      <c r="Q282" t="s">
        <v>1833</v>
      </c>
      <c r="R282" s="66">
        <v>2</v>
      </c>
      <c r="S282" s="66" t="s">
        <v>773</v>
      </c>
      <c r="T282" s="74" t="s">
        <v>771</v>
      </c>
      <c r="U282" s="307">
        <f t="shared" si="24"/>
        <v>0</v>
      </c>
      <c r="V282" s="161"/>
    </row>
    <row r="283" spans="3:22">
      <c r="C283" s="366">
        <v>282</v>
      </c>
      <c r="D283" s="309" t="s">
        <v>509</v>
      </c>
      <c r="E283" s="139" t="s">
        <v>510</v>
      </c>
      <c r="F283" s="66">
        <v>1</v>
      </c>
      <c r="G283" s="66" t="s">
        <v>773</v>
      </c>
      <c r="H283" s="74" t="s">
        <v>771</v>
      </c>
      <c r="I283" s="307">
        <f t="shared" si="20"/>
        <v>0</v>
      </c>
      <c r="K283" s="66">
        <f t="shared" si="21"/>
        <v>0</v>
      </c>
      <c r="L283" s="66">
        <f t="shared" si="22"/>
        <v>0</v>
      </c>
      <c r="M283" s="66"/>
      <c r="N283" s="315">
        <f t="shared" si="23"/>
        <v>0</v>
      </c>
      <c r="P283" s="292" t="s">
        <v>509</v>
      </c>
      <c r="Q283" s="139" t="s">
        <v>1896</v>
      </c>
      <c r="R283" s="66">
        <v>1</v>
      </c>
      <c r="S283" s="66" t="s">
        <v>773</v>
      </c>
      <c r="T283" s="74" t="s">
        <v>771</v>
      </c>
      <c r="U283" s="307">
        <f t="shared" si="24"/>
        <v>0</v>
      </c>
      <c r="V283" s="161"/>
    </row>
    <row r="284" spans="3:22">
      <c r="C284" s="366">
        <v>283</v>
      </c>
      <c r="D284" s="309" t="s">
        <v>309</v>
      </c>
      <c r="E284" s="139" t="s">
        <v>310</v>
      </c>
      <c r="F284" s="66">
        <v>2</v>
      </c>
      <c r="G284" s="66" t="s">
        <v>770</v>
      </c>
      <c r="H284" s="74" t="s">
        <v>771</v>
      </c>
      <c r="I284" s="307">
        <f t="shared" si="20"/>
        <v>1</v>
      </c>
      <c r="K284" s="66">
        <f t="shared" si="21"/>
        <v>0</v>
      </c>
      <c r="L284" s="66">
        <f t="shared" si="22"/>
        <v>0</v>
      </c>
      <c r="M284" s="66"/>
      <c r="N284" s="315">
        <f t="shared" si="23"/>
        <v>0</v>
      </c>
      <c r="P284" s="292" t="s">
        <v>309</v>
      </c>
      <c r="Q284" s="139" t="s">
        <v>1793</v>
      </c>
      <c r="R284" s="66">
        <v>2</v>
      </c>
      <c r="S284" s="66" t="s">
        <v>770</v>
      </c>
      <c r="T284" s="74" t="s">
        <v>771</v>
      </c>
      <c r="U284" s="307">
        <f t="shared" si="24"/>
        <v>1</v>
      </c>
      <c r="V284" s="161"/>
    </row>
    <row r="285" spans="3:22">
      <c r="C285" s="366">
        <v>284</v>
      </c>
      <c r="D285" s="309" t="s">
        <v>361</v>
      </c>
      <c r="E285" s="139" t="s">
        <v>362</v>
      </c>
      <c r="F285" s="66">
        <v>1</v>
      </c>
      <c r="G285" s="66" t="s">
        <v>773</v>
      </c>
      <c r="H285" s="74" t="s">
        <v>771</v>
      </c>
      <c r="I285" s="307">
        <f t="shared" si="20"/>
        <v>0</v>
      </c>
      <c r="K285" s="66">
        <f t="shared" si="21"/>
        <v>0</v>
      </c>
      <c r="L285" s="66">
        <f t="shared" si="22"/>
        <v>0</v>
      </c>
      <c r="M285" s="66"/>
      <c r="N285" s="315">
        <f t="shared" si="23"/>
        <v>0</v>
      </c>
      <c r="P285" s="292" t="s">
        <v>361</v>
      </c>
      <c r="Q285" s="139" t="s">
        <v>1820</v>
      </c>
      <c r="R285" s="66">
        <v>1</v>
      </c>
      <c r="S285" s="66" t="s">
        <v>773</v>
      </c>
      <c r="T285" s="74" t="s">
        <v>771</v>
      </c>
      <c r="U285" s="307">
        <f t="shared" si="24"/>
        <v>0</v>
      </c>
      <c r="V285" s="161"/>
    </row>
    <row r="286" spans="3:22">
      <c r="C286" s="366">
        <v>285</v>
      </c>
      <c r="D286" s="309" t="s">
        <v>689</v>
      </c>
      <c r="E286" s="139" t="s">
        <v>690</v>
      </c>
      <c r="F286" s="66">
        <v>2</v>
      </c>
      <c r="G286" s="66" t="s">
        <v>770</v>
      </c>
      <c r="H286" s="74" t="s">
        <v>771</v>
      </c>
      <c r="I286" s="307">
        <f t="shared" si="20"/>
        <v>1</v>
      </c>
      <c r="K286" s="66">
        <f t="shared" si="21"/>
        <v>0</v>
      </c>
      <c r="L286" s="66">
        <f t="shared" si="22"/>
        <v>0</v>
      </c>
      <c r="M286" s="66"/>
      <c r="N286" s="315">
        <f t="shared" si="23"/>
        <v>0</v>
      </c>
      <c r="P286" s="292" t="s">
        <v>689</v>
      </c>
      <c r="Q286" s="139" t="s">
        <v>1990</v>
      </c>
      <c r="R286" s="66">
        <v>2</v>
      </c>
      <c r="S286" s="66" t="s">
        <v>770</v>
      </c>
      <c r="T286" s="74" t="s">
        <v>771</v>
      </c>
      <c r="U286" s="307">
        <f t="shared" si="24"/>
        <v>1</v>
      </c>
      <c r="V286" s="161"/>
    </row>
    <row r="287" spans="3:22">
      <c r="C287" s="366">
        <v>286</v>
      </c>
      <c r="D287" s="309" t="s">
        <v>654</v>
      </c>
      <c r="E287" s="139" t="s">
        <v>655</v>
      </c>
      <c r="F287" s="66">
        <v>2</v>
      </c>
      <c r="G287" s="66" t="s">
        <v>773</v>
      </c>
      <c r="H287" s="74" t="s">
        <v>771</v>
      </c>
      <c r="I287" s="307">
        <f t="shared" si="20"/>
        <v>0</v>
      </c>
      <c r="K287" s="66">
        <f t="shared" si="21"/>
        <v>0</v>
      </c>
      <c r="L287" s="66">
        <f t="shared" si="22"/>
        <v>0</v>
      </c>
      <c r="M287" s="66"/>
      <c r="N287" s="315">
        <f t="shared" si="23"/>
        <v>0</v>
      </c>
      <c r="P287" s="292" t="s">
        <v>654</v>
      </c>
      <c r="Q287" s="139" t="s">
        <v>1970</v>
      </c>
      <c r="R287" s="66">
        <v>2</v>
      </c>
      <c r="S287" s="66" t="s">
        <v>773</v>
      </c>
      <c r="T287" s="74" t="s">
        <v>771</v>
      </c>
      <c r="U287" s="307">
        <f t="shared" si="24"/>
        <v>0</v>
      </c>
      <c r="V287" s="161"/>
    </row>
    <row r="288" spans="3:22">
      <c r="C288" s="366">
        <v>287</v>
      </c>
      <c r="D288" s="309" t="s">
        <v>388</v>
      </c>
      <c r="E288" s="139" t="s">
        <v>389</v>
      </c>
      <c r="F288" s="66">
        <v>2</v>
      </c>
      <c r="G288" s="297" t="s">
        <v>770</v>
      </c>
      <c r="H288" s="74" t="s">
        <v>771</v>
      </c>
      <c r="I288" s="307">
        <f t="shared" si="20"/>
        <v>1</v>
      </c>
      <c r="K288" s="66">
        <f t="shared" si="21"/>
        <v>0</v>
      </c>
      <c r="L288" s="66">
        <f t="shared" si="22"/>
        <v>0</v>
      </c>
      <c r="M288" s="66"/>
      <c r="N288" s="315">
        <f t="shared" si="23"/>
        <v>0</v>
      </c>
      <c r="P288" s="292" t="s">
        <v>388</v>
      </c>
      <c r="Q288" s="139" t="s">
        <v>1836</v>
      </c>
      <c r="R288" s="66">
        <v>2</v>
      </c>
      <c r="S288" s="297" t="s">
        <v>770</v>
      </c>
      <c r="T288" s="74" t="s">
        <v>771</v>
      </c>
      <c r="U288" s="307">
        <f t="shared" si="24"/>
        <v>1</v>
      </c>
      <c r="V288" s="161"/>
    </row>
    <row r="289" spans="3:22">
      <c r="C289" s="366">
        <v>288</v>
      </c>
      <c r="D289" s="309" t="s">
        <v>430</v>
      </c>
      <c r="E289" s="139" t="s">
        <v>431</v>
      </c>
      <c r="F289" s="66">
        <v>2</v>
      </c>
      <c r="G289" s="66" t="s">
        <v>773</v>
      </c>
      <c r="H289" s="74" t="s">
        <v>771</v>
      </c>
      <c r="I289" s="307">
        <f t="shared" si="20"/>
        <v>0</v>
      </c>
      <c r="K289" s="66">
        <f t="shared" si="21"/>
        <v>0</v>
      </c>
      <c r="L289" s="66">
        <f t="shared" si="22"/>
        <v>0</v>
      </c>
      <c r="M289" s="66"/>
      <c r="N289" s="315">
        <f t="shared" si="23"/>
        <v>0</v>
      </c>
      <c r="P289" s="292" t="s">
        <v>430</v>
      </c>
      <c r="Q289" s="139" t="s">
        <v>1857</v>
      </c>
      <c r="R289" s="66">
        <v>2</v>
      </c>
      <c r="S289" s="66" t="s">
        <v>773</v>
      </c>
      <c r="T289" s="74" t="s">
        <v>771</v>
      </c>
      <c r="U289" s="307">
        <f t="shared" si="24"/>
        <v>0</v>
      </c>
      <c r="V289" s="161"/>
    </row>
    <row r="290" spans="3:22">
      <c r="C290" s="366">
        <v>289</v>
      </c>
      <c r="D290" s="309" t="s">
        <v>484</v>
      </c>
      <c r="E290" s="139" t="s">
        <v>485</v>
      </c>
      <c r="F290" s="66">
        <v>2</v>
      </c>
      <c r="G290" s="66" t="s">
        <v>773</v>
      </c>
      <c r="H290" s="74" t="s">
        <v>771</v>
      </c>
      <c r="I290" s="307">
        <f t="shared" si="20"/>
        <v>0</v>
      </c>
      <c r="K290" s="66">
        <f t="shared" si="21"/>
        <v>0</v>
      </c>
      <c r="L290" s="66">
        <f t="shared" si="22"/>
        <v>0</v>
      </c>
      <c r="M290" s="66"/>
      <c r="N290" s="315">
        <f t="shared" si="23"/>
        <v>0</v>
      </c>
      <c r="P290" s="292" t="s">
        <v>484</v>
      </c>
      <c r="Q290" s="139" t="s">
        <v>1883</v>
      </c>
      <c r="R290" s="66">
        <v>2</v>
      </c>
      <c r="S290" s="66" t="s">
        <v>773</v>
      </c>
      <c r="T290" s="74" t="s">
        <v>771</v>
      </c>
      <c r="U290" s="307">
        <f t="shared" si="24"/>
        <v>0</v>
      </c>
      <c r="V290" s="161"/>
    </row>
    <row r="291" spans="3:22">
      <c r="C291" s="366">
        <v>290</v>
      </c>
      <c r="D291" s="309" t="s">
        <v>726</v>
      </c>
      <c r="E291" s="139" t="s">
        <v>727</v>
      </c>
      <c r="F291" s="66">
        <v>1</v>
      </c>
      <c r="G291" s="66" t="s">
        <v>773</v>
      </c>
      <c r="H291" s="74" t="s">
        <v>771</v>
      </c>
      <c r="I291" s="307">
        <f t="shared" si="20"/>
        <v>0</v>
      </c>
      <c r="K291" s="66">
        <f t="shared" si="21"/>
        <v>0</v>
      </c>
      <c r="L291" s="66">
        <f t="shared" si="22"/>
        <v>0</v>
      </c>
      <c r="M291" s="66"/>
      <c r="N291" s="315">
        <f t="shared" si="23"/>
        <v>0</v>
      </c>
      <c r="P291" s="292" t="s">
        <v>726</v>
      </c>
      <c r="Q291" s="139" t="s">
        <v>2009</v>
      </c>
      <c r="R291" s="66">
        <v>1</v>
      </c>
      <c r="S291" s="66" t="s">
        <v>773</v>
      </c>
      <c r="T291" s="74" t="s">
        <v>771</v>
      </c>
      <c r="U291" s="307">
        <f t="shared" si="24"/>
        <v>0</v>
      </c>
      <c r="V291" s="161"/>
    </row>
    <row r="292" spans="3:22">
      <c r="C292" s="366">
        <v>291</v>
      </c>
      <c r="D292" s="309" t="s">
        <v>664</v>
      </c>
      <c r="E292" s="139" t="s">
        <v>665</v>
      </c>
      <c r="F292" s="66">
        <v>2</v>
      </c>
      <c r="G292" s="66" t="s">
        <v>770</v>
      </c>
      <c r="H292" s="74" t="s">
        <v>771</v>
      </c>
      <c r="I292" s="307">
        <f t="shared" si="20"/>
        <v>1</v>
      </c>
      <c r="K292" s="66">
        <f t="shared" si="21"/>
        <v>0</v>
      </c>
      <c r="L292" s="66">
        <f t="shared" si="22"/>
        <v>0</v>
      </c>
      <c r="M292" s="66"/>
      <c r="N292" s="315">
        <f t="shared" si="23"/>
        <v>0</v>
      </c>
      <c r="P292" s="292" t="s">
        <v>664</v>
      </c>
      <c r="Q292" s="139" t="s">
        <v>1976</v>
      </c>
      <c r="R292" s="66">
        <v>2</v>
      </c>
      <c r="S292" s="66" t="s">
        <v>770</v>
      </c>
      <c r="T292" s="74" t="s">
        <v>771</v>
      </c>
      <c r="U292" s="307">
        <f t="shared" si="24"/>
        <v>1</v>
      </c>
      <c r="V292" s="161"/>
    </row>
    <row r="293" spans="3:22">
      <c r="C293" s="366">
        <v>292</v>
      </c>
      <c r="D293" s="309" t="s">
        <v>235</v>
      </c>
      <c r="E293" s="306" t="s">
        <v>236</v>
      </c>
      <c r="F293" s="66">
        <v>2</v>
      </c>
      <c r="G293" s="66" t="s">
        <v>770</v>
      </c>
      <c r="H293" s="74" t="s">
        <v>771</v>
      </c>
      <c r="I293" s="307">
        <f t="shared" si="20"/>
        <v>1</v>
      </c>
      <c r="K293" s="66">
        <f t="shared" si="21"/>
        <v>0</v>
      </c>
      <c r="L293" s="66">
        <f t="shared" si="22"/>
        <v>0</v>
      </c>
      <c r="M293" s="66"/>
      <c r="N293" s="315">
        <f t="shared" si="23"/>
        <v>0</v>
      </c>
      <c r="P293" s="292" t="s">
        <v>235</v>
      </c>
      <c r="Q293" s="139" t="s">
        <v>1756</v>
      </c>
      <c r="R293" s="66">
        <v>2</v>
      </c>
      <c r="S293" s="66" t="s">
        <v>770</v>
      </c>
      <c r="T293" s="74" t="s">
        <v>771</v>
      </c>
      <c r="U293" s="307">
        <f t="shared" si="24"/>
        <v>1</v>
      </c>
      <c r="V293" s="161"/>
    </row>
    <row r="294" spans="3:22">
      <c r="C294" s="366">
        <v>293</v>
      </c>
      <c r="D294" s="309" t="s">
        <v>402</v>
      </c>
      <c r="E294" s="139" t="s">
        <v>403</v>
      </c>
      <c r="F294" s="66">
        <v>2</v>
      </c>
      <c r="G294" s="66" t="s">
        <v>770</v>
      </c>
      <c r="H294" s="74" t="s">
        <v>771</v>
      </c>
      <c r="I294" s="307">
        <f t="shared" si="20"/>
        <v>1</v>
      </c>
      <c r="K294" s="66">
        <f t="shared" si="21"/>
        <v>0</v>
      </c>
      <c r="L294" s="66">
        <f t="shared" si="22"/>
        <v>0</v>
      </c>
      <c r="M294" s="66"/>
      <c r="N294" s="315">
        <f t="shared" si="23"/>
        <v>0</v>
      </c>
      <c r="P294" s="292" t="s">
        <v>402</v>
      </c>
      <c r="Q294" s="139" t="s">
        <v>1843</v>
      </c>
      <c r="R294" s="66">
        <v>2</v>
      </c>
      <c r="S294" s="66" t="s">
        <v>770</v>
      </c>
      <c r="T294" s="74" t="s">
        <v>771</v>
      </c>
      <c r="U294" s="307">
        <f t="shared" si="24"/>
        <v>1</v>
      </c>
      <c r="V294" s="161"/>
    </row>
    <row r="295" spans="3:22">
      <c r="C295" s="366">
        <v>294</v>
      </c>
      <c r="D295" s="309" t="s">
        <v>356</v>
      </c>
      <c r="E295" s="139" t="s">
        <v>357</v>
      </c>
      <c r="F295" s="66">
        <v>1</v>
      </c>
      <c r="G295" s="66" t="s">
        <v>773</v>
      </c>
      <c r="H295" s="74" t="s">
        <v>771</v>
      </c>
      <c r="I295" s="307">
        <f t="shared" si="20"/>
        <v>0</v>
      </c>
      <c r="K295" s="66">
        <f t="shared" si="21"/>
        <v>0</v>
      </c>
      <c r="L295" s="66">
        <f t="shared" si="22"/>
        <v>0</v>
      </c>
      <c r="M295" s="66"/>
      <c r="N295" s="315">
        <f t="shared" si="23"/>
        <v>0</v>
      </c>
      <c r="P295" s="292" t="s">
        <v>356</v>
      </c>
      <c r="Q295" s="139" t="s">
        <v>1817</v>
      </c>
      <c r="R295" s="66">
        <v>1</v>
      </c>
      <c r="S295" s="66" t="s">
        <v>773</v>
      </c>
      <c r="T295" s="74" t="s">
        <v>771</v>
      </c>
      <c r="U295" s="307">
        <f t="shared" si="24"/>
        <v>0</v>
      </c>
      <c r="V295" s="161"/>
    </row>
    <row r="296" spans="3:22">
      <c r="C296" s="366">
        <v>295</v>
      </c>
      <c r="D296" s="309" t="s">
        <v>644</v>
      </c>
      <c r="E296" s="139" t="s">
        <v>645</v>
      </c>
      <c r="F296" s="66">
        <v>1</v>
      </c>
      <c r="G296" s="66" t="s">
        <v>773</v>
      </c>
      <c r="H296" s="74" t="s">
        <v>771</v>
      </c>
      <c r="I296" s="307">
        <f t="shared" si="20"/>
        <v>0</v>
      </c>
      <c r="K296" s="66">
        <f t="shared" si="21"/>
        <v>0</v>
      </c>
      <c r="L296" s="66">
        <f t="shared" si="22"/>
        <v>0</v>
      </c>
      <c r="M296" s="66"/>
      <c r="N296" s="315">
        <f t="shared" si="23"/>
        <v>0</v>
      </c>
      <c r="P296" s="292" t="s">
        <v>644</v>
      </c>
      <c r="Q296" s="139" t="s">
        <v>1965</v>
      </c>
      <c r="R296" s="66">
        <v>1</v>
      </c>
      <c r="S296" s="66" t="s">
        <v>773</v>
      </c>
      <c r="T296" s="74" t="s">
        <v>771</v>
      </c>
      <c r="U296" s="307">
        <f t="shared" si="24"/>
        <v>0</v>
      </c>
      <c r="V296" s="161"/>
    </row>
    <row r="297" spans="3:22">
      <c r="C297" s="366">
        <v>296</v>
      </c>
      <c r="D297" s="309" t="s">
        <v>711</v>
      </c>
      <c r="E297" s="139" t="s">
        <v>712</v>
      </c>
      <c r="F297" s="66">
        <v>2</v>
      </c>
      <c r="G297" s="66" t="s">
        <v>770</v>
      </c>
      <c r="H297" s="74" t="s">
        <v>772</v>
      </c>
      <c r="I297" s="307">
        <f t="shared" si="20"/>
        <v>1</v>
      </c>
      <c r="K297" s="66">
        <f t="shared" si="21"/>
        <v>0</v>
      </c>
      <c r="L297" s="66">
        <f t="shared" si="22"/>
        <v>0</v>
      </c>
      <c r="M297" s="66"/>
      <c r="N297" s="315">
        <f t="shared" si="23"/>
        <v>0</v>
      </c>
      <c r="P297" s="292" t="s">
        <v>711</v>
      </c>
      <c r="Q297" s="139" t="s">
        <v>2001</v>
      </c>
      <c r="R297" s="66">
        <v>2</v>
      </c>
      <c r="S297" s="66" t="s">
        <v>770</v>
      </c>
      <c r="T297" s="74" t="s">
        <v>772</v>
      </c>
      <c r="U297" s="307">
        <f t="shared" si="24"/>
        <v>1</v>
      </c>
      <c r="V297" s="161"/>
    </row>
    <row r="298" spans="3:22">
      <c r="C298" s="366">
        <v>297</v>
      </c>
      <c r="D298" s="309" t="s">
        <v>513</v>
      </c>
      <c r="E298" s="139" t="s">
        <v>514</v>
      </c>
      <c r="F298" s="66">
        <v>1</v>
      </c>
      <c r="G298" s="66" t="s">
        <v>773</v>
      </c>
      <c r="H298" s="74" t="s">
        <v>771</v>
      </c>
      <c r="I298" s="307">
        <f t="shared" si="20"/>
        <v>0</v>
      </c>
      <c r="K298" s="66">
        <f t="shared" si="21"/>
        <v>0</v>
      </c>
      <c r="L298" s="66">
        <f t="shared" si="22"/>
        <v>0</v>
      </c>
      <c r="M298" s="66"/>
      <c r="N298" s="315">
        <f t="shared" si="23"/>
        <v>0</v>
      </c>
      <c r="P298" s="292" t="s">
        <v>513</v>
      </c>
      <c r="Q298" s="139" t="s">
        <v>1898</v>
      </c>
      <c r="R298" s="66">
        <v>1</v>
      </c>
      <c r="S298" s="66" t="s">
        <v>773</v>
      </c>
      <c r="T298" s="74" t="s">
        <v>771</v>
      </c>
      <c r="U298" s="307">
        <f t="shared" si="24"/>
        <v>0</v>
      </c>
      <c r="V298" s="161"/>
    </row>
    <row r="299" spans="3:22">
      <c r="C299" s="366">
        <v>298</v>
      </c>
      <c r="D299" s="309" t="s">
        <v>624</v>
      </c>
      <c r="E299" s="139" t="s">
        <v>625</v>
      </c>
      <c r="F299" s="66">
        <v>2</v>
      </c>
      <c r="G299" s="66" t="s">
        <v>773</v>
      </c>
      <c r="H299" s="74" t="s">
        <v>772</v>
      </c>
      <c r="I299" s="307">
        <f t="shared" si="20"/>
        <v>0</v>
      </c>
      <c r="K299" s="66">
        <f t="shared" si="21"/>
        <v>0</v>
      </c>
      <c r="L299" s="66">
        <f t="shared" si="22"/>
        <v>0</v>
      </c>
      <c r="M299" s="66"/>
      <c r="N299" s="315">
        <f t="shared" si="23"/>
        <v>0</v>
      </c>
      <c r="P299" s="292" t="s">
        <v>624</v>
      </c>
      <c r="Q299" s="139" t="s">
        <v>1954</v>
      </c>
      <c r="R299" s="66">
        <v>2</v>
      </c>
      <c r="S299" s="66" t="s">
        <v>773</v>
      </c>
      <c r="T299" s="74" t="s">
        <v>772</v>
      </c>
      <c r="U299" s="307">
        <f t="shared" si="24"/>
        <v>0</v>
      </c>
      <c r="V299" s="161"/>
    </row>
    <row r="300" spans="3:22">
      <c r="C300" s="366">
        <v>299</v>
      </c>
      <c r="D300" s="309" t="s">
        <v>213</v>
      </c>
      <c r="E300" s="139" t="s">
        <v>214</v>
      </c>
      <c r="F300" s="66">
        <v>1</v>
      </c>
      <c r="G300" s="66" t="s">
        <v>773</v>
      </c>
      <c r="H300" s="74" t="s">
        <v>771</v>
      </c>
      <c r="I300" s="307">
        <f t="shared" si="20"/>
        <v>0</v>
      </c>
      <c r="K300" s="66">
        <f t="shared" si="21"/>
        <v>0</v>
      </c>
      <c r="L300" s="66">
        <f t="shared" si="22"/>
        <v>0</v>
      </c>
      <c r="M300" s="66"/>
      <c r="N300" s="315">
        <f t="shared" si="23"/>
        <v>0</v>
      </c>
      <c r="P300" s="292" t="s">
        <v>213</v>
      </c>
      <c r="Q300" s="139" t="s">
        <v>1744</v>
      </c>
      <c r="R300" s="66">
        <v>1</v>
      </c>
      <c r="S300" s="66" t="s">
        <v>773</v>
      </c>
      <c r="T300" s="74" t="s">
        <v>771</v>
      </c>
      <c r="U300" s="307">
        <f t="shared" si="24"/>
        <v>0</v>
      </c>
      <c r="V300" s="161"/>
    </row>
    <row r="301" spans="3:22">
      <c r="C301" s="366">
        <v>300</v>
      </c>
      <c r="D301" s="309" t="s">
        <v>348</v>
      </c>
      <c r="E301" s="139" t="s">
        <v>349</v>
      </c>
      <c r="F301" s="66">
        <v>2</v>
      </c>
      <c r="G301" s="66" t="s">
        <v>773</v>
      </c>
      <c r="H301" s="74" t="s">
        <v>771</v>
      </c>
      <c r="I301" s="307">
        <f t="shared" si="20"/>
        <v>0</v>
      </c>
      <c r="K301" s="66">
        <f t="shared" si="21"/>
        <v>0</v>
      </c>
      <c r="L301" s="66">
        <f t="shared" si="22"/>
        <v>0</v>
      </c>
      <c r="M301" s="66"/>
      <c r="N301" s="315">
        <f t="shared" si="23"/>
        <v>0</v>
      </c>
      <c r="P301" s="292" t="s">
        <v>348</v>
      </c>
      <c r="Q301" s="139" t="s">
        <v>1813</v>
      </c>
      <c r="R301" s="66">
        <v>2</v>
      </c>
      <c r="S301" s="66" t="s">
        <v>773</v>
      </c>
      <c r="T301" s="74" t="s">
        <v>771</v>
      </c>
      <c r="U301" s="307">
        <f t="shared" si="24"/>
        <v>0</v>
      </c>
      <c r="V301" s="161"/>
    </row>
    <row r="302" spans="3:22">
      <c r="C302" s="366">
        <v>301</v>
      </c>
      <c r="D302" s="320" t="s">
        <v>1547</v>
      </c>
      <c r="E302" t="s">
        <v>1546</v>
      </c>
      <c r="F302" s="66">
        <v>2</v>
      </c>
      <c r="G302" s="66" t="s">
        <v>773</v>
      </c>
      <c r="H302" s="74" t="s">
        <v>771</v>
      </c>
      <c r="I302" s="307">
        <f t="shared" si="20"/>
        <v>0</v>
      </c>
      <c r="K302" s="66">
        <f t="shared" si="21"/>
        <v>0</v>
      </c>
      <c r="L302" s="66">
        <f t="shared" si="22"/>
        <v>0</v>
      </c>
      <c r="M302" s="66"/>
      <c r="N302" s="315">
        <f t="shared" si="23"/>
        <v>0</v>
      </c>
      <c r="P302" s="305" t="s">
        <v>1547</v>
      </c>
      <c r="Q302" t="s">
        <v>1971</v>
      </c>
      <c r="R302" s="66">
        <v>2</v>
      </c>
      <c r="S302" s="66" t="s">
        <v>773</v>
      </c>
      <c r="T302" s="74" t="s">
        <v>771</v>
      </c>
      <c r="U302" s="307">
        <f t="shared" si="24"/>
        <v>0</v>
      </c>
      <c r="V302" s="161"/>
    </row>
    <row r="303" spans="3:22">
      <c r="C303" s="366">
        <v>302</v>
      </c>
      <c r="D303" s="309" t="s">
        <v>656</v>
      </c>
      <c r="E303" s="139" t="s">
        <v>657</v>
      </c>
      <c r="F303" s="66">
        <v>2</v>
      </c>
      <c r="G303" s="66" t="s">
        <v>770</v>
      </c>
      <c r="H303" s="74" t="s">
        <v>771</v>
      </c>
      <c r="I303" s="307">
        <f t="shared" si="20"/>
        <v>1</v>
      </c>
      <c r="K303" s="66">
        <f t="shared" si="21"/>
        <v>0</v>
      </c>
      <c r="L303" s="66">
        <f t="shared" si="22"/>
        <v>0</v>
      </c>
      <c r="M303" s="66"/>
      <c r="N303" s="315">
        <f t="shared" si="23"/>
        <v>0</v>
      </c>
      <c r="P303" s="292" t="s">
        <v>656</v>
      </c>
      <c r="Q303" s="139" t="s">
        <v>1972</v>
      </c>
      <c r="R303" s="66">
        <v>2</v>
      </c>
      <c r="S303" s="66" t="s">
        <v>770</v>
      </c>
      <c r="T303" s="74" t="s">
        <v>771</v>
      </c>
      <c r="U303" s="307">
        <f t="shared" si="24"/>
        <v>1</v>
      </c>
      <c r="V303" s="161"/>
    </row>
    <row r="304" spans="3:22">
      <c r="C304" s="366">
        <v>303</v>
      </c>
      <c r="D304" s="309" t="s">
        <v>277</v>
      </c>
      <c r="E304" s="139" t="s">
        <v>278</v>
      </c>
      <c r="F304" s="66">
        <v>1</v>
      </c>
      <c r="G304" s="66" t="s">
        <v>773</v>
      </c>
      <c r="H304" s="74" t="s">
        <v>771</v>
      </c>
      <c r="I304" s="307">
        <f t="shared" si="20"/>
        <v>0</v>
      </c>
      <c r="K304" s="66">
        <f t="shared" si="21"/>
        <v>0</v>
      </c>
      <c r="L304" s="66">
        <f t="shared" si="22"/>
        <v>0</v>
      </c>
      <c r="M304" s="66"/>
      <c r="N304" s="315">
        <f t="shared" si="23"/>
        <v>0</v>
      </c>
      <c r="P304" s="292" t="s">
        <v>277</v>
      </c>
      <c r="Q304" s="139" t="s">
        <v>1777</v>
      </c>
      <c r="R304" s="297">
        <v>1</v>
      </c>
      <c r="S304" s="66" t="s">
        <v>773</v>
      </c>
      <c r="T304" s="74" t="s">
        <v>771</v>
      </c>
      <c r="U304" s="307">
        <f t="shared" si="24"/>
        <v>0</v>
      </c>
      <c r="V304" s="161"/>
    </row>
    <row r="305" spans="3:22">
      <c r="C305" s="366">
        <v>304</v>
      </c>
      <c r="D305" s="309" t="s">
        <v>667</v>
      </c>
      <c r="E305" s="139" t="s">
        <v>668</v>
      </c>
      <c r="F305" s="66">
        <v>2</v>
      </c>
      <c r="G305" s="66" t="s">
        <v>770</v>
      </c>
      <c r="H305" s="74" t="s">
        <v>771</v>
      </c>
      <c r="I305" s="307">
        <f t="shared" si="20"/>
        <v>1</v>
      </c>
      <c r="K305" s="66">
        <f t="shared" si="21"/>
        <v>0</v>
      </c>
      <c r="L305" s="66">
        <f t="shared" si="22"/>
        <v>0</v>
      </c>
      <c r="M305" s="66"/>
      <c r="N305" s="315">
        <f t="shared" si="23"/>
        <v>0</v>
      </c>
      <c r="P305" s="292" t="s">
        <v>667</v>
      </c>
      <c r="Q305" s="139" t="s">
        <v>1978</v>
      </c>
      <c r="R305" s="66">
        <v>2</v>
      </c>
      <c r="S305" s="66" t="s">
        <v>770</v>
      </c>
      <c r="T305" s="74" t="s">
        <v>771</v>
      </c>
      <c r="U305" s="307">
        <f t="shared" si="24"/>
        <v>1</v>
      </c>
      <c r="V305" s="161"/>
    </row>
    <row r="306" spans="3:22">
      <c r="C306" s="366">
        <v>305</v>
      </c>
      <c r="D306" s="309" t="s">
        <v>660</v>
      </c>
      <c r="E306" s="139" t="s">
        <v>661</v>
      </c>
      <c r="F306" s="66">
        <v>1</v>
      </c>
      <c r="G306" s="66" t="s">
        <v>773</v>
      </c>
      <c r="H306" s="74" t="s">
        <v>771</v>
      </c>
      <c r="I306" s="307">
        <f t="shared" si="20"/>
        <v>0</v>
      </c>
      <c r="K306" s="66">
        <f t="shared" si="21"/>
        <v>0</v>
      </c>
      <c r="L306" s="66">
        <f t="shared" si="22"/>
        <v>0</v>
      </c>
      <c r="M306" s="66"/>
      <c r="N306" s="315">
        <f t="shared" si="23"/>
        <v>0</v>
      </c>
      <c r="P306" s="292" t="s">
        <v>660</v>
      </c>
      <c r="Q306" s="139" t="s">
        <v>1974</v>
      </c>
      <c r="R306" s="66">
        <v>1</v>
      </c>
      <c r="S306" s="66" t="s">
        <v>773</v>
      </c>
      <c r="T306" s="74" t="s">
        <v>771</v>
      </c>
      <c r="U306" s="307">
        <f t="shared" si="24"/>
        <v>0</v>
      </c>
      <c r="V306" s="161"/>
    </row>
    <row r="307" spans="3:22">
      <c r="C307" s="366">
        <v>306</v>
      </c>
      <c r="D307" s="309" t="s">
        <v>734</v>
      </c>
      <c r="E307" s="139" t="s">
        <v>735</v>
      </c>
      <c r="F307" s="66">
        <v>1</v>
      </c>
      <c r="G307" s="66" t="s">
        <v>773</v>
      </c>
      <c r="H307" s="74" t="s">
        <v>771</v>
      </c>
      <c r="I307" s="307">
        <f t="shared" si="20"/>
        <v>0</v>
      </c>
      <c r="K307" s="66">
        <f t="shared" si="21"/>
        <v>0</v>
      </c>
      <c r="L307" s="66">
        <f t="shared" si="22"/>
        <v>0</v>
      </c>
      <c r="M307" s="66"/>
      <c r="N307" s="315">
        <f t="shared" si="23"/>
        <v>0</v>
      </c>
      <c r="P307" s="292" t="s">
        <v>734</v>
      </c>
      <c r="Q307" s="139" t="s">
        <v>2013</v>
      </c>
      <c r="R307" s="66">
        <v>1</v>
      </c>
      <c r="S307" s="66" t="s">
        <v>773</v>
      </c>
      <c r="T307" s="74" t="s">
        <v>771</v>
      </c>
      <c r="U307" s="307">
        <f t="shared" si="24"/>
        <v>0</v>
      </c>
      <c r="V307" s="161"/>
    </row>
    <row r="308" spans="3:22">
      <c r="C308" s="366">
        <v>307</v>
      </c>
      <c r="D308" s="309" t="s">
        <v>281</v>
      </c>
      <c r="E308" s="139" t="s">
        <v>282</v>
      </c>
      <c r="F308" s="66">
        <v>2</v>
      </c>
      <c r="G308" s="66" t="s">
        <v>773</v>
      </c>
      <c r="H308" s="74" t="s">
        <v>771</v>
      </c>
      <c r="I308" s="307">
        <f t="shared" si="20"/>
        <v>0</v>
      </c>
      <c r="K308" s="66">
        <f t="shared" si="21"/>
        <v>0</v>
      </c>
      <c r="L308" s="66">
        <f t="shared" si="22"/>
        <v>0</v>
      </c>
      <c r="M308" s="66"/>
      <c r="N308" s="315">
        <f t="shared" si="23"/>
        <v>0</v>
      </c>
      <c r="P308" s="292" t="s">
        <v>281</v>
      </c>
      <c r="Q308" s="139" t="s">
        <v>1779</v>
      </c>
      <c r="R308" s="66">
        <v>2</v>
      </c>
      <c r="S308" s="66" t="s">
        <v>773</v>
      </c>
      <c r="T308" s="74" t="s">
        <v>771</v>
      </c>
      <c r="U308" s="307">
        <f t="shared" si="24"/>
        <v>0</v>
      </c>
      <c r="V308" s="161"/>
    </row>
    <row r="309" spans="3:22">
      <c r="C309" s="366">
        <v>308</v>
      </c>
      <c r="D309" s="309" t="s">
        <v>220</v>
      </c>
      <c r="E309" s="139" t="s">
        <v>221</v>
      </c>
      <c r="F309" s="66">
        <v>1</v>
      </c>
      <c r="G309" s="66" t="s">
        <v>773</v>
      </c>
      <c r="H309" s="74" t="s">
        <v>771</v>
      </c>
      <c r="I309" s="307">
        <f t="shared" si="20"/>
        <v>0</v>
      </c>
      <c r="K309" s="66">
        <f t="shared" si="21"/>
        <v>0</v>
      </c>
      <c r="L309" s="66">
        <f t="shared" si="22"/>
        <v>0</v>
      </c>
      <c r="M309" s="66"/>
      <c r="N309" s="315">
        <f t="shared" si="23"/>
        <v>0</v>
      </c>
      <c r="P309" s="292" t="s">
        <v>220</v>
      </c>
      <c r="Q309" s="139" t="s">
        <v>1748</v>
      </c>
      <c r="R309" s="66">
        <v>1</v>
      </c>
      <c r="S309" s="66" t="s">
        <v>773</v>
      </c>
      <c r="T309" s="74" t="s">
        <v>771</v>
      </c>
      <c r="U309" s="307">
        <f t="shared" si="24"/>
        <v>0</v>
      </c>
      <c r="V309" s="161"/>
    </row>
    <row r="310" spans="3:22">
      <c r="C310" s="366">
        <v>309</v>
      </c>
      <c r="D310" s="309" t="s">
        <v>163</v>
      </c>
      <c r="E310" s="139" t="s">
        <v>164</v>
      </c>
      <c r="F310" s="66">
        <v>2</v>
      </c>
      <c r="G310" s="66" t="s">
        <v>770</v>
      </c>
      <c r="H310" s="74" t="s">
        <v>771</v>
      </c>
      <c r="I310" s="307">
        <f t="shared" si="20"/>
        <v>1</v>
      </c>
      <c r="K310" s="66">
        <f t="shared" si="21"/>
        <v>0</v>
      </c>
      <c r="L310" s="66">
        <f t="shared" si="22"/>
        <v>0</v>
      </c>
      <c r="M310" s="66"/>
      <c r="N310" s="315">
        <f t="shared" si="23"/>
        <v>0</v>
      </c>
      <c r="P310" s="292" t="s">
        <v>163</v>
      </c>
      <c r="Q310" s="139" t="s">
        <v>1718</v>
      </c>
      <c r="R310" s="66">
        <v>2</v>
      </c>
      <c r="S310" s="66" t="s">
        <v>770</v>
      </c>
      <c r="T310" s="74" t="s">
        <v>771</v>
      </c>
      <c r="U310" s="307">
        <f t="shared" si="24"/>
        <v>1</v>
      </c>
      <c r="V310" s="161"/>
    </row>
    <row r="311" spans="3:22">
      <c r="C311" s="366">
        <v>310</v>
      </c>
      <c r="D311" s="309" t="s">
        <v>255</v>
      </c>
      <c r="E311" s="139" t="s">
        <v>256</v>
      </c>
      <c r="F311" s="66">
        <v>2</v>
      </c>
      <c r="G311" s="66" t="s">
        <v>773</v>
      </c>
      <c r="H311" s="74" t="s">
        <v>771</v>
      </c>
      <c r="I311" s="307">
        <f t="shared" si="20"/>
        <v>0</v>
      </c>
      <c r="K311" s="66">
        <f t="shared" si="21"/>
        <v>0</v>
      </c>
      <c r="L311" s="66">
        <f t="shared" si="22"/>
        <v>0</v>
      </c>
      <c r="M311" s="66"/>
      <c r="N311" s="315">
        <f t="shared" si="23"/>
        <v>0</v>
      </c>
      <c r="P311" s="292" t="s">
        <v>255</v>
      </c>
      <c r="Q311" s="139" t="s">
        <v>1766</v>
      </c>
      <c r="R311" s="66">
        <v>2</v>
      </c>
      <c r="S311" s="66" t="s">
        <v>773</v>
      </c>
      <c r="T311" s="74" t="s">
        <v>771</v>
      </c>
      <c r="U311" s="307">
        <f t="shared" si="24"/>
        <v>0</v>
      </c>
      <c r="V311" s="161"/>
    </row>
    <row r="312" spans="3:22">
      <c r="C312" s="366">
        <v>311</v>
      </c>
      <c r="D312" s="309" t="s">
        <v>622</v>
      </c>
      <c r="E312" s="139" t="s">
        <v>623</v>
      </c>
      <c r="F312" s="66">
        <v>2</v>
      </c>
      <c r="G312" s="66" t="s">
        <v>770</v>
      </c>
      <c r="H312" s="74" t="s">
        <v>771</v>
      </c>
      <c r="I312" s="307">
        <f t="shared" si="20"/>
        <v>1</v>
      </c>
      <c r="K312" s="66">
        <f t="shared" si="21"/>
        <v>0</v>
      </c>
      <c r="L312" s="66">
        <f t="shared" si="22"/>
        <v>0</v>
      </c>
      <c r="M312" s="66"/>
      <c r="N312" s="315">
        <f t="shared" si="23"/>
        <v>0</v>
      </c>
      <c r="P312" s="292" t="s">
        <v>622</v>
      </c>
      <c r="Q312" s="139" t="s">
        <v>1953</v>
      </c>
      <c r="R312" s="66">
        <v>2</v>
      </c>
      <c r="S312" s="66" t="s">
        <v>770</v>
      </c>
      <c r="T312" s="74" t="s">
        <v>771</v>
      </c>
      <c r="U312" s="307">
        <f t="shared" si="24"/>
        <v>1</v>
      </c>
      <c r="V312" s="161"/>
    </row>
    <row r="313" spans="3:22">
      <c r="C313" s="366">
        <v>312</v>
      </c>
      <c r="D313" s="309" t="s">
        <v>201</v>
      </c>
      <c r="E313" s="139" t="s">
        <v>202</v>
      </c>
      <c r="F313" s="66">
        <v>1</v>
      </c>
      <c r="G313" s="66" t="s">
        <v>773</v>
      </c>
      <c r="H313" s="74" t="s">
        <v>771</v>
      </c>
      <c r="I313" s="307">
        <f t="shared" si="20"/>
        <v>0</v>
      </c>
      <c r="K313" s="66">
        <f t="shared" si="21"/>
        <v>0</v>
      </c>
      <c r="L313" s="66">
        <f t="shared" si="22"/>
        <v>0</v>
      </c>
      <c r="M313" s="66"/>
      <c r="N313" s="315">
        <f t="shared" si="23"/>
        <v>0</v>
      </c>
      <c r="P313" s="292" t="s">
        <v>201</v>
      </c>
      <c r="Q313" s="139" t="s">
        <v>1737</v>
      </c>
      <c r="R313" s="66">
        <v>1</v>
      </c>
      <c r="S313" s="66" t="s">
        <v>773</v>
      </c>
      <c r="T313" s="74" t="s">
        <v>771</v>
      </c>
      <c r="U313" s="307">
        <f t="shared" si="24"/>
        <v>0</v>
      </c>
      <c r="V313" s="161"/>
    </row>
    <row r="314" spans="3:22">
      <c r="C314" s="366">
        <v>313</v>
      </c>
      <c r="D314" s="309" t="s">
        <v>613</v>
      </c>
      <c r="E314" s="139" t="s">
        <v>803</v>
      </c>
      <c r="F314" s="66">
        <v>1</v>
      </c>
      <c r="G314" s="66" t="s">
        <v>773</v>
      </c>
      <c r="H314" s="74" t="s">
        <v>771</v>
      </c>
      <c r="I314" s="307">
        <f t="shared" si="20"/>
        <v>0</v>
      </c>
      <c r="K314" s="66">
        <f t="shared" si="21"/>
        <v>0</v>
      </c>
      <c r="L314" s="66">
        <f t="shared" si="22"/>
        <v>0</v>
      </c>
      <c r="M314" s="66"/>
      <c r="N314" s="315">
        <f t="shared" si="23"/>
        <v>0</v>
      </c>
      <c r="P314" s="292" t="s">
        <v>613</v>
      </c>
      <c r="Q314" s="139" t="s">
        <v>1948</v>
      </c>
      <c r="R314" s="66">
        <v>1</v>
      </c>
      <c r="S314" s="66" t="s">
        <v>773</v>
      </c>
      <c r="T314" s="74" t="s">
        <v>771</v>
      </c>
      <c r="U314" s="307">
        <f t="shared" si="24"/>
        <v>0</v>
      </c>
      <c r="V314" s="161"/>
    </row>
    <row r="315" spans="3:22">
      <c r="C315" s="366">
        <v>314</v>
      </c>
      <c r="D315" s="309" t="s">
        <v>736</v>
      </c>
      <c r="E315" s="139" t="s">
        <v>808</v>
      </c>
      <c r="F315" s="66">
        <v>1</v>
      </c>
      <c r="G315" s="66" t="s">
        <v>773</v>
      </c>
      <c r="H315" s="74" t="s">
        <v>771</v>
      </c>
      <c r="I315" s="307">
        <f t="shared" si="20"/>
        <v>0</v>
      </c>
      <c r="K315" s="66">
        <f t="shared" si="21"/>
        <v>0</v>
      </c>
      <c r="L315" s="66">
        <f t="shared" si="22"/>
        <v>0</v>
      </c>
      <c r="M315" s="66"/>
      <c r="N315" s="315">
        <f t="shared" si="23"/>
        <v>0</v>
      </c>
      <c r="P315" s="292" t="s">
        <v>736</v>
      </c>
      <c r="Q315" s="139" t="s">
        <v>2014</v>
      </c>
      <c r="R315" s="66">
        <v>1</v>
      </c>
      <c r="S315" s="66" t="s">
        <v>773</v>
      </c>
      <c r="T315" s="74" t="s">
        <v>771</v>
      </c>
      <c r="U315" s="307">
        <f t="shared" si="24"/>
        <v>0</v>
      </c>
      <c r="V315" s="161"/>
    </row>
    <row r="316" spans="3:22">
      <c r="C316" s="366">
        <v>315</v>
      </c>
      <c r="D316" s="321" t="s">
        <v>1692</v>
      </c>
      <c r="E316" s="73" t="s">
        <v>1695</v>
      </c>
      <c r="F316" s="66">
        <v>2</v>
      </c>
      <c r="G316" s="66" t="s">
        <v>773</v>
      </c>
      <c r="H316" s="74" t="s">
        <v>771</v>
      </c>
      <c r="I316" s="307">
        <f t="shared" si="20"/>
        <v>0</v>
      </c>
      <c r="K316" s="66">
        <f t="shared" si="21"/>
        <v>0</v>
      </c>
      <c r="L316" s="66">
        <f t="shared" si="22"/>
        <v>0</v>
      </c>
      <c r="M316" s="66"/>
      <c r="N316" s="315">
        <f t="shared" si="23"/>
        <v>0</v>
      </c>
      <c r="P316" s="286" t="s">
        <v>1692</v>
      </c>
      <c r="Q316" s="73" t="s">
        <v>2028</v>
      </c>
      <c r="R316" s="66">
        <v>2</v>
      </c>
      <c r="S316" s="66" t="s">
        <v>773</v>
      </c>
      <c r="T316" s="74" t="s">
        <v>771</v>
      </c>
      <c r="U316" s="307">
        <f t="shared" si="24"/>
        <v>0</v>
      </c>
      <c r="V316" s="161"/>
    </row>
    <row r="317" spans="3:22">
      <c r="C317" s="366">
        <v>316</v>
      </c>
      <c r="D317" s="309" t="s">
        <v>438</v>
      </c>
      <c r="E317" s="139" t="s">
        <v>439</v>
      </c>
      <c r="F317" s="66">
        <v>2</v>
      </c>
      <c r="G317" s="66" t="s">
        <v>770</v>
      </c>
      <c r="H317" s="74" t="s">
        <v>771</v>
      </c>
      <c r="I317" s="307">
        <f t="shared" si="20"/>
        <v>1</v>
      </c>
      <c r="K317" s="66">
        <f t="shared" si="21"/>
        <v>0</v>
      </c>
      <c r="L317" s="66">
        <f t="shared" si="22"/>
        <v>0</v>
      </c>
      <c r="M317" s="66"/>
      <c r="N317" s="315">
        <f t="shared" si="23"/>
        <v>0</v>
      </c>
      <c r="P317" s="292" t="s">
        <v>438</v>
      </c>
      <c r="Q317" s="139" t="s">
        <v>1861</v>
      </c>
      <c r="R317" s="66">
        <v>2</v>
      </c>
      <c r="S317" s="66" t="s">
        <v>770</v>
      </c>
      <c r="T317" s="74" t="s">
        <v>771</v>
      </c>
      <c r="U317" s="307">
        <f t="shared" si="24"/>
        <v>1</v>
      </c>
      <c r="V317" s="161"/>
    </row>
    <row r="318" spans="3:22">
      <c r="C318" s="366">
        <v>317</v>
      </c>
      <c r="D318" s="309" t="s">
        <v>531</v>
      </c>
      <c r="E318" s="139" t="s">
        <v>532</v>
      </c>
      <c r="F318" s="66">
        <v>1</v>
      </c>
      <c r="G318" s="66" t="s">
        <v>773</v>
      </c>
      <c r="H318" s="74" t="s">
        <v>771</v>
      </c>
      <c r="I318" s="307">
        <f t="shared" si="20"/>
        <v>0</v>
      </c>
      <c r="K318" s="66">
        <f t="shared" si="21"/>
        <v>0</v>
      </c>
      <c r="L318" s="66">
        <f t="shared" si="22"/>
        <v>0</v>
      </c>
      <c r="M318" s="66"/>
      <c r="N318" s="315">
        <f t="shared" si="23"/>
        <v>0</v>
      </c>
      <c r="P318" s="292" t="s">
        <v>531</v>
      </c>
      <c r="Q318" s="139" t="s">
        <v>1906</v>
      </c>
      <c r="R318" s="66">
        <v>1</v>
      </c>
      <c r="S318" s="66" t="s">
        <v>773</v>
      </c>
      <c r="T318" s="74" t="s">
        <v>771</v>
      </c>
      <c r="U318" s="307">
        <f t="shared" si="24"/>
        <v>0</v>
      </c>
      <c r="V318" s="161"/>
    </row>
    <row r="319" spans="3:22">
      <c r="C319" s="366">
        <v>318</v>
      </c>
      <c r="D319" s="309" t="s">
        <v>412</v>
      </c>
      <c r="E319" s="139" t="s">
        <v>413</v>
      </c>
      <c r="F319" s="66">
        <v>2</v>
      </c>
      <c r="G319" s="66" t="s">
        <v>773</v>
      </c>
      <c r="H319" s="74" t="s">
        <v>771</v>
      </c>
      <c r="I319" s="307">
        <f t="shared" si="20"/>
        <v>0</v>
      </c>
      <c r="K319" s="66">
        <f t="shared" si="21"/>
        <v>0</v>
      </c>
      <c r="L319" s="66">
        <f t="shared" si="22"/>
        <v>0</v>
      </c>
      <c r="M319" s="66"/>
      <c r="N319" s="315">
        <f t="shared" si="23"/>
        <v>0</v>
      </c>
      <c r="P319" s="292" t="s">
        <v>412</v>
      </c>
      <c r="Q319" s="139" t="s">
        <v>1848</v>
      </c>
      <c r="R319" s="66">
        <v>2</v>
      </c>
      <c r="S319" s="66" t="s">
        <v>773</v>
      </c>
      <c r="T319" s="74" t="s">
        <v>771</v>
      </c>
      <c r="U319" s="307">
        <f t="shared" si="24"/>
        <v>0</v>
      </c>
      <c r="V319" s="161"/>
    </row>
    <row r="320" spans="3:22">
      <c r="C320" s="366">
        <v>319</v>
      </c>
      <c r="D320" s="310" t="s">
        <v>1696</v>
      </c>
      <c r="E320" s="73" t="s">
        <v>1697</v>
      </c>
      <c r="F320" s="66">
        <v>2</v>
      </c>
      <c r="G320" s="66" t="s">
        <v>773</v>
      </c>
      <c r="H320" s="74" t="s">
        <v>771</v>
      </c>
      <c r="I320" s="307">
        <f t="shared" si="20"/>
        <v>0</v>
      </c>
      <c r="K320" s="66">
        <f t="shared" si="21"/>
        <v>0</v>
      </c>
      <c r="L320" s="66">
        <f t="shared" si="22"/>
        <v>0</v>
      </c>
      <c r="M320" s="66"/>
      <c r="N320" s="315">
        <f t="shared" si="23"/>
        <v>0</v>
      </c>
      <c r="P320" s="172" t="s">
        <v>1696</v>
      </c>
      <c r="Q320" s="73" t="s">
        <v>2578</v>
      </c>
      <c r="R320" s="66">
        <v>2</v>
      </c>
      <c r="S320" s="66" t="s">
        <v>773</v>
      </c>
      <c r="T320" s="74" t="s">
        <v>771</v>
      </c>
      <c r="U320" s="307">
        <f t="shared" si="24"/>
        <v>0</v>
      </c>
      <c r="V320" s="161"/>
    </row>
    <row r="321" spans="3:22">
      <c r="C321" s="366">
        <v>320</v>
      </c>
      <c r="D321" s="309" t="s">
        <v>452</v>
      </c>
      <c r="E321" s="139" t="s">
        <v>453</v>
      </c>
      <c r="F321" s="66">
        <v>2</v>
      </c>
      <c r="G321" s="66" t="s">
        <v>770</v>
      </c>
      <c r="H321" s="74" t="s">
        <v>771</v>
      </c>
      <c r="I321" s="307">
        <f t="shared" si="20"/>
        <v>1</v>
      </c>
      <c r="K321" s="66">
        <f t="shared" si="21"/>
        <v>0</v>
      </c>
      <c r="L321" s="66">
        <f t="shared" si="22"/>
        <v>0</v>
      </c>
      <c r="M321" s="66"/>
      <c r="N321" s="315">
        <f t="shared" si="23"/>
        <v>0</v>
      </c>
      <c r="P321" s="292" t="s">
        <v>452</v>
      </c>
      <c r="Q321" s="139" t="s">
        <v>1868</v>
      </c>
      <c r="R321" s="66">
        <v>2</v>
      </c>
      <c r="S321" s="66" t="s">
        <v>770</v>
      </c>
      <c r="T321" s="74" t="s">
        <v>771</v>
      </c>
      <c r="U321" s="307">
        <f t="shared" si="24"/>
        <v>1</v>
      </c>
      <c r="V321" s="161"/>
    </row>
    <row r="322" spans="3:22">
      <c r="C322" s="366">
        <v>321</v>
      </c>
      <c r="D322" s="309" t="s">
        <v>495</v>
      </c>
      <c r="E322" s="139" t="s">
        <v>496</v>
      </c>
      <c r="F322" s="66">
        <v>2</v>
      </c>
      <c r="G322" s="66" t="s">
        <v>770</v>
      </c>
      <c r="H322" s="74" t="s">
        <v>771</v>
      </c>
      <c r="I322" s="307">
        <f t="shared" ref="I322:I331" si="25">IF(+G322="cash",1,0)</f>
        <v>1</v>
      </c>
      <c r="K322" s="66">
        <f t="shared" ref="K322:K331" si="26">+F322-R322</f>
        <v>0</v>
      </c>
      <c r="L322" s="66">
        <f t="shared" ref="L322:L331" si="27">+I322-U322</f>
        <v>0</v>
      </c>
      <c r="M322" s="66"/>
      <c r="N322" s="315">
        <f t="shared" ref="N322:N331" si="28">+P322-D322</f>
        <v>0</v>
      </c>
      <c r="P322" s="292" t="s">
        <v>495</v>
      </c>
      <c r="Q322" s="139" t="s">
        <v>1889</v>
      </c>
      <c r="R322" s="66">
        <v>2</v>
      </c>
      <c r="S322" s="66" t="s">
        <v>770</v>
      </c>
      <c r="T322" s="74" t="s">
        <v>771</v>
      </c>
      <c r="U322" s="307">
        <f t="shared" ref="U322:U331" si="29">IF(+S322="cash",1,0)</f>
        <v>1</v>
      </c>
      <c r="V322" s="161"/>
    </row>
    <row r="323" spans="3:22">
      <c r="C323" s="366">
        <v>322</v>
      </c>
      <c r="D323" s="309" t="s">
        <v>293</v>
      </c>
      <c r="E323" s="139" t="s">
        <v>294</v>
      </c>
      <c r="F323" s="66">
        <v>2</v>
      </c>
      <c r="G323" s="66" t="s">
        <v>770</v>
      </c>
      <c r="H323" s="74" t="s">
        <v>771</v>
      </c>
      <c r="I323" s="307">
        <f t="shared" si="25"/>
        <v>1</v>
      </c>
      <c r="K323" s="66">
        <f t="shared" si="26"/>
        <v>0</v>
      </c>
      <c r="L323" s="66">
        <f t="shared" si="27"/>
        <v>0</v>
      </c>
      <c r="M323" s="66"/>
      <c r="N323" s="315">
        <f t="shared" si="28"/>
        <v>0</v>
      </c>
      <c r="P323" s="292" t="s">
        <v>293</v>
      </c>
      <c r="Q323" s="139" t="s">
        <v>1785</v>
      </c>
      <c r="R323" s="66">
        <v>2</v>
      </c>
      <c r="S323" s="66" t="s">
        <v>770</v>
      </c>
      <c r="T323" s="74" t="s">
        <v>771</v>
      </c>
      <c r="U323" s="307">
        <f t="shared" si="29"/>
        <v>1</v>
      </c>
      <c r="V323" s="161"/>
    </row>
    <row r="324" spans="3:22">
      <c r="C324" s="366">
        <v>323</v>
      </c>
      <c r="D324" s="309" t="s">
        <v>426</v>
      </c>
      <c r="E324" s="139" t="s">
        <v>427</v>
      </c>
      <c r="F324" s="66">
        <v>2</v>
      </c>
      <c r="G324" s="66" t="s">
        <v>770</v>
      </c>
      <c r="H324" s="74" t="s">
        <v>771</v>
      </c>
      <c r="I324" s="307">
        <f t="shared" si="25"/>
        <v>1</v>
      </c>
      <c r="K324" s="66">
        <f t="shared" si="26"/>
        <v>0</v>
      </c>
      <c r="L324" s="66">
        <f t="shared" si="27"/>
        <v>0</v>
      </c>
      <c r="M324" s="66"/>
      <c r="N324" s="315">
        <f t="shared" si="28"/>
        <v>0</v>
      </c>
      <c r="P324" s="292" t="s">
        <v>426</v>
      </c>
      <c r="Q324" s="139" t="s">
        <v>1855</v>
      </c>
      <c r="R324" s="66">
        <v>2</v>
      </c>
      <c r="S324" s="66" t="s">
        <v>770</v>
      </c>
      <c r="T324" s="74" t="s">
        <v>771</v>
      </c>
      <c r="U324" s="307">
        <f t="shared" si="29"/>
        <v>1</v>
      </c>
      <c r="V324" s="161"/>
    </row>
    <row r="325" spans="3:22">
      <c r="C325" s="366">
        <v>324</v>
      </c>
      <c r="D325" s="309" t="s">
        <v>316</v>
      </c>
      <c r="E325" s="139" t="s">
        <v>317</v>
      </c>
      <c r="F325" s="66">
        <v>2</v>
      </c>
      <c r="G325" s="66" t="s">
        <v>770</v>
      </c>
      <c r="H325" s="74" t="s">
        <v>771</v>
      </c>
      <c r="I325" s="307">
        <f t="shared" si="25"/>
        <v>1</v>
      </c>
      <c r="K325" s="66">
        <f t="shared" si="26"/>
        <v>0</v>
      </c>
      <c r="L325" s="66">
        <f t="shared" si="27"/>
        <v>0</v>
      </c>
      <c r="M325" s="66"/>
      <c r="N325" s="315">
        <f t="shared" si="28"/>
        <v>0</v>
      </c>
      <c r="P325" s="292" t="s">
        <v>316</v>
      </c>
      <c r="Q325" s="139" t="s">
        <v>1797</v>
      </c>
      <c r="R325" s="66">
        <v>2</v>
      </c>
      <c r="S325" s="66" t="s">
        <v>770</v>
      </c>
      <c r="T325" s="74" t="s">
        <v>771</v>
      </c>
      <c r="U325" s="307">
        <f t="shared" si="29"/>
        <v>1</v>
      </c>
      <c r="V325" s="161"/>
    </row>
    <row r="326" spans="3:22">
      <c r="C326" s="366">
        <v>325</v>
      </c>
      <c r="D326" s="309" t="s">
        <v>396</v>
      </c>
      <c r="E326" s="139" t="s">
        <v>397</v>
      </c>
      <c r="F326" s="66">
        <v>2</v>
      </c>
      <c r="G326" s="66" t="s">
        <v>770</v>
      </c>
      <c r="H326" s="74" t="s">
        <v>771</v>
      </c>
      <c r="I326" s="307">
        <f t="shared" si="25"/>
        <v>1</v>
      </c>
      <c r="K326" s="66">
        <f t="shared" si="26"/>
        <v>0</v>
      </c>
      <c r="L326" s="66">
        <f t="shared" si="27"/>
        <v>0</v>
      </c>
      <c r="M326" s="66"/>
      <c r="N326" s="315">
        <f t="shared" si="28"/>
        <v>0</v>
      </c>
      <c r="P326" s="292" t="s">
        <v>396</v>
      </c>
      <c r="Q326" s="139" t="s">
        <v>1840</v>
      </c>
      <c r="R326" s="66">
        <v>2</v>
      </c>
      <c r="S326" s="66" t="s">
        <v>770</v>
      </c>
      <c r="T326" s="74" t="s">
        <v>771</v>
      </c>
      <c r="U326" s="307">
        <f t="shared" si="29"/>
        <v>1</v>
      </c>
      <c r="V326" s="45"/>
    </row>
    <row r="327" spans="3:22">
      <c r="C327" s="366">
        <v>326</v>
      </c>
      <c r="D327" s="309" t="s">
        <v>241</v>
      </c>
      <c r="E327" s="139" t="s">
        <v>242</v>
      </c>
      <c r="F327" s="66">
        <v>1</v>
      </c>
      <c r="G327" s="66" t="s">
        <v>773</v>
      </c>
      <c r="H327" s="74" t="s">
        <v>771</v>
      </c>
      <c r="I327" s="307">
        <f t="shared" si="25"/>
        <v>0</v>
      </c>
      <c r="K327" s="66">
        <f t="shared" si="26"/>
        <v>0</v>
      </c>
      <c r="L327" s="66">
        <f t="shared" si="27"/>
        <v>0</v>
      </c>
      <c r="M327" s="66"/>
      <c r="N327" s="315">
        <f t="shared" si="28"/>
        <v>0</v>
      </c>
      <c r="P327" s="292" t="s">
        <v>241</v>
      </c>
      <c r="Q327" s="139" t="s">
        <v>1759</v>
      </c>
      <c r="R327" s="66">
        <v>1</v>
      </c>
      <c r="S327" s="66" t="s">
        <v>773</v>
      </c>
      <c r="T327" s="74" t="s">
        <v>771</v>
      </c>
      <c r="U327" s="307">
        <f t="shared" si="29"/>
        <v>0</v>
      </c>
      <c r="V327" s="45"/>
    </row>
    <row r="328" spans="3:22">
      <c r="C328" s="366">
        <v>327</v>
      </c>
      <c r="D328" s="315" t="s">
        <v>1555</v>
      </c>
      <c r="E328" s="541" t="s">
        <v>1593</v>
      </c>
      <c r="F328" s="66">
        <v>2</v>
      </c>
      <c r="G328" s="66" t="s">
        <v>773</v>
      </c>
      <c r="H328" s="74" t="s">
        <v>771</v>
      </c>
      <c r="I328" s="307">
        <f t="shared" si="25"/>
        <v>0</v>
      </c>
      <c r="K328" s="66">
        <f t="shared" si="26"/>
        <v>0</v>
      </c>
      <c r="L328" s="66">
        <f t="shared" si="27"/>
        <v>0</v>
      </c>
      <c r="M328" s="66"/>
      <c r="N328" s="315">
        <f t="shared" si="28"/>
        <v>0</v>
      </c>
      <c r="P328" s="300" t="s">
        <v>1555</v>
      </c>
      <c r="Q328" s="541" t="s">
        <v>2016</v>
      </c>
      <c r="R328" s="66">
        <v>2</v>
      </c>
      <c r="S328" s="66" t="s">
        <v>773</v>
      </c>
      <c r="T328" s="74" t="s">
        <v>771</v>
      </c>
      <c r="U328" s="307">
        <f t="shared" si="29"/>
        <v>0</v>
      </c>
      <c r="V328" s="45"/>
    </row>
    <row r="329" spans="3:22" ht="17.25" customHeight="1">
      <c r="C329" s="366">
        <v>328</v>
      </c>
      <c r="D329" s="309" t="s">
        <v>715</v>
      </c>
      <c r="E329" s="139" t="s">
        <v>716</v>
      </c>
      <c r="F329" s="66">
        <v>1</v>
      </c>
      <c r="G329" s="66" t="s">
        <v>773</v>
      </c>
      <c r="H329" s="74" t="s">
        <v>771</v>
      </c>
      <c r="I329" s="307">
        <f t="shared" si="25"/>
        <v>0</v>
      </c>
      <c r="K329" s="66">
        <f t="shared" si="26"/>
        <v>0</v>
      </c>
      <c r="L329" s="66">
        <f t="shared" si="27"/>
        <v>0</v>
      </c>
      <c r="M329" s="66"/>
      <c r="N329" s="315">
        <f t="shared" si="28"/>
        <v>0</v>
      </c>
      <c r="P329" s="292" t="s">
        <v>715</v>
      </c>
      <c r="Q329" s="139" t="s">
        <v>2003</v>
      </c>
      <c r="R329" s="66">
        <v>1</v>
      </c>
      <c r="S329" s="66" t="s">
        <v>773</v>
      </c>
      <c r="T329" s="74" t="s">
        <v>771</v>
      </c>
      <c r="U329" s="307">
        <f t="shared" si="29"/>
        <v>0</v>
      </c>
      <c r="V329" s="45"/>
    </row>
    <row r="330" spans="3:22">
      <c r="C330" s="366">
        <v>329</v>
      </c>
      <c r="D330" s="309" t="s">
        <v>640</v>
      </c>
      <c r="E330" s="139" t="s">
        <v>641</v>
      </c>
      <c r="F330" s="66">
        <v>1</v>
      </c>
      <c r="G330" s="66" t="s">
        <v>773</v>
      </c>
      <c r="H330" s="74" t="s">
        <v>771</v>
      </c>
      <c r="I330" s="307">
        <f t="shared" si="25"/>
        <v>0</v>
      </c>
      <c r="K330" s="66">
        <f t="shared" si="26"/>
        <v>0</v>
      </c>
      <c r="L330" s="66">
        <f t="shared" si="27"/>
        <v>0</v>
      </c>
      <c r="M330" s="66"/>
      <c r="N330" s="315">
        <f t="shared" si="28"/>
        <v>0</v>
      </c>
      <c r="P330" s="292" t="s">
        <v>640</v>
      </c>
      <c r="Q330" s="139" t="s">
        <v>1963</v>
      </c>
      <c r="R330" s="66">
        <v>1</v>
      </c>
      <c r="S330" s="66" t="s">
        <v>773</v>
      </c>
      <c r="T330" s="74" t="s">
        <v>771</v>
      </c>
      <c r="U330" s="307">
        <f t="shared" si="29"/>
        <v>0</v>
      </c>
      <c r="V330" s="45"/>
    </row>
    <row r="331" spans="3:22">
      <c r="C331" s="366">
        <v>330</v>
      </c>
      <c r="D331" s="309" t="s">
        <v>732</v>
      </c>
      <c r="E331" s="306" t="s">
        <v>733</v>
      </c>
      <c r="F331" s="66">
        <v>2</v>
      </c>
      <c r="G331" s="66" t="s">
        <v>773</v>
      </c>
      <c r="H331" s="74" t="s">
        <v>771</v>
      </c>
      <c r="I331" s="307">
        <f t="shared" si="25"/>
        <v>0</v>
      </c>
      <c r="K331" s="66">
        <f t="shared" si="26"/>
        <v>0</v>
      </c>
      <c r="L331" s="66">
        <f t="shared" si="27"/>
        <v>0</v>
      </c>
      <c r="M331" s="66"/>
      <c r="N331" s="315">
        <f t="shared" si="28"/>
        <v>0</v>
      </c>
      <c r="P331" s="292" t="s">
        <v>732</v>
      </c>
      <c r="Q331" s="139" t="s">
        <v>2012</v>
      </c>
      <c r="R331" s="66">
        <v>2</v>
      </c>
      <c r="S331" s="66" t="s">
        <v>773</v>
      </c>
      <c r="T331" s="74" t="s">
        <v>771</v>
      </c>
      <c r="U331" s="307">
        <f t="shared" si="29"/>
        <v>0</v>
      </c>
      <c r="V331" s="45"/>
    </row>
    <row r="332" spans="3:22">
      <c r="P332" s="45"/>
      <c r="Q332" s="45"/>
      <c r="R332" s="68"/>
      <c r="S332" s="117"/>
      <c r="T332" s="117"/>
      <c r="U332" s="159"/>
      <c r="V332" s="45"/>
    </row>
    <row r="333" spans="3:22">
      <c r="R333"/>
      <c r="S333"/>
      <c r="T333"/>
    </row>
    <row r="334" spans="3:22">
      <c r="R334"/>
      <c r="S334"/>
      <c r="T334"/>
    </row>
    <row r="335" spans="3:22">
      <c r="R335"/>
      <c r="S335"/>
      <c r="T335"/>
    </row>
    <row r="336" spans="3:22">
      <c r="R336"/>
      <c r="S336"/>
      <c r="T336"/>
    </row>
    <row r="338" spans="18:20">
      <c r="R338"/>
      <c r="S338"/>
      <c r="T338"/>
    </row>
    <row r="339" spans="18:20">
      <c r="R339"/>
      <c r="S339"/>
      <c r="T339"/>
    </row>
    <row r="340" spans="18:20">
      <c r="R340"/>
      <c r="S340"/>
      <c r="T340"/>
    </row>
    <row r="341" spans="18:20">
      <c r="R341"/>
      <c r="S341"/>
      <c r="T341"/>
    </row>
    <row r="360" spans="22:22">
      <c r="V360" s="114"/>
    </row>
    <row r="361" spans="22:22">
      <c r="V361" s="114"/>
    </row>
    <row r="362" spans="22:22">
      <c r="V362" s="114"/>
    </row>
    <row r="363" spans="22:22">
      <c r="V363" s="114"/>
    </row>
    <row r="364" spans="22:22">
      <c r="V364" s="114"/>
    </row>
    <row r="365" spans="22:22">
      <c r="V365" s="114"/>
    </row>
    <row r="366" spans="22:22">
      <c r="V366" s="114"/>
    </row>
    <row r="367" spans="22:22">
      <c r="V367" s="114"/>
    </row>
    <row r="368" spans="22:22">
      <c r="V368" s="114"/>
    </row>
    <row r="369" spans="22:22">
      <c r="V369" s="114"/>
    </row>
  </sheetData>
  <sortState xmlns:xlrd2="http://schemas.microsoft.com/office/spreadsheetml/2017/richdata2" ref="C2:W331">
    <sortCondition ref="C2:C331"/>
  </sortState>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B12"/>
  <sheetViews>
    <sheetView workbookViewId="0">
      <selection activeCell="A3" sqref="A3"/>
    </sheetView>
  </sheetViews>
  <sheetFormatPr defaultRowHeight="14.4"/>
  <cols>
    <col min="1" max="1" width="25.5546875" bestFit="1" customWidth="1"/>
    <col min="2" max="2" width="14.77734375" customWidth="1"/>
  </cols>
  <sheetData>
    <row r="1" spans="1:2">
      <c r="A1" s="679" t="s">
        <v>158</v>
      </c>
      <c r="B1" s="679"/>
    </row>
    <row r="2" spans="1:2">
      <c r="A2" s="679" t="s">
        <v>51</v>
      </c>
      <c r="B2" s="679"/>
    </row>
    <row r="3" spans="1:2">
      <c r="A3" s="6" t="s">
        <v>150</v>
      </c>
    </row>
    <row r="5" spans="1:2">
      <c r="A5" s="735"/>
      <c r="B5" s="735"/>
    </row>
    <row r="7" spans="1:2">
      <c r="A7" s="7" t="s">
        <v>72</v>
      </c>
      <c r="B7" s="21">
        <f>SUM(B8:B12)</f>
        <v>0</v>
      </c>
    </row>
    <row r="8" spans="1:2">
      <c r="A8" s="22" t="s">
        <v>159</v>
      </c>
      <c r="B8" s="1">
        <v>0</v>
      </c>
    </row>
    <row r="9" spans="1:2">
      <c r="A9" s="22" t="s">
        <v>159</v>
      </c>
      <c r="B9" s="1">
        <v>0</v>
      </c>
    </row>
    <row r="10" spans="1:2">
      <c r="A10" s="22" t="s">
        <v>159</v>
      </c>
      <c r="B10" s="1">
        <v>0</v>
      </c>
    </row>
    <row r="11" spans="1:2">
      <c r="A11" s="22" t="s">
        <v>159</v>
      </c>
      <c r="B11" s="1">
        <v>0</v>
      </c>
    </row>
    <row r="12" spans="1:2">
      <c r="A12" s="22" t="s">
        <v>159</v>
      </c>
      <c r="B12" s="1">
        <v>0</v>
      </c>
    </row>
  </sheetData>
  <mergeCells count="3">
    <mergeCell ref="A1:B1"/>
    <mergeCell ref="A2:B2"/>
    <mergeCell ref="A5:B5"/>
  </mergeCells>
  <hyperlinks>
    <hyperlink ref="A3" location="'Fund Balance Summary'!A1" display="(Return to Summary Sheet)" xr:uid="{00000000-0004-0000-1100-000000000000}"/>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E28"/>
  <sheetViews>
    <sheetView workbookViewId="0">
      <selection sqref="A1:E1"/>
    </sheetView>
  </sheetViews>
  <sheetFormatPr defaultRowHeight="14.4"/>
  <cols>
    <col min="1" max="1" width="25.5546875" bestFit="1" customWidth="1"/>
    <col min="2" max="2" width="12.88671875" bestFit="1" customWidth="1"/>
    <col min="3" max="5" width="12.5546875" bestFit="1" customWidth="1"/>
  </cols>
  <sheetData>
    <row r="1" spans="1:5">
      <c r="A1" s="679" t="s">
        <v>160</v>
      </c>
      <c r="B1" s="679"/>
      <c r="C1" s="679"/>
      <c r="D1" s="679"/>
      <c r="E1" s="679"/>
    </row>
    <row r="2" spans="1:5">
      <c r="A2" s="679" t="s">
        <v>1134</v>
      </c>
      <c r="B2" s="679"/>
      <c r="C2" s="679"/>
      <c r="D2" s="679"/>
      <c r="E2" s="679"/>
    </row>
    <row r="3" spans="1:5">
      <c r="A3" s="6" t="s">
        <v>150</v>
      </c>
    </row>
    <row r="5" spans="1:5">
      <c r="A5" s="736"/>
      <c r="B5" s="736"/>
      <c r="C5" s="736"/>
      <c r="D5" s="736"/>
      <c r="E5" s="736"/>
    </row>
    <row r="7" spans="1:5">
      <c r="B7" t="s">
        <v>51</v>
      </c>
      <c r="C7" t="s">
        <v>6</v>
      </c>
      <c r="D7" t="s">
        <v>4</v>
      </c>
      <c r="E7" t="s">
        <v>7</v>
      </c>
    </row>
    <row r="8" spans="1:5">
      <c r="A8" t="s">
        <v>72</v>
      </c>
      <c r="B8" s="2">
        <f>SUM(B9:B28)</f>
        <v>0</v>
      </c>
      <c r="C8" s="2">
        <f>SUM(C9:C28)</f>
        <v>0</v>
      </c>
      <c r="D8" s="2">
        <f>SUM(D9:D28)</f>
        <v>0</v>
      </c>
      <c r="E8" s="2">
        <f>SUM(E9:E28)</f>
        <v>0</v>
      </c>
    </row>
    <row r="9" spans="1:5">
      <c r="A9" s="22" t="s">
        <v>161</v>
      </c>
      <c r="B9" s="1">
        <v>0</v>
      </c>
      <c r="C9" s="1">
        <v>0</v>
      </c>
      <c r="D9" s="1">
        <v>0</v>
      </c>
      <c r="E9" s="1">
        <v>0</v>
      </c>
    </row>
    <row r="10" spans="1:5">
      <c r="A10" s="22" t="s">
        <v>161</v>
      </c>
      <c r="B10" s="1">
        <v>0</v>
      </c>
      <c r="C10" s="1">
        <v>0</v>
      </c>
      <c r="D10" s="1">
        <v>0</v>
      </c>
      <c r="E10" s="1">
        <v>0</v>
      </c>
    </row>
    <row r="11" spans="1:5">
      <c r="A11" s="22" t="s">
        <v>161</v>
      </c>
      <c r="B11" s="1">
        <v>0</v>
      </c>
      <c r="C11" s="1">
        <v>0</v>
      </c>
      <c r="D11" s="1">
        <v>0</v>
      </c>
      <c r="E11" s="1">
        <v>0</v>
      </c>
    </row>
    <row r="12" spans="1:5">
      <c r="A12" s="22" t="s">
        <v>161</v>
      </c>
      <c r="B12" s="1">
        <v>0</v>
      </c>
      <c r="C12" s="1">
        <v>0</v>
      </c>
      <c r="D12" s="1">
        <v>0</v>
      </c>
      <c r="E12" s="1">
        <v>0</v>
      </c>
    </row>
    <row r="13" spans="1:5">
      <c r="A13" s="22" t="s">
        <v>161</v>
      </c>
      <c r="B13" s="1">
        <v>0</v>
      </c>
      <c r="C13" s="1">
        <v>0</v>
      </c>
      <c r="D13" s="1">
        <v>0</v>
      </c>
      <c r="E13" s="1">
        <v>0</v>
      </c>
    </row>
    <row r="14" spans="1:5">
      <c r="A14" s="22" t="s">
        <v>161</v>
      </c>
      <c r="B14" s="1">
        <v>0</v>
      </c>
      <c r="C14" s="1">
        <v>0</v>
      </c>
      <c r="D14" s="1">
        <v>0</v>
      </c>
      <c r="E14" s="1">
        <v>0</v>
      </c>
    </row>
    <row r="15" spans="1:5">
      <c r="A15" s="22" t="s">
        <v>161</v>
      </c>
      <c r="B15" s="1">
        <v>0</v>
      </c>
      <c r="C15" s="1">
        <v>0</v>
      </c>
      <c r="D15" s="1">
        <v>0</v>
      </c>
      <c r="E15" s="1">
        <v>0</v>
      </c>
    </row>
    <row r="16" spans="1:5">
      <c r="A16" s="22" t="s">
        <v>161</v>
      </c>
      <c r="B16" s="1">
        <v>0</v>
      </c>
      <c r="C16" s="1">
        <v>0</v>
      </c>
      <c r="D16" s="1">
        <v>0</v>
      </c>
      <c r="E16" s="1">
        <v>0</v>
      </c>
    </row>
    <row r="17" spans="1:5">
      <c r="A17" s="22" t="s">
        <v>161</v>
      </c>
      <c r="B17" s="1">
        <v>0</v>
      </c>
      <c r="C17" s="1">
        <v>0</v>
      </c>
      <c r="D17" s="1">
        <v>0</v>
      </c>
      <c r="E17" s="1">
        <v>0</v>
      </c>
    </row>
    <row r="18" spans="1:5">
      <c r="A18" s="22" t="s">
        <v>161</v>
      </c>
      <c r="B18" s="1">
        <v>0</v>
      </c>
      <c r="C18" s="1">
        <v>0</v>
      </c>
      <c r="D18" s="1">
        <v>0</v>
      </c>
      <c r="E18" s="1">
        <v>0</v>
      </c>
    </row>
    <row r="19" spans="1:5">
      <c r="A19" s="22" t="s">
        <v>161</v>
      </c>
      <c r="B19" s="1">
        <v>0</v>
      </c>
      <c r="C19" s="1">
        <v>0</v>
      </c>
      <c r="D19" s="1">
        <v>0</v>
      </c>
      <c r="E19" s="1">
        <v>0</v>
      </c>
    </row>
    <row r="20" spans="1:5">
      <c r="A20" s="22" t="s">
        <v>161</v>
      </c>
      <c r="B20" s="1">
        <v>0</v>
      </c>
      <c r="C20" s="1">
        <v>0</v>
      </c>
      <c r="D20" s="1">
        <v>0</v>
      </c>
      <c r="E20" s="1">
        <v>0</v>
      </c>
    </row>
    <row r="21" spans="1:5">
      <c r="A21" s="22" t="s">
        <v>161</v>
      </c>
      <c r="B21" s="1">
        <v>0</v>
      </c>
      <c r="C21" s="1">
        <v>0</v>
      </c>
      <c r="D21" s="1">
        <v>0</v>
      </c>
      <c r="E21" s="1">
        <v>0</v>
      </c>
    </row>
    <row r="22" spans="1:5">
      <c r="A22" s="22" t="s">
        <v>161</v>
      </c>
      <c r="B22" s="1">
        <v>0</v>
      </c>
      <c r="C22" s="1">
        <v>0</v>
      </c>
      <c r="D22" s="1">
        <v>0</v>
      </c>
      <c r="E22" s="1">
        <v>0</v>
      </c>
    </row>
    <row r="23" spans="1:5">
      <c r="A23" s="22" t="s">
        <v>161</v>
      </c>
      <c r="B23" s="1">
        <v>0</v>
      </c>
      <c r="C23" s="1">
        <v>0</v>
      </c>
      <c r="D23" s="1">
        <v>0</v>
      </c>
      <c r="E23" s="1">
        <v>0</v>
      </c>
    </row>
    <row r="24" spans="1:5">
      <c r="A24" s="22" t="s">
        <v>161</v>
      </c>
      <c r="B24" s="1">
        <v>0</v>
      </c>
      <c r="C24" s="1">
        <v>0</v>
      </c>
      <c r="D24" s="1">
        <v>0</v>
      </c>
      <c r="E24" s="1">
        <v>0</v>
      </c>
    </row>
    <row r="25" spans="1:5">
      <c r="A25" s="22" t="s">
        <v>161</v>
      </c>
      <c r="B25" s="1">
        <v>0</v>
      </c>
      <c r="C25" s="1">
        <v>0</v>
      </c>
      <c r="D25" s="1">
        <v>0</v>
      </c>
      <c r="E25" s="1">
        <v>0</v>
      </c>
    </row>
    <row r="26" spans="1:5">
      <c r="A26" s="22" t="s">
        <v>161</v>
      </c>
      <c r="B26" s="1">
        <v>0</v>
      </c>
      <c r="C26" s="1">
        <v>0</v>
      </c>
      <c r="D26" s="1">
        <v>0</v>
      </c>
      <c r="E26" s="1">
        <v>0</v>
      </c>
    </row>
    <row r="27" spans="1:5">
      <c r="A27" s="22" t="s">
        <v>161</v>
      </c>
      <c r="B27" s="1">
        <v>0</v>
      </c>
      <c r="C27" s="1">
        <v>0</v>
      </c>
      <c r="D27" s="1">
        <v>0</v>
      </c>
      <c r="E27" s="1">
        <v>0</v>
      </c>
    </row>
    <row r="28" spans="1:5">
      <c r="A28" s="22" t="s">
        <v>161</v>
      </c>
      <c r="B28" s="1">
        <v>0</v>
      </c>
      <c r="C28" s="1">
        <v>0</v>
      </c>
      <c r="D28" s="1">
        <v>0</v>
      </c>
      <c r="E28" s="1">
        <v>0</v>
      </c>
    </row>
  </sheetData>
  <mergeCells count="3">
    <mergeCell ref="A1:E1"/>
    <mergeCell ref="A2:E2"/>
    <mergeCell ref="A5:E5"/>
  </mergeCells>
  <hyperlinks>
    <hyperlink ref="A3" location="'Fund Balance Summary'!A1" display="(Return to Summary Sheet)" xr:uid="{00000000-0004-0000-1200-000000000000}"/>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sheetPr>
  <dimension ref="A1:B7"/>
  <sheetViews>
    <sheetView workbookViewId="0">
      <selection sqref="A1:B1"/>
    </sheetView>
  </sheetViews>
  <sheetFormatPr defaultRowHeight="14.4"/>
  <cols>
    <col min="1" max="1" width="27.88671875" bestFit="1" customWidth="1"/>
    <col min="2" max="2" width="21.88671875" customWidth="1"/>
  </cols>
  <sheetData>
    <row r="1" spans="1:2" ht="30.75" customHeight="1">
      <c r="A1" s="737" t="s">
        <v>149</v>
      </c>
      <c r="B1" s="737"/>
    </row>
    <row r="2" spans="1:2">
      <c r="A2" s="679" t="s">
        <v>102</v>
      </c>
      <c r="B2" s="679"/>
    </row>
    <row r="3" spans="1:2">
      <c r="A3" s="6" t="s">
        <v>150</v>
      </c>
    </row>
    <row r="5" spans="1:2">
      <c r="A5" t="s">
        <v>111</v>
      </c>
      <c r="B5" s="2"/>
    </row>
    <row r="6" spans="1:2">
      <c r="A6" t="s">
        <v>151</v>
      </c>
      <c r="B6" s="2">
        <v>0</v>
      </c>
    </row>
    <row r="7" spans="1:2">
      <c r="A7" t="s">
        <v>117</v>
      </c>
      <c r="B7" s="1">
        <f>+B5+B6</f>
        <v>0</v>
      </c>
    </row>
  </sheetData>
  <mergeCells count="2">
    <mergeCell ref="A1:B1"/>
    <mergeCell ref="A2:B2"/>
  </mergeCells>
  <hyperlinks>
    <hyperlink ref="A3" location="'Fund Balance Summary'!A1" display="(Return to Summary Sheet)" xr:uid="{00000000-0004-0000-1300-000000000000}"/>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C11"/>
  <sheetViews>
    <sheetView workbookViewId="0">
      <selection sqref="A1:C1"/>
    </sheetView>
  </sheetViews>
  <sheetFormatPr defaultRowHeight="14.4"/>
  <cols>
    <col min="1" max="1" width="35.33203125" bestFit="1" customWidth="1"/>
    <col min="2" max="2" width="14.33203125" style="2" bestFit="1" customWidth="1"/>
    <col min="3" max="3" width="15.33203125" style="2" bestFit="1" customWidth="1"/>
  </cols>
  <sheetData>
    <row r="1" spans="1:3">
      <c r="A1" s="679" t="s">
        <v>110</v>
      </c>
      <c r="B1" s="679"/>
      <c r="C1" s="679"/>
    </row>
    <row r="2" spans="1:3">
      <c r="A2" s="679" t="s">
        <v>98</v>
      </c>
      <c r="B2" s="679"/>
      <c r="C2" s="679"/>
    </row>
    <row r="3" spans="1:3">
      <c r="A3" s="6" t="s">
        <v>39</v>
      </c>
    </row>
    <row r="5" spans="1:3">
      <c r="A5" t="s">
        <v>111</v>
      </c>
      <c r="C5" s="1">
        <v>0</v>
      </c>
    </row>
    <row r="6" spans="1:3">
      <c r="A6" t="s">
        <v>112</v>
      </c>
    </row>
    <row r="7" spans="1:3">
      <c r="A7" t="s">
        <v>113</v>
      </c>
      <c r="B7" s="1">
        <v>0</v>
      </c>
    </row>
    <row r="8" spans="1:3">
      <c r="A8" t="s">
        <v>114</v>
      </c>
      <c r="B8" s="1">
        <v>0</v>
      </c>
    </row>
    <row r="9" spans="1:3">
      <c r="A9" t="s">
        <v>115</v>
      </c>
      <c r="C9" s="2">
        <f>+B7+B8</f>
        <v>0</v>
      </c>
    </row>
    <row r="10" spans="1:3">
      <c r="A10" t="s">
        <v>116</v>
      </c>
      <c r="C10" s="1">
        <v>0</v>
      </c>
    </row>
    <row r="11" spans="1:3" ht="16.2">
      <c r="A11" t="s">
        <v>117</v>
      </c>
      <c r="C11" s="8">
        <f>+C5+C9-C10</f>
        <v>0</v>
      </c>
    </row>
  </sheetData>
  <mergeCells count="2">
    <mergeCell ref="A1:C1"/>
    <mergeCell ref="A2:C2"/>
  </mergeCells>
  <hyperlinks>
    <hyperlink ref="A3" location="'Fund Balance Summary'!A1" display="(Return to summary sheet)" xr:uid="{00000000-0004-0000-1400-000000000000}"/>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C11"/>
  <sheetViews>
    <sheetView workbookViewId="0">
      <selection sqref="A1:C1"/>
    </sheetView>
  </sheetViews>
  <sheetFormatPr defaultRowHeight="14.4"/>
  <cols>
    <col min="1" max="1" width="35.33203125" bestFit="1" customWidth="1"/>
    <col min="2" max="2" width="14.33203125" style="2" bestFit="1" customWidth="1"/>
    <col min="3" max="3" width="15.33203125" style="2" bestFit="1" customWidth="1"/>
  </cols>
  <sheetData>
    <row r="1" spans="1:3">
      <c r="A1" s="679" t="s">
        <v>1161</v>
      </c>
      <c r="B1" s="679"/>
      <c r="C1" s="679"/>
    </row>
    <row r="2" spans="1:3">
      <c r="A2" s="679" t="s">
        <v>98</v>
      </c>
      <c r="B2" s="679"/>
      <c r="C2" s="679"/>
    </row>
    <row r="3" spans="1:3">
      <c r="A3" s="6" t="s">
        <v>39</v>
      </c>
    </row>
    <row r="5" spans="1:3">
      <c r="A5" t="s">
        <v>111</v>
      </c>
      <c r="C5" s="1">
        <v>0</v>
      </c>
    </row>
    <row r="6" spans="1:3">
      <c r="A6" t="s">
        <v>112</v>
      </c>
    </row>
    <row r="7" spans="1:3">
      <c r="A7" t="s">
        <v>124</v>
      </c>
      <c r="B7" s="1">
        <v>0</v>
      </c>
    </row>
    <row r="8" spans="1:3">
      <c r="A8" t="s">
        <v>125</v>
      </c>
      <c r="B8" s="1">
        <v>0</v>
      </c>
    </row>
    <row r="9" spans="1:3">
      <c r="A9" t="s">
        <v>115</v>
      </c>
      <c r="C9" s="2">
        <f>+B7+B8</f>
        <v>0</v>
      </c>
    </row>
    <row r="10" spans="1:3">
      <c r="A10" t="s">
        <v>126</v>
      </c>
      <c r="C10" s="1">
        <v>0</v>
      </c>
    </row>
    <row r="11" spans="1:3" ht="16.2">
      <c r="A11" t="s">
        <v>117</v>
      </c>
      <c r="C11" s="8">
        <f>+C5+C9-C10</f>
        <v>0</v>
      </c>
    </row>
  </sheetData>
  <mergeCells count="2">
    <mergeCell ref="A1:C1"/>
    <mergeCell ref="A2:C2"/>
  </mergeCells>
  <hyperlinks>
    <hyperlink ref="A3" location="'Fund Balance Summary'!A1" display="(Return to summary sheet)" xr:uid="{00000000-0004-0000-1500-000000000000}"/>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C11"/>
  <sheetViews>
    <sheetView workbookViewId="0">
      <selection sqref="A1:C1"/>
    </sheetView>
  </sheetViews>
  <sheetFormatPr defaultRowHeight="14.4"/>
  <cols>
    <col min="1" max="1" width="35.33203125" bestFit="1" customWidth="1"/>
    <col min="2" max="2" width="14.33203125" style="2" bestFit="1" customWidth="1"/>
    <col min="3" max="3" width="15.33203125" style="2" bestFit="1" customWidth="1"/>
  </cols>
  <sheetData>
    <row r="1" spans="1:3">
      <c r="A1" s="679" t="s">
        <v>118</v>
      </c>
      <c r="B1" s="679"/>
      <c r="C1" s="679"/>
    </row>
    <row r="2" spans="1:3">
      <c r="A2" s="679" t="s">
        <v>98</v>
      </c>
      <c r="B2" s="679"/>
      <c r="C2" s="679"/>
    </row>
    <row r="3" spans="1:3">
      <c r="A3" s="6" t="s">
        <v>39</v>
      </c>
    </row>
    <row r="5" spans="1:3">
      <c r="A5" t="s">
        <v>111</v>
      </c>
      <c r="C5" s="1">
        <v>0</v>
      </c>
    </row>
    <row r="6" spans="1:3">
      <c r="A6" t="s">
        <v>112</v>
      </c>
    </row>
    <row r="7" spans="1:3">
      <c r="A7" t="s">
        <v>127</v>
      </c>
      <c r="B7" s="1">
        <v>0</v>
      </c>
    </row>
    <row r="8" spans="1:3">
      <c r="A8" t="s">
        <v>128</v>
      </c>
      <c r="B8" s="1">
        <v>0</v>
      </c>
    </row>
    <row r="9" spans="1:3">
      <c r="A9" t="s">
        <v>115</v>
      </c>
      <c r="C9" s="2">
        <f>+B7+B8</f>
        <v>0</v>
      </c>
    </row>
    <row r="10" spans="1:3">
      <c r="A10" t="s">
        <v>129</v>
      </c>
      <c r="C10" s="1">
        <v>0</v>
      </c>
    </row>
    <row r="11" spans="1:3" ht="16.2">
      <c r="A11" t="s">
        <v>117</v>
      </c>
      <c r="C11" s="8">
        <f>+C5+C9-C10</f>
        <v>0</v>
      </c>
    </row>
  </sheetData>
  <mergeCells count="2">
    <mergeCell ref="A1:C1"/>
    <mergeCell ref="A2:C2"/>
  </mergeCells>
  <hyperlinks>
    <hyperlink ref="A3" location="'Fund Balance Summary'!A1" display="(Return to summary sheet)" xr:uid="{00000000-0004-0000-1600-000000000000}"/>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C11"/>
  <sheetViews>
    <sheetView workbookViewId="0">
      <selection sqref="A1:C1"/>
    </sheetView>
  </sheetViews>
  <sheetFormatPr defaultRowHeight="14.4"/>
  <cols>
    <col min="1" max="1" width="35.33203125" bestFit="1" customWidth="1"/>
    <col min="2" max="2" width="14.33203125" style="2" bestFit="1" customWidth="1"/>
    <col min="3" max="3" width="15.33203125" style="2" bestFit="1" customWidth="1"/>
  </cols>
  <sheetData>
    <row r="1" spans="1:3">
      <c r="A1" s="679" t="s">
        <v>119</v>
      </c>
      <c r="B1" s="679"/>
      <c r="C1" s="679"/>
    </row>
    <row r="2" spans="1:3">
      <c r="A2" s="679" t="s">
        <v>98</v>
      </c>
      <c r="B2" s="679"/>
      <c r="C2" s="679"/>
    </row>
    <row r="3" spans="1:3">
      <c r="A3" s="6" t="s">
        <v>39</v>
      </c>
    </row>
    <row r="5" spans="1:3">
      <c r="A5" t="s">
        <v>111</v>
      </c>
      <c r="C5" s="1">
        <v>0</v>
      </c>
    </row>
    <row r="6" spans="1:3">
      <c r="A6" t="s">
        <v>112</v>
      </c>
    </row>
    <row r="7" spans="1:3">
      <c r="A7" t="s">
        <v>130</v>
      </c>
      <c r="B7" s="1">
        <v>0</v>
      </c>
    </row>
    <row r="8" spans="1:3">
      <c r="A8" t="s">
        <v>131</v>
      </c>
      <c r="B8" s="1">
        <v>0</v>
      </c>
    </row>
    <row r="9" spans="1:3">
      <c r="A9" t="s">
        <v>115</v>
      </c>
      <c r="C9" s="2">
        <f>+B7+B8</f>
        <v>0</v>
      </c>
    </row>
    <row r="10" spans="1:3">
      <c r="A10" t="s">
        <v>132</v>
      </c>
      <c r="C10" s="1">
        <v>0</v>
      </c>
    </row>
    <row r="11" spans="1:3" ht="16.2">
      <c r="A11" t="s">
        <v>117</v>
      </c>
      <c r="C11" s="8">
        <f>+C5+C9-C10</f>
        <v>0</v>
      </c>
    </row>
  </sheetData>
  <mergeCells count="2">
    <mergeCell ref="A1:C1"/>
    <mergeCell ref="A2:C2"/>
  </mergeCells>
  <hyperlinks>
    <hyperlink ref="A3" location="'Fund Balance Summary'!A1" display="(Return to summary sheet)" xr:uid="{00000000-0004-0000-1700-000000000000}"/>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C11"/>
  <sheetViews>
    <sheetView workbookViewId="0">
      <selection sqref="A1:C1"/>
    </sheetView>
  </sheetViews>
  <sheetFormatPr defaultRowHeight="14.4"/>
  <cols>
    <col min="1" max="1" width="35.33203125" bestFit="1" customWidth="1"/>
    <col min="2" max="2" width="14.33203125" style="2" bestFit="1" customWidth="1"/>
    <col min="3" max="3" width="15.33203125" style="2" bestFit="1" customWidth="1"/>
  </cols>
  <sheetData>
    <row r="1" spans="1:3">
      <c r="A1" s="679" t="s">
        <v>120</v>
      </c>
      <c r="B1" s="679"/>
      <c r="C1" s="679"/>
    </row>
    <row r="2" spans="1:3">
      <c r="A2" s="679" t="s">
        <v>98</v>
      </c>
      <c r="B2" s="679"/>
      <c r="C2" s="679"/>
    </row>
    <row r="3" spans="1:3">
      <c r="A3" s="6" t="s">
        <v>39</v>
      </c>
    </row>
    <row r="5" spans="1:3">
      <c r="A5" t="s">
        <v>111</v>
      </c>
      <c r="C5" s="1">
        <v>0</v>
      </c>
    </row>
    <row r="6" spans="1:3">
      <c r="A6" t="s">
        <v>112</v>
      </c>
    </row>
    <row r="7" spans="1:3">
      <c r="A7" t="s">
        <v>133</v>
      </c>
      <c r="B7" s="1"/>
    </row>
    <row r="8" spans="1:3">
      <c r="A8" t="s">
        <v>134</v>
      </c>
      <c r="B8" s="1">
        <v>0</v>
      </c>
    </row>
    <row r="9" spans="1:3">
      <c r="A9" t="s">
        <v>115</v>
      </c>
      <c r="C9" s="2">
        <f>+B7+B8</f>
        <v>0</v>
      </c>
    </row>
    <row r="10" spans="1:3">
      <c r="A10" t="s">
        <v>135</v>
      </c>
      <c r="C10" s="1">
        <v>0</v>
      </c>
    </row>
    <row r="11" spans="1:3" ht="16.2">
      <c r="A11" t="s">
        <v>117</v>
      </c>
      <c r="C11" s="8">
        <f>+C5+C9-C10</f>
        <v>0</v>
      </c>
    </row>
  </sheetData>
  <mergeCells count="2">
    <mergeCell ref="A1:C1"/>
    <mergeCell ref="A2:C2"/>
  </mergeCells>
  <hyperlinks>
    <hyperlink ref="A3" location="'Fund Balance Summary'!A1" display="(Return to summary sheet)" xr:uid="{00000000-0004-0000-1800-000000000000}"/>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C11"/>
  <sheetViews>
    <sheetView workbookViewId="0">
      <selection sqref="A1:C1"/>
    </sheetView>
  </sheetViews>
  <sheetFormatPr defaultRowHeight="14.4"/>
  <cols>
    <col min="1" max="1" width="35.33203125" bestFit="1" customWidth="1"/>
    <col min="2" max="2" width="14.33203125" style="2" bestFit="1" customWidth="1"/>
    <col min="3" max="3" width="15.33203125" style="2" bestFit="1" customWidth="1"/>
  </cols>
  <sheetData>
    <row r="1" spans="1:3">
      <c r="A1" s="679" t="s">
        <v>121</v>
      </c>
      <c r="B1" s="679"/>
      <c r="C1" s="679"/>
    </row>
    <row r="2" spans="1:3">
      <c r="A2" s="679" t="s">
        <v>98</v>
      </c>
      <c r="B2" s="679"/>
      <c r="C2" s="679"/>
    </row>
    <row r="3" spans="1:3">
      <c r="A3" s="6" t="s">
        <v>39</v>
      </c>
    </row>
    <row r="5" spans="1:3">
      <c r="A5" t="s">
        <v>111</v>
      </c>
      <c r="C5" s="1">
        <v>0</v>
      </c>
    </row>
    <row r="6" spans="1:3">
      <c r="A6" t="s">
        <v>112</v>
      </c>
    </row>
    <row r="7" spans="1:3">
      <c r="A7" t="s">
        <v>136</v>
      </c>
      <c r="B7" s="1">
        <v>0</v>
      </c>
    </row>
    <row r="8" spans="1:3">
      <c r="A8" t="s">
        <v>137</v>
      </c>
      <c r="B8" s="1">
        <v>0</v>
      </c>
    </row>
    <row r="9" spans="1:3">
      <c r="A9" t="s">
        <v>115</v>
      </c>
      <c r="C9" s="2">
        <f>+B7+B8</f>
        <v>0</v>
      </c>
    </row>
    <row r="10" spans="1:3">
      <c r="A10" t="s">
        <v>138</v>
      </c>
      <c r="C10" s="1">
        <v>0</v>
      </c>
    </row>
    <row r="11" spans="1:3" ht="16.2">
      <c r="A11" t="s">
        <v>117</v>
      </c>
      <c r="C11" s="8">
        <f>+C5+C9-C10</f>
        <v>0</v>
      </c>
    </row>
  </sheetData>
  <mergeCells count="2">
    <mergeCell ref="A1:C1"/>
    <mergeCell ref="A2:C2"/>
  </mergeCells>
  <hyperlinks>
    <hyperlink ref="A3" location="'Fund Balance Summary'!A1" display="(Return to summary sheet)" xr:uid="{00000000-0004-0000-1900-000000000000}"/>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C11"/>
  <sheetViews>
    <sheetView workbookViewId="0">
      <selection activeCell="A3" sqref="A3"/>
    </sheetView>
  </sheetViews>
  <sheetFormatPr defaultRowHeight="14.4"/>
  <cols>
    <col min="1" max="1" width="35.33203125" bestFit="1" customWidth="1"/>
    <col min="2" max="2" width="14.33203125" style="2" bestFit="1" customWidth="1"/>
    <col min="3" max="3" width="15.33203125" style="2" bestFit="1" customWidth="1"/>
  </cols>
  <sheetData>
    <row r="1" spans="1:3">
      <c r="A1" s="679" t="s">
        <v>122</v>
      </c>
      <c r="B1" s="679"/>
      <c r="C1" s="679"/>
    </row>
    <row r="2" spans="1:3">
      <c r="A2" s="679" t="s">
        <v>98</v>
      </c>
      <c r="B2" s="679"/>
      <c r="C2" s="679"/>
    </row>
    <row r="3" spans="1:3">
      <c r="A3" s="6" t="s">
        <v>39</v>
      </c>
    </row>
    <row r="5" spans="1:3">
      <c r="A5" t="s">
        <v>111</v>
      </c>
      <c r="C5" s="1">
        <v>0</v>
      </c>
    </row>
    <row r="6" spans="1:3">
      <c r="A6" t="s">
        <v>112</v>
      </c>
    </row>
    <row r="7" spans="1:3">
      <c r="A7" t="s">
        <v>139</v>
      </c>
      <c r="B7" s="1">
        <v>0</v>
      </c>
    </row>
    <row r="8" spans="1:3">
      <c r="A8" t="s">
        <v>140</v>
      </c>
      <c r="B8" s="1">
        <v>0</v>
      </c>
    </row>
    <row r="9" spans="1:3">
      <c r="A9" t="s">
        <v>115</v>
      </c>
      <c r="C9" s="2">
        <f>+B7+B8</f>
        <v>0</v>
      </c>
    </row>
    <row r="10" spans="1:3">
      <c r="A10" t="s">
        <v>141</v>
      </c>
      <c r="C10" s="1">
        <v>0</v>
      </c>
    </row>
    <row r="11" spans="1:3" ht="16.2">
      <c r="A11" t="s">
        <v>117</v>
      </c>
      <c r="C11" s="8">
        <f>+C5+C9-C10</f>
        <v>0</v>
      </c>
    </row>
  </sheetData>
  <mergeCells count="2">
    <mergeCell ref="A1:C1"/>
    <mergeCell ref="A2:C2"/>
  </mergeCells>
  <hyperlinks>
    <hyperlink ref="A3" location="'Fund Balance Summary'!A1" display="(Return to summary sheet)" xr:uid="{00000000-0004-0000-1A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S60"/>
  <sheetViews>
    <sheetView tabSelected="1" zoomScale="80" zoomScaleNormal="80" workbookViewId="0">
      <pane ySplit="4" topLeftCell="A5" activePane="bottomLeft" state="frozen"/>
      <selection pane="bottomLeft" activeCell="C2" sqref="C2"/>
    </sheetView>
  </sheetViews>
  <sheetFormatPr defaultRowHeight="14.4"/>
  <cols>
    <col min="1" max="1" width="47.5546875" bestFit="1" customWidth="1"/>
    <col min="2" max="2" width="18.109375" bestFit="1" customWidth="1"/>
    <col min="3" max="3" width="15.88671875" customWidth="1"/>
    <col min="4" max="4" width="15.44140625" bestFit="1" customWidth="1"/>
    <col min="5" max="5" width="16.44140625" bestFit="1" customWidth="1"/>
    <col min="6" max="6" width="15.44140625" bestFit="1" customWidth="1"/>
    <col min="7" max="7" width="14.21875" customWidth="1"/>
    <col min="8" max="11" width="1.109375" customWidth="1"/>
    <col min="12" max="15" width="15.33203125" customWidth="1"/>
    <col min="16" max="16" width="2" customWidth="1"/>
    <col min="17" max="17" width="0.44140625" customWidth="1"/>
    <col min="18" max="18" width="24.44140625" customWidth="1"/>
    <col min="19" max="19" width="46.88671875" customWidth="1"/>
    <col min="20" max="20" width="5.44140625" customWidth="1"/>
    <col min="21" max="21" width="7" customWidth="1"/>
    <col min="22" max="22" width="4.5546875" customWidth="1"/>
    <col min="23" max="25" width="3.88671875" customWidth="1"/>
  </cols>
  <sheetData>
    <row r="1" spans="1:19" ht="19.2">
      <c r="A1" s="155" t="s">
        <v>79</v>
      </c>
      <c r="B1" s="154" t="str">
        <f>INDEX(CCDDD!$P$2:$Q$331,MATCH(A2,CCDDD!$Q$2:$Q$331,0),1)</f>
        <v>14005</v>
      </c>
      <c r="C1" s="80"/>
      <c r="D1" s="80"/>
      <c r="E1" s="80"/>
      <c r="F1" s="80"/>
      <c r="G1" s="80"/>
      <c r="L1" s="671" t="s">
        <v>1561</v>
      </c>
      <c r="M1" s="672"/>
      <c r="N1" s="672"/>
      <c r="O1" s="673"/>
    </row>
    <row r="2" spans="1:19" ht="26.25" customHeight="1" thickBot="1">
      <c r="A2" s="668" t="s">
        <v>1787</v>
      </c>
      <c r="B2" s="668"/>
      <c r="L2" s="674" t="s">
        <v>2517</v>
      </c>
      <c r="M2" s="675"/>
      <c r="N2" s="675"/>
      <c r="O2" s="676"/>
    </row>
    <row r="3" spans="1:19" ht="18.600000000000001" thickBot="1">
      <c r="A3" s="80"/>
      <c r="B3" s="80"/>
      <c r="C3" s="80"/>
      <c r="D3" s="80"/>
      <c r="E3" s="80"/>
      <c r="F3" s="80"/>
      <c r="G3" s="80"/>
      <c r="L3" s="669" t="s">
        <v>1559</v>
      </c>
      <c r="M3" s="670"/>
      <c r="N3" s="118" t="s">
        <v>72</v>
      </c>
      <c r="O3" s="677" t="s">
        <v>1588</v>
      </c>
    </row>
    <row r="4" spans="1:19" ht="30.75" customHeight="1" thickBot="1">
      <c r="A4" s="620" t="s">
        <v>2517</v>
      </c>
      <c r="B4" s="621" t="s">
        <v>3</v>
      </c>
      <c r="C4" s="621" t="s">
        <v>6</v>
      </c>
      <c r="D4" s="621" t="s">
        <v>5</v>
      </c>
      <c r="E4" s="621" t="s">
        <v>4</v>
      </c>
      <c r="F4" s="621" t="s">
        <v>7</v>
      </c>
      <c r="G4" s="621" t="s">
        <v>8</v>
      </c>
      <c r="L4" s="157">
        <v>10</v>
      </c>
      <c r="M4" s="158">
        <v>11</v>
      </c>
      <c r="N4" s="119" t="s">
        <v>3</v>
      </c>
      <c r="O4" s="678"/>
    </row>
    <row r="5" spans="1:19" ht="15.6">
      <c r="A5" s="242" t="s">
        <v>1560</v>
      </c>
      <c r="B5" s="81">
        <v>0</v>
      </c>
      <c r="C5" s="81">
        <v>0</v>
      </c>
      <c r="D5" s="81">
        <v>0</v>
      </c>
      <c r="E5" s="81">
        <v>0</v>
      </c>
      <c r="F5" s="81">
        <v>0</v>
      </c>
      <c r="G5" s="81">
        <v>0</v>
      </c>
      <c r="L5" s="120"/>
      <c r="M5" s="121"/>
      <c r="N5" s="121"/>
      <c r="O5" s="122"/>
    </row>
    <row r="6" spans="1:19" ht="15.75" customHeight="1">
      <c r="A6" s="242" t="s">
        <v>1187</v>
      </c>
      <c r="B6" s="81">
        <v>0</v>
      </c>
      <c r="C6" s="81">
        <v>0</v>
      </c>
      <c r="D6" s="81">
        <v>0</v>
      </c>
      <c r="E6" s="81">
        <v>0</v>
      </c>
      <c r="F6" s="81">
        <v>0</v>
      </c>
      <c r="G6" s="81">
        <v>0</v>
      </c>
      <c r="L6" s="123"/>
      <c r="M6" s="124"/>
      <c r="N6" s="124"/>
      <c r="O6" s="125"/>
      <c r="R6" s="662" t="s">
        <v>2629</v>
      </c>
      <c r="S6" s="663"/>
    </row>
    <row r="7" spans="1:19" ht="15.75" customHeight="1">
      <c r="A7" s="242" t="s">
        <v>1</v>
      </c>
      <c r="B7" s="82">
        <f>B5-B6</f>
        <v>0</v>
      </c>
      <c r="C7" s="82">
        <f>C5-C6</f>
        <v>0</v>
      </c>
      <c r="D7" s="82">
        <f>D5-D6</f>
        <v>0</v>
      </c>
      <c r="E7" s="82">
        <f t="shared" ref="E7:G7" si="0">E5-E6</f>
        <v>0</v>
      </c>
      <c r="F7" s="82">
        <f t="shared" si="0"/>
        <v>0</v>
      </c>
      <c r="G7" s="82">
        <f t="shared" si="0"/>
        <v>0</v>
      </c>
      <c r="L7" s="126"/>
      <c r="M7" s="127"/>
      <c r="N7" s="124"/>
      <c r="O7" s="125"/>
      <c r="R7" s="664"/>
      <c r="S7" s="665"/>
    </row>
    <row r="8" spans="1:19" ht="15.75" customHeight="1">
      <c r="A8" s="80"/>
      <c r="B8" s="83"/>
      <c r="C8" s="80"/>
      <c r="D8" s="80"/>
      <c r="E8" s="80"/>
      <c r="F8" s="80"/>
      <c r="G8" s="80"/>
      <c r="L8" s="123"/>
      <c r="M8" s="124"/>
      <c r="N8" s="124"/>
      <c r="O8" s="125"/>
      <c r="R8" s="664"/>
      <c r="S8" s="665"/>
    </row>
    <row r="9" spans="1:19" ht="15.75" customHeight="1">
      <c r="A9" s="80" t="s">
        <v>2</v>
      </c>
      <c r="B9" s="84">
        <f>B10+B11</f>
        <v>0</v>
      </c>
      <c r="C9" s="84">
        <f>C10+C11</f>
        <v>0</v>
      </c>
      <c r="D9" s="84">
        <f>D10+D11</f>
        <v>0</v>
      </c>
      <c r="E9" s="84">
        <f t="shared" ref="E9:G9" si="1">E10+E11</f>
        <v>0</v>
      </c>
      <c r="F9" s="84">
        <f t="shared" si="1"/>
        <v>0</v>
      </c>
      <c r="G9" s="84">
        <f t="shared" si="1"/>
        <v>0</v>
      </c>
      <c r="L9" s="128">
        <f t="shared" ref="L9:N9" si="2">L10+L11</f>
        <v>0</v>
      </c>
      <c r="M9" s="129">
        <f t="shared" si="2"/>
        <v>0</v>
      </c>
      <c r="N9" s="130">
        <f t="shared" si="2"/>
        <v>0</v>
      </c>
      <c r="O9" s="142">
        <f>+B9-N9</f>
        <v>0</v>
      </c>
      <c r="R9" s="664"/>
      <c r="S9" s="665"/>
    </row>
    <row r="10" spans="1:19" ht="15.75" customHeight="1">
      <c r="A10" s="85" t="s">
        <v>9</v>
      </c>
      <c r="B10" s="84">
        <f>'GL 840 Nonspendable'!B9</f>
        <v>0</v>
      </c>
      <c r="C10" s="84">
        <f>'GL 840 Nonspendable'!B16</f>
        <v>0</v>
      </c>
      <c r="D10" s="83"/>
      <c r="E10" s="84">
        <f>'GL 840 Nonspendable'!B24</f>
        <v>0</v>
      </c>
      <c r="F10" s="83"/>
      <c r="G10" s="83"/>
      <c r="L10" s="131">
        <v>0</v>
      </c>
      <c r="M10" s="132">
        <v>0</v>
      </c>
      <c r="N10" s="130">
        <f>+L10+M10</f>
        <v>0</v>
      </c>
      <c r="O10" s="142">
        <f>+B10-N10</f>
        <v>0</v>
      </c>
      <c r="R10" s="664"/>
      <c r="S10" s="665"/>
    </row>
    <row r="11" spans="1:19" ht="15.75" customHeight="1">
      <c r="A11" s="85" t="s">
        <v>10</v>
      </c>
      <c r="B11" s="86"/>
      <c r="C11" s="86"/>
      <c r="D11" s="86"/>
      <c r="E11" s="86"/>
      <c r="F11" s="86"/>
      <c r="G11" s="87">
        <f>'GL 855 Nonspendable'!B7</f>
        <v>0</v>
      </c>
      <c r="L11" s="123"/>
      <c r="M11" s="124"/>
      <c r="N11" s="124"/>
      <c r="O11" s="125"/>
      <c r="R11" s="664"/>
      <c r="S11" s="665"/>
    </row>
    <row r="12" spans="1:19" ht="15.75" customHeight="1">
      <c r="A12" s="80"/>
      <c r="B12" s="83"/>
      <c r="C12" s="83"/>
      <c r="D12" s="83"/>
      <c r="E12" s="83"/>
      <c r="F12" s="83"/>
      <c r="G12" s="83"/>
      <c r="L12" s="123"/>
      <c r="M12" s="124"/>
      <c r="N12" s="124"/>
      <c r="O12" s="125"/>
      <c r="R12" s="664"/>
      <c r="S12" s="665"/>
    </row>
    <row r="13" spans="1:19" ht="15.75" customHeight="1">
      <c r="A13" s="80" t="s">
        <v>11</v>
      </c>
      <c r="B13" s="84">
        <f>SUM(B14:B32)</f>
        <v>1649794.9649999999</v>
      </c>
      <c r="C13" s="84">
        <f>SUM(C14:C32)</f>
        <v>0</v>
      </c>
      <c r="D13" s="84">
        <f>SUM(D15:D32)</f>
        <v>0</v>
      </c>
      <c r="E13" s="84">
        <f>SUM(E14:E32)</f>
        <v>0</v>
      </c>
      <c r="F13" s="84">
        <f>SUM(F16,F21:F22,F24)</f>
        <v>0</v>
      </c>
      <c r="G13" s="84">
        <f>SUM(G14:G32)</f>
        <v>0</v>
      </c>
      <c r="L13" s="128">
        <f t="shared" ref="L13:N13" si="3">SUM(L14:L32)</f>
        <v>0</v>
      </c>
      <c r="M13" s="129">
        <f t="shared" si="3"/>
        <v>0</v>
      </c>
      <c r="N13" s="130">
        <f t="shared" si="3"/>
        <v>0</v>
      </c>
      <c r="O13" s="142">
        <f>+B13-N13</f>
        <v>1649794.9649999999</v>
      </c>
      <c r="R13" s="664"/>
      <c r="S13" s="665"/>
    </row>
    <row r="14" spans="1:19" ht="15.75" customHeight="1">
      <c r="A14" s="85" t="s">
        <v>12</v>
      </c>
      <c r="B14" s="84">
        <f>'GL 810 Restricted'!B5</f>
        <v>0</v>
      </c>
      <c r="C14" s="84">
        <f>'GL 810 Restricted'!E5</f>
        <v>0</v>
      </c>
      <c r="D14" s="80"/>
      <c r="E14" s="84">
        <f>'GL 810 Restricted'!C5</f>
        <v>0</v>
      </c>
      <c r="F14" s="80"/>
      <c r="G14" s="84">
        <f>'GL 810 Restricted'!G5</f>
        <v>0</v>
      </c>
      <c r="L14" s="131">
        <v>0</v>
      </c>
      <c r="M14" s="132">
        <v>0</v>
      </c>
      <c r="N14" s="130">
        <f t="shared" ref="N14:N15" si="4">+L14+M14</f>
        <v>0</v>
      </c>
      <c r="O14" s="142">
        <f t="shared" ref="O14:O15" si="5">+B14-N14</f>
        <v>0</v>
      </c>
      <c r="R14" s="664"/>
      <c r="S14" s="665"/>
    </row>
    <row r="15" spans="1:19" ht="15.75" customHeight="1">
      <c r="A15" s="85" t="s">
        <v>13</v>
      </c>
      <c r="B15" s="84">
        <f>IF(VLOOKUP(B1,CCDDD!$P$2:$S$331,4,FALSE)="Cash",'GL 815 Restricted'!$C$14,0)</f>
        <v>0</v>
      </c>
      <c r="C15" s="83"/>
      <c r="D15" s="83"/>
      <c r="E15" s="83"/>
      <c r="F15" s="83"/>
      <c r="G15" s="83"/>
      <c r="L15" s="131">
        <v>0</v>
      </c>
      <c r="M15" s="132">
        <v>0</v>
      </c>
      <c r="N15" s="130">
        <f t="shared" si="4"/>
        <v>0</v>
      </c>
      <c r="O15" s="142">
        <f t="shared" si="5"/>
        <v>0</v>
      </c>
      <c r="R15" s="664"/>
      <c r="S15" s="665"/>
    </row>
    <row r="16" spans="1:19" ht="15.75" customHeight="1">
      <c r="A16" s="88" t="s">
        <v>1143</v>
      </c>
      <c r="B16" s="89"/>
      <c r="C16" s="90">
        <f>C7-C9-C14-C24</f>
        <v>0</v>
      </c>
      <c r="D16" s="83"/>
      <c r="E16" s="83"/>
      <c r="F16" s="91">
        <f>IF(F7-F9-F34-SUM(F21:F24)&gt;=0,F7-F9-F34-SUM(F21:F24),0)</f>
        <v>0</v>
      </c>
      <c r="G16" s="83"/>
      <c r="L16" s="123"/>
      <c r="M16" s="124"/>
      <c r="N16" s="124"/>
      <c r="O16" s="125"/>
      <c r="R16" s="664"/>
      <c r="S16" s="665"/>
    </row>
    <row r="17" spans="1:19" ht="15.6">
      <c r="A17" s="85" t="s">
        <v>14</v>
      </c>
      <c r="B17" s="84">
        <f>'GL 821 Restricted'!C171</f>
        <v>1649794.9649999999</v>
      </c>
      <c r="C17" s="83"/>
      <c r="D17" s="83"/>
      <c r="E17" s="83"/>
      <c r="F17" s="83"/>
      <c r="G17" s="83"/>
      <c r="L17" s="131">
        <v>0</v>
      </c>
      <c r="M17" s="132">
        <v>0</v>
      </c>
      <c r="N17" s="130">
        <f t="shared" ref="N17:N24" si="6">+L17+M17</f>
        <v>0</v>
      </c>
      <c r="O17" s="142">
        <f t="shared" ref="O17:O24" si="7">+B17-N17</f>
        <v>1649794.9649999999</v>
      </c>
      <c r="R17" s="664"/>
      <c r="S17" s="665"/>
    </row>
    <row r="18" spans="1:19" ht="15.6">
      <c r="A18" s="255" t="s">
        <v>2051</v>
      </c>
      <c r="B18" s="84">
        <f>'GL 823 Restricted'!F23</f>
        <v>0</v>
      </c>
      <c r="C18" s="83"/>
      <c r="D18" s="83"/>
      <c r="E18" s="83"/>
      <c r="F18" s="83"/>
      <c r="G18" s="83"/>
      <c r="L18" s="131">
        <v>0</v>
      </c>
      <c r="M18" s="132">
        <v>0</v>
      </c>
      <c r="N18" s="130">
        <f t="shared" ref="N18" si="8">+L18+M18</f>
        <v>0</v>
      </c>
      <c r="O18" s="142">
        <f t="shared" ref="O18" si="9">+B18-N18</f>
        <v>0</v>
      </c>
      <c r="R18" s="664"/>
      <c r="S18" s="665"/>
    </row>
    <row r="19" spans="1:19" ht="15.6">
      <c r="A19" s="85" t="s">
        <v>1094</v>
      </c>
      <c r="B19" s="84">
        <f>'GL 825 Restricted'!E44</f>
        <v>0</v>
      </c>
      <c r="C19" s="83"/>
      <c r="D19" s="83"/>
      <c r="E19" s="84">
        <f>'GL 825 Restricted'!E51</f>
        <v>0</v>
      </c>
      <c r="F19" s="83"/>
      <c r="G19" s="83"/>
      <c r="L19" s="131">
        <v>0</v>
      </c>
      <c r="M19" s="132">
        <v>0</v>
      </c>
      <c r="N19" s="130">
        <f t="shared" si="6"/>
        <v>0</v>
      </c>
      <c r="O19" s="142">
        <f t="shared" si="7"/>
        <v>0</v>
      </c>
      <c r="R19" s="664"/>
      <c r="S19" s="665"/>
    </row>
    <row r="20" spans="1:19" ht="15.6" customHeight="1">
      <c r="A20" s="85" t="s">
        <v>1138</v>
      </c>
      <c r="B20" s="84">
        <f>IF('GL 828 Restricted'!B37&gt;0,'GL 828 Restricted'!B37,0)</f>
        <v>0</v>
      </c>
      <c r="C20" s="83"/>
      <c r="D20" s="83"/>
      <c r="E20" s="83"/>
      <c r="F20" s="83"/>
      <c r="G20" s="83"/>
      <c r="L20" s="131">
        <v>0</v>
      </c>
      <c r="M20" s="132">
        <v>0</v>
      </c>
      <c r="N20" s="130">
        <f t="shared" si="6"/>
        <v>0</v>
      </c>
      <c r="O20" s="142">
        <f t="shared" si="7"/>
        <v>0</v>
      </c>
      <c r="R20" s="664"/>
      <c r="S20" s="665"/>
    </row>
    <row r="21" spans="1:19" ht="15.6" customHeight="1">
      <c r="A21" s="85" t="s">
        <v>15</v>
      </c>
      <c r="B21" s="84">
        <f>'GL 830 Restricted'!B6</f>
        <v>0</v>
      </c>
      <c r="C21" s="83"/>
      <c r="D21" s="90">
        <f>D7-D22-D45</f>
        <v>0</v>
      </c>
      <c r="E21" s="84">
        <f>'GL 830 Restricted'!C6</f>
        <v>0</v>
      </c>
      <c r="F21" s="84">
        <f>'GL 830 Restricted'!D6</f>
        <v>0</v>
      </c>
      <c r="G21" s="83"/>
      <c r="L21" s="131">
        <v>0</v>
      </c>
      <c r="M21" s="132">
        <v>0</v>
      </c>
      <c r="N21" s="130">
        <f t="shared" si="6"/>
        <v>0</v>
      </c>
      <c r="O21" s="142">
        <f t="shared" si="7"/>
        <v>0</v>
      </c>
      <c r="R21" s="664"/>
      <c r="S21" s="665"/>
    </row>
    <row r="22" spans="1:19" ht="15.6" customHeight="1">
      <c r="A22" s="85" t="s">
        <v>107</v>
      </c>
      <c r="B22" s="84">
        <f>'GL 835 Restricted'!B6</f>
        <v>0</v>
      </c>
      <c r="C22" s="83"/>
      <c r="D22" s="84">
        <f>'GL 835 Restricted'!C6</f>
        <v>0</v>
      </c>
      <c r="E22" s="84">
        <f>'GL 835 Restricted'!D6</f>
        <v>0</v>
      </c>
      <c r="F22" s="84">
        <f>'GL 835 Restricted'!E6</f>
        <v>0</v>
      </c>
      <c r="G22" s="83"/>
      <c r="L22" s="131">
        <v>0</v>
      </c>
      <c r="M22" s="132">
        <v>0</v>
      </c>
      <c r="N22" s="130">
        <f t="shared" si="6"/>
        <v>0</v>
      </c>
      <c r="O22" s="142">
        <f t="shared" si="7"/>
        <v>0</v>
      </c>
      <c r="R22" s="664"/>
      <c r="S22" s="665"/>
    </row>
    <row r="23" spans="1:19" ht="15.6" customHeight="1">
      <c r="A23" s="92" t="s">
        <v>16</v>
      </c>
      <c r="B23" s="84">
        <f>'GL 845 Restricted'!B7</f>
        <v>0</v>
      </c>
      <c r="C23" s="83"/>
      <c r="D23" s="83"/>
      <c r="E23" s="83"/>
      <c r="F23" s="83"/>
      <c r="G23" s="83"/>
      <c r="L23" s="131">
        <v>0</v>
      </c>
      <c r="M23" s="132">
        <v>0</v>
      </c>
      <c r="N23" s="130">
        <f t="shared" si="6"/>
        <v>0</v>
      </c>
      <c r="O23" s="142">
        <f t="shared" si="7"/>
        <v>0</v>
      </c>
      <c r="R23" s="666"/>
      <c r="S23" s="667"/>
    </row>
    <row r="24" spans="1:19" ht="15.6">
      <c r="A24" s="85" t="s">
        <v>17</v>
      </c>
      <c r="B24" s="84">
        <f>'GL 850 Restricted'!B8</f>
        <v>0</v>
      </c>
      <c r="C24" s="84">
        <f>'GL 850 Restricted'!C8</f>
        <v>0</v>
      </c>
      <c r="D24" s="83"/>
      <c r="E24" s="84">
        <f>'GL 850 Restricted'!D8</f>
        <v>0</v>
      </c>
      <c r="F24" s="84">
        <f>'GL 850 Restricted'!E8</f>
        <v>0</v>
      </c>
      <c r="G24" s="83"/>
      <c r="L24" s="131">
        <v>0</v>
      </c>
      <c r="M24" s="132">
        <v>0</v>
      </c>
      <c r="N24" s="130">
        <f t="shared" si="6"/>
        <v>0</v>
      </c>
      <c r="O24" s="142">
        <f t="shared" si="7"/>
        <v>0</v>
      </c>
    </row>
    <row r="25" spans="1:19" ht="15.6">
      <c r="A25" s="92" t="s">
        <v>18</v>
      </c>
      <c r="B25" s="86"/>
      <c r="C25" s="86"/>
      <c r="D25" s="86"/>
      <c r="E25" s="87">
        <f>'GL 861 CPF Restricted'!C11</f>
        <v>0</v>
      </c>
      <c r="F25" s="86"/>
      <c r="G25" s="86"/>
      <c r="L25" s="123"/>
      <c r="M25" s="124"/>
      <c r="N25" s="124"/>
      <c r="O25" s="125"/>
    </row>
    <row r="26" spans="1:19" ht="15.6">
      <c r="A26" s="85" t="s">
        <v>20</v>
      </c>
      <c r="B26" s="86"/>
      <c r="C26" s="86"/>
      <c r="D26" s="86"/>
      <c r="E26" s="87">
        <f>'GL 863 CPF Restricted'!C11</f>
        <v>0</v>
      </c>
      <c r="F26" s="86"/>
      <c r="G26" s="86"/>
      <c r="L26" s="123"/>
      <c r="M26" s="124"/>
      <c r="N26" s="124"/>
      <c r="O26" s="125"/>
    </row>
    <row r="27" spans="1:19" ht="15.6">
      <c r="A27" s="85" t="s">
        <v>21</v>
      </c>
      <c r="B27" s="86"/>
      <c r="C27" s="86"/>
      <c r="D27" s="86"/>
      <c r="E27" s="87">
        <f>'GL 864 CPF Restricted'!C11</f>
        <v>0</v>
      </c>
      <c r="F27" s="86"/>
      <c r="G27" s="86"/>
      <c r="L27" s="123"/>
      <c r="M27" s="124"/>
      <c r="N27" s="124"/>
      <c r="O27" s="125"/>
    </row>
    <row r="28" spans="1:19" ht="15.6">
      <c r="A28" s="92" t="s">
        <v>22</v>
      </c>
      <c r="B28" s="86"/>
      <c r="C28" s="86"/>
      <c r="D28" s="86"/>
      <c r="E28" s="87">
        <f>'GL 865 CPF Restricted'!C11</f>
        <v>0</v>
      </c>
      <c r="F28" s="86"/>
      <c r="G28" s="86"/>
      <c r="L28" s="123"/>
      <c r="M28" s="124"/>
      <c r="N28" s="124"/>
      <c r="O28" s="125"/>
    </row>
    <row r="29" spans="1:19" ht="15.6">
      <c r="A29" s="92" t="s">
        <v>23</v>
      </c>
      <c r="B29" s="86"/>
      <c r="C29" s="86"/>
      <c r="D29" s="86"/>
      <c r="E29" s="87">
        <f>'GL 866 CPF Restricted'!C11</f>
        <v>0</v>
      </c>
      <c r="F29" s="86"/>
      <c r="G29" s="86"/>
      <c r="L29" s="123"/>
      <c r="M29" s="124"/>
      <c r="N29" s="124"/>
      <c r="O29" s="125"/>
    </row>
    <row r="30" spans="1:19" ht="15.6">
      <c r="A30" s="85" t="s">
        <v>24</v>
      </c>
      <c r="B30" s="86"/>
      <c r="C30" s="86"/>
      <c r="D30" s="86"/>
      <c r="E30" s="87">
        <f>'GL 867 CPF Restricted'!C11</f>
        <v>0</v>
      </c>
      <c r="F30" s="86"/>
      <c r="G30" s="86"/>
      <c r="L30" s="123"/>
      <c r="M30" s="124"/>
      <c r="N30" s="124"/>
      <c r="O30" s="125"/>
    </row>
    <row r="31" spans="1:19" ht="15.6">
      <c r="A31" s="228" t="s">
        <v>2631</v>
      </c>
      <c r="B31" s="86"/>
      <c r="C31" s="86"/>
      <c r="D31" s="86"/>
      <c r="E31" s="87">
        <f>'GL 868 CPF Restricted'!C8</f>
        <v>0</v>
      </c>
      <c r="F31" s="86"/>
      <c r="G31" s="86"/>
      <c r="L31" s="123"/>
      <c r="M31" s="124"/>
      <c r="N31" s="124"/>
      <c r="O31" s="125"/>
    </row>
    <row r="32" spans="1:19" ht="15.6">
      <c r="A32" s="85" t="s">
        <v>25</v>
      </c>
      <c r="B32" s="86"/>
      <c r="C32" s="86"/>
      <c r="D32" s="86"/>
      <c r="E32" s="87">
        <f>'GL 869 CPF Restricted'!C11</f>
        <v>0</v>
      </c>
      <c r="F32" s="86"/>
      <c r="G32" s="86"/>
      <c r="L32" s="123"/>
      <c r="M32" s="124"/>
      <c r="N32" s="124"/>
      <c r="O32" s="125"/>
    </row>
    <row r="33" spans="1:15" ht="15.6">
      <c r="A33" s="80"/>
      <c r="B33" s="83"/>
      <c r="C33" s="83"/>
      <c r="D33" s="83"/>
      <c r="E33" s="83"/>
      <c r="F33" s="83"/>
      <c r="G33" s="83"/>
      <c r="L33" s="123"/>
      <c r="M33" s="124"/>
      <c r="N33" s="124"/>
      <c r="O33" s="125"/>
    </row>
    <row r="34" spans="1:15" ht="15.6">
      <c r="A34" s="93" t="s">
        <v>26</v>
      </c>
      <c r="B34" s="84">
        <f>SUM(B35:B38)</f>
        <v>0</v>
      </c>
      <c r="C34" s="89"/>
      <c r="D34" s="89"/>
      <c r="E34" s="84">
        <f>SUM(E35:E38)</f>
        <v>0</v>
      </c>
      <c r="F34" s="84">
        <f>SUM(F35:F38)</f>
        <v>0</v>
      </c>
      <c r="G34" s="84">
        <f>SUM(G35:G38)</f>
        <v>0</v>
      </c>
      <c r="L34" s="128">
        <f t="shared" ref="L34:N34" si="10">SUM(L35:L38)</f>
        <v>0</v>
      </c>
      <c r="M34" s="129">
        <f t="shared" si="10"/>
        <v>0</v>
      </c>
      <c r="N34" s="130">
        <f t="shared" si="10"/>
        <v>0</v>
      </c>
      <c r="O34" s="142">
        <f>+B34-N34</f>
        <v>0</v>
      </c>
    </row>
    <row r="35" spans="1:15" ht="15.6">
      <c r="A35" s="85" t="s">
        <v>19</v>
      </c>
      <c r="B35" s="86"/>
      <c r="C35" s="86"/>
      <c r="D35" s="86"/>
      <c r="E35" s="87">
        <f>'GL 862 CPF Restricted'!C11</f>
        <v>0</v>
      </c>
      <c r="F35" s="86"/>
      <c r="G35" s="86"/>
      <c r="L35" s="123"/>
      <c r="M35" s="124"/>
      <c r="N35" s="124"/>
      <c r="O35" s="125"/>
    </row>
    <row r="36" spans="1:15" ht="15.6">
      <c r="A36" s="92" t="s">
        <v>27</v>
      </c>
      <c r="B36" s="84">
        <f>'GL 870 Committed'!B6</f>
        <v>0</v>
      </c>
      <c r="C36" s="89"/>
      <c r="D36" s="89"/>
      <c r="E36" s="84">
        <f>'GL 870 Committed'!C6</f>
        <v>0</v>
      </c>
      <c r="F36" s="84">
        <f>'GL 870 Committed'!G6</f>
        <v>0</v>
      </c>
      <c r="G36" s="84">
        <f>'GL 870 Committed'!F6</f>
        <v>0</v>
      </c>
      <c r="L36" s="131">
        <v>0</v>
      </c>
      <c r="M36" s="132">
        <v>0</v>
      </c>
      <c r="N36" s="130">
        <f>+L36+M36</f>
        <v>0</v>
      </c>
      <c r="O36" s="142">
        <f>+B36-N36</f>
        <v>0</v>
      </c>
    </row>
    <row r="37" spans="1:15" ht="15.6">
      <c r="A37" s="94" t="s">
        <v>1181</v>
      </c>
      <c r="B37" s="84">
        <f>'GL 872 Committed'!B5</f>
        <v>0</v>
      </c>
      <c r="C37" s="89"/>
      <c r="D37" s="89"/>
      <c r="E37" s="89"/>
      <c r="F37" s="89"/>
      <c r="G37" s="89"/>
      <c r="L37" s="131">
        <v>0</v>
      </c>
      <c r="M37" s="132">
        <v>0</v>
      </c>
      <c r="N37" s="130">
        <f>+L37+M37</f>
        <v>0</v>
      </c>
      <c r="O37" s="142">
        <f>+B37-N37</f>
        <v>0</v>
      </c>
    </row>
    <row r="38" spans="1:15" ht="15.6">
      <c r="A38" s="228" t="s">
        <v>2050</v>
      </c>
      <c r="B38" s="84">
        <f>'GL 873 Committed'!B5</f>
        <v>0</v>
      </c>
      <c r="C38" s="83"/>
      <c r="D38" s="89"/>
      <c r="E38" s="83"/>
      <c r="F38" s="83"/>
      <c r="G38" s="83"/>
      <c r="L38" s="131">
        <v>0</v>
      </c>
      <c r="M38" s="132">
        <v>0</v>
      </c>
      <c r="N38" s="130">
        <f>+L38+M38</f>
        <v>0</v>
      </c>
      <c r="O38" s="142">
        <f>+B38-N38</f>
        <v>0</v>
      </c>
    </row>
    <row r="39" spans="1:15" ht="15.6">
      <c r="A39" s="95"/>
      <c r="B39" s="86"/>
      <c r="C39" s="86"/>
      <c r="D39" s="86"/>
      <c r="E39" s="80"/>
      <c r="F39" s="86"/>
      <c r="G39" s="86"/>
      <c r="L39" s="123"/>
      <c r="M39" s="124"/>
      <c r="N39" s="124"/>
      <c r="O39" s="125"/>
    </row>
    <row r="40" spans="1:15" ht="15.6">
      <c r="A40" s="80"/>
      <c r="B40" s="83"/>
      <c r="C40" s="83"/>
      <c r="D40" s="89"/>
      <c r="E40" s="83"/>
      <c r="F40" s="83"/>
      <c r="G40" s="83"/>
      <c r="L40" s="123"/>
      <c r="M40" s="124"/>
      <c r="N40" s="124"/>
      <c r="O40" s="125"/>
    </row>
    <row r="41" spans="1:15" ht="15.6">
      <c r="A41" s="80" t="s">
        <v>28</v>
      </c>
      <c r="B41" s="84">
        <f>MAX(MIN(SUM(B42:B45),B7-B9-B13-B34),0)</f>
        <v>0</v>
      </c>
      <c r="C41" s="89"/>
      <c r="D41" s="89"/>
      <c r="E41" s="84">
        <f>E45</f>
        <v>0</v>
      </c>
      <c r="F41" s="89"/>
      <c r="G41" s="84">
        <f>G45</f>
        <v>0</v>
      </c>
      <c r="L41" s="128">
        <f>SUM(L42:L45)</f>
        <v>0</v>
      </c>
      <c r="M41" s="129">
        <f>SUM(M42:M45)</f>
        <v>0</v>
      </c>
      <c r="N41" s="130">
        <f>SUM(N42:N45)</f>
        <v>0</v>
      </c>
      <c r="O41" s="142">
        <f t="shared" ref="O41:O45" si="11">+B41-N41</f>
        <v>0</v>
      </c>
    </row>
    <row r="42" spans="1:15" ht="15.6">
      <c r="A42" s="92" t="s">
        <v>29</v>
      </c>
      <c r="B42" s="84">
        <f>'GL 875 Assigned'!B6</f>
        <v>0</v>
      </c>
      <c r="C42" s="83"/>
      <c r="D42" s="89"/>
      <c r="E42" s="83"/>
      <c r="F42" s="83"/>
      <c r="G42" s="83"/>
      <c r="L42" s="131">
        <v>0</v>
      </c>
      <c r="M42" s="132">
        <v>0</v>
      </c>
      <c r="N42" s="130">
        <f t="shared" ref="N42:N45" si="12">+L42+M42</f>
        <v>0</v>
      </c>
      <c r="O42" s="142">
        <f t="shared" si="11"/>
        <v>0</v>
      </c>
    </row>
    <row r="43" spans="1:15" ht="15.6">
      <c r="A43" s="85" t="s">
        <v>30</v>
      </c>
      <c r="B43" s="84">
        <f>'GL 884 Assigned'!B5</f>
        <v>0</v>
      </c>
      <c r="C43" s="83"/>
      <c r="D43" s="89"/>
      <c r="E43" s="83"/>
      <c r="F43" s="83"/>
      <c r="G43" s="83"/>
      <c r="L43" s="131">
        <v>0</v>
      </c>
      <c r="M43" s="132">
        <v>0</v>
      </c>
      <c r="N43" s="130">
        <f t="shared" si="12"/>
        <v>0</v>
      </c>
      <c r="O43" s="142">
        <f t="shared" si="11"/>
        <v>0</v>
      </c>
    </row>
    <row r="44" spans="1:15" ht="15.6">
      <c r="A44" s="85" t="s">
        <v>31</v>
      </c>
      <c r="B44" s="84">
        <f>'GL 888 Assigned'!B5</f>
        <v>0</v>
      </c>
      <c r="C44" s="83"/>
      <c r="D44" s="89"/>
      <c r="E44" s="83"/>
      <c r="F44" s="83"/>
      <c r="G44" s="83"/>
      <c r="L44" s="131">
        <v>0</v>
      </c>
      <c r="M44" s="132">
        <v>0</v>
      </c>
      <c r="N44" s="130">
        <f t="shared" si="12"/>
        <v>0</v>
      </c>
      <c r="O44" s="142">
        <f t="shared" si="11"/>
        <v>0</v>
      </c>
    </row>
    <row r="45" spans="1:15" ht="15.6">
      <c r="A45" s="96" t="s">
        <v>32</v>
      </c>
      <c r="B45" s="86"/>
      <c r="C45" s="97"/>
      <c r="D45" s="98">
        <v>0</v>
      </c>
      <c r="E45" s="91">
        <f>IF(E7-E9-E13-E34&gt;=0,E7-E9-E13-E34,0)</f>
        <v>0</v>
      </c>
      <c r="F45" s="80"/>
      <c r="G45" s="87">
        <f>IF(G7-G9-G13-G34&gt;=0,G7-G9-G13-G34,0)</f>
        <v>0</v>
      </c>
      <c r="L45" s="131">
        <v>0</v>
      </c>
      <c r="M45" s="132">
        <v>0</v>
      </c>
      <c r="N45" s="130">
        <f t="shared" si="12"/>
        <v>0</v>
      </c>
      <c r="O45" s="142">
        <f t="shared" si="11"/>
        <v>0</v>
      </c>
    </row>
    <row r="46" spans="1:15" ht="15.6">
      <c r="A46" s="80"/>
      <c r="B46" s="83"/>
      <c r="C46" s="83"/>
      <c r="D46" s="83"/>
      <c r="E46" s="83"/>
      <c r="F46" s="83"/>
      <c r="G46" s="83"/>
      <c r="L46" s="123"/>
      <c r="M46" s="124"/>
      <c r="N46" s="124"/>
      <c r="O46" s="125"/>
    </row>
    <row r="47" spans="1:15" ht="15.6">
      <c r="A47" s="80" t="s">
        <v>33</v>
      </c>
      <c r="B47" s="99">
        <f>+B48+B49</f>
        <v>-1649794.9649999999</v>
      </c>
      <c r="L47" s="128">
        <f t="shared" ref="L47:N47" si="13">+L48+L49</f>
        <v>0</v>
      </c>
      <c r="M47" s="129">
        <f t="shared" si="13"/>
        <v>0</v>
      </c>
      <c r="N47" s="130">
        <f t="shared" si="13"/>
        <v>0</v>
      </c>
      <c r="O47" s="142">
        <f t="shared" ref="O47:O49" si="14">+B47-N47</f>
        <v>-1649794.9649999999</v>
      </c>
    </row>
    <row r="48" spans="1:15" ht="15.6">
      <c r="A48" s="88" t="s">
        <v>34</v>
      </c>
      <c r="B48" s="100">
        <f>B7-B9-B13-B34-B41-B49</f>
        <v>-1649794.9649999999</v>
      </c>
      <c r="C48" s="99">
        <f>IF(C7-C9-C13-C34&gt;=0,0,C7-C9-C13-C34)</f>
        <v>0</v>
      </c>
      <c r="D48" s="99">
        <f>IF(D7-D9-D13-D34&gt;=0,0,D7-D9-D13-D34)</f>
        <v>0</v>
      </c>
      <c r="E48" s="99">
        <f>IF(E7-E9-E13-E34&gt;=0,0,E7-E9-E13-E34)</f>
        <v>0</v>
      </c>
      <c r="F48" s="99">
        <f>IF(F7-F9-F13-F34&gt;=0,0,F7-F9-F13-F34)</f>
        <v>0</v>
      </c>
      <c r="G48" s="99">
        <f>IF(G7-G9-G13-G34&gt;=0,0,G7-G9-G13-G34)</f>
        <v>0</v>
      </c>
      <c r="L48" s="131">
        <v>0</v>
      </c>
      <c r="M48" s="132">
        <v>0</v>
      </c>
      <c r="N48" s="130">
        <f t="shared" ref="N48:N49" si="15">+L48+M48</f>
        <v>0</v>
      </c>
      <c r="O48" s="142">
        <f t="shared" si="14"/>
        <v>-1649794.9649999999</v>
      </c>
    </row>
    <row r="49" spans="1:15" ht="15.6">
      <c r="A49" s="92" t="s">
        <v>1182</v>
      </c>
      <c r="B49" s="101">
        <f>'GL 891 Unassigned MFBP'!B28</f>
        <v>0</v>
      </c>
      <c r="C49" s="80"/>
      <c r="D49" s="80"/>
      <c r="E49" s="80"/>
      <c r="F49" s="80"/>
      <c r="G49" s="80"/>
      <c r="L49" s="131">
        <v>0</v>
      </c>
      <c r="M49" s="132">
        <v>0</v>
      </c>
      <c r="N49" s="130">
        <f t="shared" si="15"/>
        <v>0</v>
      </c>
      <c r="O49" s="142">
        <f t="shared" si="14"/>
        <v>0</v>
      </c>
    </row>
    <row r="50" spans="1:15" ht="15.6">
      <c r="A50" s="80"/>
      <c r="B50" s="80"/>
      <c r="C50" s="80"/>
      <c r="D50" s="80"/>
      <c r="E50" s="80"/>
      <c r="F50" s="80"/>
      <c r="G50" s="80"/>
      <c r="L50" s="123"/>
      <c r="M50" s="124"/>
      <c r="N50" s="124"/>
      <c r="O50" s="125"/>
    </row>
    <row r="51" spans="1:15" ht="15.6">
      <c r="A51" s="80" t="s">
        <v>35</v>
      </c>
      <c r="B51" s="80"/>
      <c r="C51" s="80"/>
      <c r="D51" s="80"/>
      <c r="E51" s="80"/>
      <c r="F51" s="80"/>
      <c r="G51" s="80"/>
      <c r="L51" s="123"/>
      <c r="M51" s="124"/>
      <c r="N51" s="124"/>
      <c r="O51" s="125"/>
    </row>
    <row r="52" spans="1:15" ht="15.6">
      <c r="A52" s="80" t="s">
        <v>2</v>
      </c>
      <c r="B52" s="102">
        <f t="shared" ref="B52:G52" si="16">B9</f>
        <v>0</v>
      </c>
      <c r="C52" s="102">
        <f t="shared" si="16"/>
        <v>0</v>
      </c>
      <c r="D52" s="102">
        <f t="shared" si="16"/>
        <v>0</v>
      </c>
      <c r="E52" s="102">
        <f t="shared" si="16"/>
        <v>0</v>
      </c>
      <c r="F52" s="102">
        <f t="shared" si="16"/>
        <v>0</v>
      </c>
      <c r="G52" s="102">
        <f t="shared" si="16"/>
        <v>0</v>
      </c>
      <c r="L52" s="128">
        <f t="shared" ref="L52:N52" si="17">L9</f>
        <v>0</v>
      </c>
      <c r="M52" s="129">
        <f t="shared" si="17"/>
        <v>0</v>
      </c>
      <c r="N52" s="130">
        <f t="shared" si="17"/>
        <v>0</v>
      </c>
      <c r="O52" s="142">
        <f t="shared" ref="O52:O57" si="18">+B52-N52</f>
        <v>0</v>
      </c>
    </row>
    <row r="53" spans="1:15" ht="15.6">
      <c r="A53" s="80" t="s">
        <v>11</v>
      </c>
      <c r="B53" s="102">
        <f t="shared" ref="B53:G53" si="19">B13</f>
        <v>1649794.9649999999</v>
      </c>
      <c r="C53" s="102">
        <f t="shared" si="19"/>
        <v>0</v>
      </c>
      <c r="D53" s="102">
        <f t="shared" si="19"/>
        <v>0</v>
      </c>
      <c r="E53" s="102">
        <f t="shared" si="19"/>
        <v>0</v>
      </c>
      <c r="F53" s="102">
        <f t="shared" si="19"/>
        <v>0</v>
      </c>
      <c r="G53" s="102">
        <f t="shared" si="19"/>
        <v>0</v>
      </c>
      <c r="L53" s="128">
        <f t="shared" ref="L53:N53" si="20">L13</f>
        <v>0</v>
      </c>
      <c r="M53" s="129">
        <f t="shared" si="20"/>
        <v>0</v>
      </c>
      <c r="N53" s="130">
        <f t="shared" si="20"/>
        <v>0</v>
      </c>
      <c r="O53" s="142">
        <f t="shared" si="18"/>
        <v>1649794.9649999999</v>
      </c>
    </row>
    <row r="54" spans="1:15" ht="15.6">
      <c r="A54" s="80" t="s">
        <v>26</v>
      </c>
      <c r="B54" s="102">
        <f>B34</f>
        <v>0</v>
      </c>
      <c r="C54" s="102">
        <f>C34</f>
        <v>0</v>
      </c>
      <c r="D54" s="102">
        <f>D34</f>
        <v>0</v>
      </c>
      <c r="E54" s="102">
        <f t="shared" ref="E54:G54" si="21">E34</f>
        <v>0</v>
      </c>
      <c r="F54" s="102">
        <f t="shared" si="21"/>
        <v>0</v>
      </c>
      <c r="G54" s="102">
        <f t="shared" si="21"/>
        <v>0</v>
      </c>
      <c r="L54" s="128">
        <f t="shared" ref="L54:N54" si="22">L34</f>
        <v>0</v>
      </c>
      <c r="M54" s="129">
        <f t="shared" si="22"/>
        <v>0</v>
      </c>
      <c r="N54" s="130">
        <f t="shared" si="22"/>
        <v>0</v>
      </c>
      <c r="O54" s="142">
        <f t="shared" si="18"/>
        <v>0</v>
      </c>
    </row>
    <row r="55" spans="1:15" ht="15.6">
      <c r="A55" s="80" t="s">
        <v>28</v>
      </c>
      <c r="B55" s="99">
        <f>IF(SUM(B52:B54)&gt;B7,0,MIN(B7-SUM(B52:B54),B41))</f>
        <v>0</v>
      </c>
      <c r="C55" s="99">
        <f>IF(SUM(C52:C54)&gt;C7,0,C7-SUM(C52:C54))</f>
        <v>0</v>
      </c>
      <c r="D55" s="99">
        <f>IF(SUM(D52:D54)&gt;D7,0,D7-SUM(D52:D54))</f>
        <v>0</v>
      </c>
      <c r="E55" s="99">
        <f>IF(SUM(E52:E54)&gt;E7,0,E7-SUM(E52:E54))</f>
        <v>0</v>
      </c>
      <c r="F55" s="99">
        <f>IF(SUM(F52:F54)&gt;F7,0,F7-SUM(F52:F54))</f>
        <v>0</v>
      </c>
      <c r="G55" s="99">
        <f>IF(SUM(G52:G54)&gt;G7,0,G7-SUM(G52:G54))</f>
        <v>0</v>
      </c>
      <c r="L55" s="128">
        <f>L41</f>
        <v>0</v>
      </c>
      <c r="M55" s="129">
        <f>M41</f>
        <v>0</v>
      </c>
      <c r="N55" s="130">
        <f>N41</f>
        <v>0</v>
      </c>
      <c r="O55" s="142">
        <f t="shared" si="18"/>
        <v>0</v>
      </c>
    </row>
    <row r="56" spans="1:15" ht="15.6">
      <c r="A56" s="80" t="s">
        <v>33</v>
      </c>
      <c r="B56" s="99">
        <f>B7-SUM(B52:B55)</f>
        <v>-1649794.9649999999</v>
      </c>
      <c r="C56" s="99">
        <f>IF(SUM(C52:C54)&gt;C7,C7-SUM(C52:C54),0)</f>
        <v>0</v>
      </c>
      <c r="D56" s="99">
        <f>IF(SUM(D52:D54)&gt;D7,D7-SUM(D52:D54),0)</f>
        <v>0</v>
      </c>
      <c r="E56" s="99">
        <f>IF(SUM(E52:E54)&gt;E7,E7-SUM(E52:E54),0)</f>
        <v>0</v>
      </c>
      <c r="F56" s="99">
        <f>IF(SUM(F52:F54)&gt;F7,F7-SUM(F52:F54),0)</f>
        <v>0</v>
      </c>
      <c r="G56" s="99">
        <f>IF(SUM(G52:G54)&gt;G7,G7-SUM(G52:G54),0)</f>
        <v>0</v>
      </c>
      <c r="L56" s="128">
        <f>L47</f>
        <v>0</v>
      </c>
      <c r="M56" s="129">
        <f>M47</f>
        <v>0</v>
      </c>
      <c r="N56" s="130">
        <f>N47</f>
        <v>0</v>
      </c>
      <c r="O56" s="142">
        <f t="shared" si="18"/>
        <v>-1649794.9649999999</v>
      </c>
    </row>
    <row r="57" spans="1:15" ht="16.2" thickBot="1">
      <c r="A57" s="80" t="s">
        <v>1</v>
      </c>
      <c r="B57" s="101">
        <f>SUM(B52:B56)</f>
        <v>0</v>
      </c>
      <c r="C57" s="101">
        <f>SUM(C52:C56)</f>
        <v>0</v>
      </c>
      <c r="D57" s="101">
        <f>SUM(D52:D56)</f>
        <v>0</v>
      </c>
      <c r="E57" s="101">
        <f t="shared" ref="E57:G57" si="23">SUM(E52:E56)</f>
        <v>0</v>
      </c>
      <c r="F57" s="101">
        <f t="shared" si="23"/>
        <v>0</v>
      </c>
      <c r="G57" s="101">
        <f t="shared" si="23"/>
        <v>0</v>
      </c>
      <c r="L57" s="133">
        <f t="shared" ref="L57:N57" si="24">SUM(L52:L56)</f>
        <v>0</v>
      </c>
      <c r="M57" s="134">
        <f t="shared" si="24"/>
        <v>0</v>
      </c>
      <c r="N57" s="135">
        <f t="shared" si="24"/>
        <v>0</v>
      </c>
      <c r="O57" s="143">
        <f t="shared" si="18"/>
        <v>0</v>
      </c>
    </row>
    <row r="58" spans="1:15" ht="15.6">
      <c r="A58" s="80"/>
      <c r="B58" s="80"/>
      <c r="C58" s="80"/>
      <c r="D58" s="80"/>
      <c r="E58" s="80"/>
      <c r="F58" s="80"/>
      <c r="G58" s="80"/>
    </row>
    <row r="59" spans="1:15" ht="15.6">
      <c r="A59" s="80"/>
      <c r="B59" s="80"/>
      <c r="C59" s="80"/>
      <c r="D59" s="80"/>
      <c r="E59" s="80"/>
      <c r="F59" s="80"/>
      <c r="G59" s="80"/>
    </row>
    <row r="60" spans="1:15">
      <c r="A60" s="116" t="s">
        <v>1552</v>
      </c>
    </row>
  </sheetData>
  <mergeCells count="6">
    <mergeCell ref="R6:S23"/>
    <mergeCell ref="A2:B2"/>
    <mergeCell ref="L3:M3"/>
    <mergeCell ref="L1:O1"/>
    <mergeCell ref="L2:O2"/>
    <mergeCell ref="O3:O4"/>
  </mergeCells>
  <hyperlinks>
    <hyperlink ref="A14" location="'GL 810 Restricted'!A1" display="GL 810 Other Items" xr:uid="{00000000-0004-0000-0200-000000000000}"/>
    <hyperlink ref="A15" location="'GL 815 Restricted'!A1" display="GL 815 Unequalized Deductible Revenues" xr:uid="{00000000-0004-0000-0200-000001000000}"/>
    <hyperlink ref="A17" location="'GL 821 Restricted'!A1" display="GL 821 Carryover of Restricted Revenues" xr:uid="{00000000-0004-0000-0200-000002000000}"/>
    <hyperlink ref="A10" location="'GL 840 Nonspendable'!A1" display="GL 840 Inventory &amp; Prepaid Items" xr:uid="{00000000-0004-0000-0200-000004000000}"/>
    <hyperlink ref="A21" location="'GL 830 Restricted'!A1" display="GL 830 Debt Service" xr:uid="{00000000-0004-0000-0200-000005000000}"/>
    <hyperlink ref="A22" location="'GL 835 Restricted'!A1" display="GL 835 Arbitrage Rebate" xr:uid="{00000000-0004-0000-0200-000006000000}"/>
    <hyperlink ref="A25" location="'GL 861 CPF Restricted'!A1" display="GL 861 Bond Proceeds" xr:uid="{00000000-0004-0000-0200-000007000000}"/>
    <hyperlink ref="A35" location="'GL 862 CPF Restricted'!A1" display="GL 862 Levy Proceeds" xr:uid="{00000000-0004-0000-0200-000008000000}"/>
    <hyperlink ref="A26" location="'GL 863 CPF Restricted'!A1" display="GL 863 State Proceeds" xr:uid="{00000000-0004-0000-0200-000009000000}"/>
    <hyperlink ref="A27" location="'GL 864 CPF Restricted'!A1" display="GL 864 Federal Proceeds" xr:uid="{00000000-0004-0000-0200-00000A000000}"/>
    <hyperlink ref="A28" location="'GL 865 CPF Restricted'!A1" display="GL 865 Other Proceeds" xr:uid="{00000000-0004-0000-0200-00000B000000}"/>
    <hyperlink ref="A29" location="'GL 866 CPF Restricted'!A1" display="GL 866 Impact Fee Proceeds" xr:uid="{00000000-0004-0000-0200-00000C000000}"/>
    <hyperlink ref="A30" location="'GL 867 CPF Restricted'!A1" display="GL 867 Mitigation Fee Proceeds" xr:uid="{00000000-0004-0000-0200-00000D000000}"/>
    <hyperlink ref="A32" location="'GL 869 CPF Restricted'!A1" display="GL 869 Undistributed Proceeds" xr:uid="{00000000-0004-0000-0200-00000E000000}"/>
    <hyperlink ref="A36" location="'GL 870 Committed'!A1" display="GL 870 Other Purposes" xr:uid="{00000000-0004-0000-0200-00000F000000}"/>
    <hyperlink ref="A11" location="'GL 855 Nonspendable'!A1" display="GL 855 Trust Principal" xr:uid="{00000000-0004-0000-0200-000010000000}"/>
    <hyperlink ref="A42" location="'GL 875 Assigned'!A1" display="GL 875 Contingencies" xr:uid="{00000000-0004-0000-0200-000011000000}"/>
    <hyperlink ref="A43" location="'GL 884 Assigned'!A1" display="GL 884 Other Capital Projects" xr:uid="{00000000-0004-0000-0200-000012000000}"/>
    <hyperlink ref="A44" location="'GL 888 Assigned'!A1" display="GL 888 Other Purposes" xr:uid="{00000000-0004-0000-0200-000013000000}"/>
    <hyperlink ref="A23" location="'GL 845 Restricted'!A1" display="GL 845 Self-Insurance" xr:uid="{00000000-0004-0000-0200-000014000000}"/>
    <hyperlink ref="A24" location="'GL 850 Restricted'!A1" display="GL 850 Uninsured Risks" xr:uid="{00000000-0004-0000-0200-000015000000}"/>
    <hyperlink ref="A20" location="'GL 828 Restricted'!A1" display="GL 828 Food Service Program Revenue Carryover" xr:uid="{00000000-0004-0000-0200-000016000000}"/>
    <hyperlink ref="A19" location="'GL 825 Restricted'!A1" display="GL 825 Restricted for Skills Centers" xr:uid="{00000000-0004-0000-0200-000017000000}"/>
    <hyperlink ref="A49" location="'GL 891 Unassigned MFBP'!A1" display="GL 891 Unassigned MFBP" xr:uid="{00000000-0004-0000-0200-000018000000}"/>
    <hyperlink ref="A38" location="'GL 873 Committed'!A1" display="GL 873 Depreciation Sub-Fund Facility Maintenance " xr:uid="{00000000-0004-0000-0200-000003000000}"/>
    <hyperlink ref="A37" location="'GL 872 Committed'!A1" display="GL 872 Minimum Fund Balance Policy" xr:uid="{DE56D57F-5AEC-45BA-AA5C-990E0DF11629}"/>
    <hyperlink ref="A18" location="'GL 823 Restricted'!A1" display="GL 823 Restricted for Transition to Kindergarten" xr:uid="{07844FC3-2247-44FF-9333-88C2FCB4EB60}"/>
    <hyperlink ref="A31" location="'GL 868 CPF Restricted'!A1" display="GL 868 CTE Major Projects" xr:uid="{0F08D0DD-D5A2-4EC9-9FE6-20C5A769D644}"/>
  </hyperlinks>
  <pageMargins left="0.45" right="0.2" top="0.5" bottom="0.5" header="0.3" footer="0.3"/>
  <pageSetup scale="57"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CCDDD!$Q$2:$Q$331</xm:f>
          </x14:formula1>
          <xm:sqref>A2:B2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48E4-E2D6-4A43-A95A-96FCDB547608}">
  <sheetPr>
    <tabColor rgb="FFFFC000"/>
  </sheetPr>
  <dimension ref="A1:C8"/>
  <sheetViews>
    <sheetView workbookViewId="0">
      <selection activeCell="D2" sqref="D2"/>
    </sheetView>
  </sheetViews>
  <sheetFormatPr defaultRowHeight="14.4"/>
  <cols>
    <col min="1" max="1" width="44.109375" bestFit="1" customWidth="1"/>
    <col min="2" max="2" width="3.88671875" style="2" customWidth="1"/>
    <col min="3" max="3" width="19" style="2" customWidth="1"/>
    <col min="4" max="4" width="4.44140625" customWidth="1"/>
    <col min="5" max="5" width="5.109375" customWidth="1"/>
  </cols>
  <sheetData>
    <row r="1" spans="1:3">
      <c r="A1" s="679" t="s">
        <v>2633</v>
      </c>
      <c r="B1" s="679"/>
      <c r="C1" s="679"/>
    </row>
    <row r="2" spans="1:3">
      <c r="A2" s="679" t="s">
        <v>98</v>
      </c>
      <c r="B2" s="679"/>
      <c r="C2" s="679"/>
    </row>
    <row r="3" spans="1:3">
      <c r="A3" s="6" t="s">
        <v>39</v>
      </c>
    </row>
    <row r="5" spans="1:3" ht="26.4" customHeight="1">
      <c r="A5" s="33" t="s">
        <v>111</v>
      </c>
      <c r="B5" s="211"/>
      <c r="C5" s="622">
        <v>0</v>
      </c>
    </row>
    <row r="6" spans="1:3" ht="46.8" customHeight="1">
      <c r="A6" s="53" t="s">
        <v>2632</v>
      </c>
      <c r="C6" s="622">
        <v>0</v>
      </c>
    </row>
    <row r="7" spans="1:3" ht="26.4" customHeight="1">
      <c r="A7" s="33" t="s">
        <v>2480</v>
      </c>
      <c r="B7" s="211"/>
      <c r="C7" s="622">
        <v>0</v>
      </c>
    </row>
    <row r="8" spans="1:3" ht="26.4" customHeight="1">
      <c r="A8" s="33" t="s">
        <v>117</v>
      </c>
      <c r="B8" s="211"/>
      <c r="C8" s="623">
        <f>+C5+C6-C7</f>
        <v>0</v>
      </c>
    </row>
  </sheetData>
  <mergeCells count="2">
    <mergeCell ref="A1:C1"/>
    <mergeCell ref="A2:C2"/>
  </mergeCells>
  <hyperlinks>
    <hyperlink ref="A3" location="'Fund Balance Summary'!A1" display="(Return to summary sheet)" xr:uid="{F5F8B898-4F00-41AB-84F0-20E19566F47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C11"/>
  <sheetViews>
    <sheetView workbookViewId="0">
      <selection activeCell="A3" sqref="A3"/>
    </sheetView>
  </sheetViews>
  <sheetFormatPr defaultRowHeight="14.4"/>
  <cols>
    <col min="1" max="1" width="35.33203125" bestFit="1" customWidth="1"/>
    <col min="2" max="2" width="14.33203125" style="2" bestFit="1" customWidth="1"/>
    <col min="3" max="3" width="15.33203125" style="2" bestFit="1" customWidth="1"/>
  </cols>
  <sheetData>
    <row r="1" spans="1:3">
      <c r="A1" s="679" t="s">
        <v>123</v>
      </c>
      <c r="B1" s="679"/>
      <c r="C1" s="679"/>
    </row>
    <row r="2" spans="1:3">
      <c r="A2" s="679" t="s">
        <v>98</v>
      </c>
      <c r="B2" s="679"/>
      <c r="C2" s="679"/>
    </row>
    <row r="3" spans="1:3">
      <c r="A3" s="6" t="s">
        <v>39</v>
      </c>
    </row>
    <row r="5" spans="1:3">
      <c r="A5" t="s">
        <v>111</v>
      </c>
      <c r="C5" s="1">
        <v>0</v>
      </c>
    </row>
    <row r="6" spans="1:3">
      <c r="A6" t="s">
        <v>112</v>
      </c>
    </row>
    <row r="7" spans="1:3">
      <c r="A7" t="s">
        <v>142</v>
      </c>
      <c r="B7" s="1">
        <v>0</v>
      </c>
    </row>
    <row r="8" spans="1:3">
      <c r="A8" t="s">
        <v>143</v>
      </c>
      <c r="B8" s="1">
        <v>0</v>
      </c>
    </row>
    <row r="9" spans="1:3">
      <c r="A9" t="s">
        <v>115</v>
      </c>
      <c r="C9" s="2">
        <f>+B7+B8</f>
        <v>0</v>
      </c>
    </row>
    <row r="10" spans="1:3">
      <c r="A10" t="s">
        <v>144</v>
      </c>
      <c r="C10" s="1">
        <v>0</v>
      </c>
    </row>
    <row r="11" spans="1:3" ht="16.2">
      <c r="A11" t="s">
        <v>117</v>
      </c>
      <c r="C11" s="8">
        <f>+C5+C9-C10</f>
        <v>0</v>
      </c>
    </row>
  </sheetData>
  <mergeCells count="2">
    <mergeCell ref="A1:C1"/>
    <mergeCell ref="A2:C2"/>
  </mergeCells>
  <hyperlinks>
    <hyperlink ref="A3" location="'Fund Balance Summary'!A1" display="(Return to summary sheet)" xr:uid="{00000000-0004-0000-1B00-000000000000}"/>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G26"/>
  <sheetViews>
    <sheetView workbookViewId="0">
      <selection sqref="A1:G1"/>
    </sheetView>
  </sheetViews>
  <sheetFormatPr defaultRowHeight="14.4"/>
  <cols>
    <col min="1" max="1" width="31.44140625" bestFit="1" customWidth="1"/>
    <col min="2" max="2" width="18" customWidth="1"/>
    <col min="3" max="3" width="14.88671875" bestFit="1" customWidth="1"/>
    <col min="4" max="4" width="13.109375" bestFit="1" customWidth="1"/>
    <col min="5" max="5" width="15.44140625" customWidth="1"/>
    <col min="6" max="6" width="10.88671875" bestFit="1" customWidth="1"/>
    <col min="7" max="7" width="14.109375" bestFit="1" customWidth="1"/>
  </cols>
  <sheetData>
    <row r="1" spans="1:7">
      <c r="A1" s="679" t="s">
        <v>145</v>
      </c>
      <c r="B1" s="679"/>
      <c r="C1" s="679"/>
      <c r="D1" s="679"/>
      <c r="E1" s="679"/>
      <c r="F1" s="679"/>
      <c r="G1" s="679"/>
    </row>
    <row r="2" spans="1:7">
      <c r="A2" s="679" t="s">
        <v>146</v>
      </c>
      <c r="B2" s="679"/>
      <c r="C2" s="679"/>
      <c r="D2" s="679"/>
      <c r="E2" s="679"/>
      <c r="F2" s="679"/>
      <c r="G2" s="679"/>
    </row>
    <row r="3" spans="1:7">
      <c r="A3" s="6" t="s">
        <v>39</v>
      </c>
    </row>
    <row r="5" spans="1:7" ht="31.5" customHeight="1">
      <c r="B5" s="141" t="s">
        <v>51</v>
      </c>
      <c r="C5" s="141" t="s">
        <v>147</v>
      </c>
      <c r="D5" s="141" t="s">
        <v>800</v>
      </c>
      <c r="E5" s="141" t="s">
        <v>95</v>
      </c>
      <c r="F5" s="141" t="s">
        <v>102</v>
      </c>
      <c r="G5" s="141" t="s">
        <v>148</v>
      </c>
    </row>
    <row r="6" spans="1:7">
      <c r="A6" s="22" t="s">
        <v>72</v>
      </c>
      <c r="B6" s="19">
        <f t="shared" ref="B6:G6" si="0">SUM(B7:B100)</f>
        <v>0</v>
      </c>
      <c r="C6" s="19">
        <f t="shared" si="0"/>
        <v>0</v>
      </c>
      <c r="D6" s="19">
        <f t="shared" si="0"/>
        <v>0</v>
      </c>
      <c r="E6" s="19">
        <f t="shared" si="0"/>
        <v>0</v>
      </c>
      <c r="F6" s="19">
        <f t="shared" si="0"/>
        <v>0</v>
      </c>
      <c r="G6" s="19">
        <f t="shared" si="0"/>
        <v>0</v>
      </c>
    </row>
    <row r="7" spans="1:7">
      <c r="A7" s="152" t="s">
        <v>799</v>
      </c>
      <c r="B7" s="146">
        <v>0</v>
      </c>
      <c r="C7" s="146">
        <v>0</v>
      </c>
      <c r="D7" s="146">
        <v>0</v>
      </c>
      <c r="E7" s="146">
        <v>0</v>
      </c>
      <c r="F7" s="146">
        <v>0</v>
      </c>
      <c r="G7" s="146">
        <v>0</v>
      </c>
    </row>
    <row r="8" spans="1:7">
      <c r="A8" s="152" t="s">
        <v>799</v>
      </c>
      <c r="B8" s="146">
        <v>0</v>
      </c>
      <c r="C8" s="146">
        <v>0</v>
      </c>
      <c r="D8" s="146">
        <v>0</v>
      </c>
      <c r="E8" s="146">
        <v>0</v>
      </c>
      <c r="F8" s="146">
        <v>0</v>
      </c>
      <c r="G8" s="146">
        <v>0</v>
      </c>
    </row>
    <row r="9" spans="1:7">
      <c r="A9" s="152" t="s">
        <v>799</v>
      </c>
      <c r="B9" s="146">
        <v>0</v>
      </c>
      <c r="C9" s="146">
        <v>0</v>
      </c>
      <c r="D9" s="146">
        <v>0</v>
      </c>
      <c r="E9" s="146">
        <v>0</v>
      </c>
      <c r="F9" s="146">
        <v>0</v>
      </c>
      <c r="G9" s="146">
        <v>0</v>
      </c>
    </row>
    <row r="10" spans="1:7">
      <c r="A10" s="152" t="s">
        <v>799</v>
      </c>
      <c r="B10" s="146">
        <v>0</v>
      </c>
      <c r="C10" s="146">
        <v>0</v>
      </c>
      <c r="D10" s="146">
        <v>0</v>
      </c>
      <c r="E10" s="146">
        <v>0</v>
      </c>
      <c r="F10" s="146">
        <v>0</v>
      </c>
      <c r="G10" s="146">
        <v>0</v>
      </c>
    </row>
    <row r="11" spans="1:7">
      <c r="A11" s="152" t="s">
        <v>799</v>
      </c>
      <c r="B11" s="146">
        <v>0</v>
      </c>
      <c r="C11" s="146">
        <v>0</v>
      </c>
      <c r="D11" s="146">
        <v>0</v>
      </c>
      <c r="E11" s="146">
        <v>0</v>
      </c>
      <c r="F11" s="146">
        <v>0</v>
      </c>
      <c r="G11" s="146">
        <v>0</v>
      </c>
    </row>
    <row r="12" spans="1:7">
      <c r="A12" s="152" t="s">
        <v>799</v>
      </c>
      <c r="B12" s="146">
        <v>0</v>
      </c>
      <c r="C12" s="146">
        <v>0</v>
      </c>
      <c r="D12" s="146">
        <v>0</v>
      </c>
      <c r="E12" s="146">
        <v>0</v>
      </c>
      <c r="F12" s="146">
        <v>0</v>
      </c>
      <c r="G12" s="146">
        <v>0</v>
      </c>
    </row>
    <row r="13" spans="1:7">
      <c r="A13" s="152" t="s">
        <v>799</v>
      </c>
      <c r="B13" s="146">
        <v>0</v>
      </c>
      <c r="C13" s="146">
        <v>0</v>
      </c>
      <c r="D13" s="146">
        <v>0</v>
      </c>
      <c r="E13" s="146">
        <v>0</v>
      </c>
      <c r="F13" s="146">
        <v>0</v>
      </c>
      <c r="G13" s="146">
        <v>0</v>
      </c>
    </row>
    <row r="14" spans="1:7">
      <c r="A14" s="152" t="s">
        <v>799</v>
      </c>
      <c r="B14" s="146">
        <v>0</v>
      </c>
      <c r="C14" s="146">
        <v>0</v>
      </c>
      <c r="D14" s="146">
        <v>0</v>
      </c>
      <c r="E14" s="146">
        <v>0</v>
      </c>
      <c r="F14" s="146">
        <v>0</v>
      </c>
      <c r="G14" s="146">
        <v>0</v>
      </c>
    </row>
    <row r="15" spans="1:7">
      <c r="A15" s="152" t="s">
        <v>799</v>
      </c>
      <c r="B15" s="146">
        <v>0</v>
      </c>
      <c r="C15" s="146">
        <v>0</v>
      </c>
      <c r="D15" s="146">
        <v>0</v>
      </c>
      <c r="E15" s="146">
        <v>0</v>
      </c>
      <c r="F15" s="146">
        <v>0</v>
      </c>
      <c r="G15" s="146">
        <v>0</v>
      </c>
    </row>
    <row r="16" spans="1:7">
      <c r="A16" s="152" t="s">
        <v>799</v>
      </c>
      <c r="B16" s="146">
        <v>0</v>
      </c>
      <c r="C16" s="146">
        <v>0</v>
      </c>
      <c r="D16" s="146">
        <v>0</v>
      </c>
      <c r="E16" s="146">
        <v>0</v>
      </c>
      <c r="F16" s="146">
        <v>0</v>
      </c>
      <c r="G16" s="146">
        <v>0</v>
      </c>
    </row>
    <row r="17" spans="1:7">
      <c r="A17" s="152" t="s">
        <v>799</v>
      </c>
      <c r="B17" s="146">
        <v>0</v>
      </c>
      <c r="C17" s="146">
        <v>0</v>
      </c>
      <c r="D17" s="146">
        <v>0</v>
      </c>
      <c r="E17" s="146">
        <v>0</v>
      </c>
      <c r="F17" s="146">
        <v>0</v>
      </c>
      <c r="G17" s="146">
        <v>0</v>
      </c>
    </row>
    <row r="18" spans="1:7">
      <c r="A18" s="152" t="s">
        <v>799</v>
      </c>
      <c r="B18" s="146">
        <v>0</v>
      </c>
      <c r="C18" s="146">
        <v>0</v>
      </c>
      <c r="D18" s="146">
        <v>0</v>
      </c>
      <c r="E18" s="146">
        <v>0</v>
      </c>
      <c r="F18" s="146">
        <v>0</v>
      </c>
      <c r="G18" s="146">
        <v>0</v>
      </c>
    </row>
    <row r="19" spans="1:7">
      <c r="A19" s="152" t="s">
        <v>799</v>
      </c>
      <c r="B19" s="146">
        <v>0</v>
      </c>
      <c r="C19" s="146">
        <v>0</v>
      </c>
      <c r="D19" s="146">
        <v>0</v>
      </c>
      <c r="E19" s="146">
        <v>0</v>
      </c>
      <c r="F19" s="146">
        <v>0</v>
      </c>
      <c r="G19" s="146">
        <v>0</v>
      </c>
    </row>
    <row r="20" spans="1:7">
      <c r="A20" s="152" t="s">
        <v>799</v>
      </c>
      <c r="B20" s="146">
        <v>0</v>
      </c>
      <c r="C20" s="146">
        <v>0</v>
      </c>
      <c r="D20" s="146">
        <v>0</v>
      </c>
      <c r="E20" s="146">
        <v>0</v>
      </c>
      <c r="F20" s="146">
        <v>0</v>
      </c>
      <c r="G20" s="146">
        <v>0</v>
      </c>
    </row>
    <row r="21" spans="1:7">
      <c r="A21" s="152" t="s">
        <v>799</v>
      </c>
      <c r="B21" s="146">
        <v>0</v>
      </c>
      <c r="C21" s="146">
        <v>0</v>
      </c>
      <c r="D21" s="146">
        <v>0</v>
      </c>
      <c r="E21" s="146">
        <v>0</v>
      </c>
      <c r="F21" s="146">
        <v>0</v>
      </c>
      <c r="G21" s="146">
        <v>0</v>
      </c>
    </row>
    <row r="22" spans="1:7">
      <c r="A22" s="152" t="s">
        <v>799</v>
      </c>
      <c r="B22" s="146">
        <v>0</v>
      </c>
      <c r="C22" s="146">
        <v>0</v>
      </c>
      <c r="D22" s="146">
        <v>0</v>
      </c>
      <c r="E22" s="146">
        <v>0</v>
      </c>
      <c r="F22" s="146">
        <v>0</v>
      </c>
      <c r="G22" s="146">
        <v>0</v>
      </c>
    </row>
    <row r="23" spans="1:7">
      <c r="A23" s="152" t="s">
        <v>799</v>
      </c>
      <c r="B23" s="146">
        <v>0</v>
      </c>
      <c r="C23" s="146">
        <v>0</v>
      </c>
      <c r="D23" s="146">
        <v>0</v>
      </c>
      <c r="E23" s="146">
        <v>0</v>
      </c>
      <c r="F23" s="146">
        <v>0</v>
      </c>
      <c r="G23" s="146">
        <v>0</v>
      </c>
    </row>
    <row r="24" spans="1:7">
      <c r="A24" s="152" t="s">
        <v>799</v>
      </c>
      <c r="B24" s="146">
        <v>0</v>
      </c>
      <c r="C24" s="146">
        <v>0</v>
      </c>
      <c r="D24" s="146">
        <v>0</v>
      </c>
      <c r="E24" s="146">
        <v>0</v>
      </c>
      <c r="F24" s="146">
        <v>0</v>
      </c>
      <c r="G24" s="146">
        <v>0</v>
      </c>
    </row>
    <row r="25" spans="1:7">
      <c r="A25" s="152" t="s">
        <v>799</v>
      </c>
      <c r="B25" s="146">
        <v>0</v>
      </c>
      <c r="C25" s="146">
        <v>0</v>
      </c>
      <c r="D25" s="146">
        <v>0</v>
      </c>
      <c r="E25" s="146">
        <v>0</v>
      </c>
      <c r="F25" s="146">
        <v>0</v>
      </c>
      <c r="G25" s="146">
        <v>0</v>
      </c>
    </row>
    <row r="26" spans="1:7">
      <c r="A26" s="152" t="s">
        <v>799</v>
      </c>
      <c r="B26" s="146">
        <v>0</v>
      </c>
      <c r="C26" s="146">
        <v>0</v>
      </c>
      <c r="D26" s="146">
        <v>0</v>
      </c>
      <c r="E26" s="146">
        <v>0</v>
      </c>
      <c r="F26" s="146">
        <v>0</v>
      </c>
      <c r="G26" s="146">
        <v>0</v>
      </c>
    </row>
  </sheetData>
  <mergeCells count="2">
    <mergeCell ref="A1:G1"/>
    <mergeCell ref="A2:G2"/>
  </mergeCells>
  <hyperlinks>
    <hyperlink ref="A3" location="'Fund Balance Summary'!A1" display="(Return to summary sheet)" xr:uid="{00000000-0004-0000-1C00-000000000000}"/>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E9F54D"/>
  </sheetPr>
  <dimension ref="A1:B25"/>
  <sheetViews>
    <sheetView workbookViewId="0">
      <selection sqref="A1:B1"/>
    </sheetView>
  </sheetViews>
  <sheetFormatPr defaultRowHeight="14.4"/>
  <cols>
    <col min="1" max="1" width="41.33203125" customWidth="1"/>
    <col min="2" max="2" width="33.6640625" customWidth="1"/>
  </cols>
  <sheetData>
    <row r="1" spans="1:2">
      <c r="A1" s="738" t="s">
        <v>1525</v>
      </c>
      <c r="B1" s="738"/>
    </row>
    <row r="2" spans="1:2">
      <c r="A2" s="679" t="s">
        <v>51</v>
      </c>
      <c r="B2" s="679"/>
    </row>
    <row r="3" spans="1:2">
      <c r="A3" s="6" t="s">
        <v>39</v>
      </c>
    </row>
    <row r="4" spans="1:2">
      <c r="B4" s="7" t="s">
        <v>51</v>
      </c>
    </row>
    <row r="5" spans="1:2">
      <c r="A5" s="22" t="s">
        <v>1186</v>
      </c>
      <c r="B5" s="19">
        <f t="shared" ref="B5" si="0">SUM(B6:B99)</f>
        <v>0</v>
      </c>
    </row>
    <row r="6" spans="1:2">
      <c r="A6" s="152" t="s">
        <v>799</v>
      </c>
      <c r="B6" s="146">
        <v>0</v>
      </c>
    </row>
    <row r="7" spans="1:2">
      <c r="A7" s="152" t="s">
        <v>799</v>
      </c>
      <c r="B7" s="146">
        <v>0</v>
      </c>
    </row>
    <row r="8" spans="1:2">
      <c r="A8" s="152" t="s">
        <v>799</v>
      </c>
      <c r="B8" s="146">
        <v>0</v>
      </c>
    </row>
    <row r="9" spans="1:2">
      <c r="A9" s="152" t="s">
        <v>799</v>
      </c>
      <c r="B9" s="146">
        <v>0</v>
      </c>
    </row>
    <row r="10" spans="1:2">
      <c r="A10" s="152" t="s">
        <v>799</v>
      </c>
      <c r="B10" s="146">
        <v>0</v>
      </c>
    </row>
    <row r="11" spans="1:2">
      <c r="A11" s="152" t="s">
        <v>799</v>
      </c>
      <c r="B11" s="146">
        <v>0</v>
      </c>
    </row>
    <row r="12" spans="1:2">
      <c r="A12" s="152" t="s">
        <v>799</v>
      </c>
      <c r="B12" s="146">
        <v>0</v>
      </c>
    </row>
    <row r="13" spans="1:2">
      <c r="A13" s="152" t="s">
        <v>799</v>
      </c>
      <c r="B13" s="146">
        <v>0</v>
      </c>
    </row>
    <row r="14" spans="1:2">
      <c r="A14" s="152" t="s">
        <v>799</v>
      </c>
      <c r="B14" s="146">
        <v>0</v>
      </c>
    </row>
    <row r="15" spans="1:2">
      <c r="A15" s="152" t="s">
        <v>799</v>
      </c>
      <c r="B15" s="146">
        <v>0</v>
      </c>
    </row>
    <row r="16" spans="1:2">
      <c r="A16" s="152" t="s">
        <v>799</v>
      </c>
      <c r="B16" s="146">
        <v>0</v>
      </c>
    </row>
    <row r="17" spans="1:2">
      <c r="A17" s="152" t="s">
        <v>799</v>
      </c>
      <c r="B17" s="146">
        <v>0</v>
      </c>
    </row>
    <row r="18" spans="1:2">
      <c r="A18" s="152" t="s">
        <v>799</v>
      </c>
      <c r="B18" s="146">
        <v>0</v>
      </c>
    </row>
    <row r="19" spans="1:2">
      <c r="A19" s="152" t="s">
        <v>799</v>
      </c>
      <c r="B19" s="146">
        <v>0</v>
      </c>
    </row>
    <row r="20" spans="1:2">
      <c r="A20" s="152" t="s">
        <v>799</v>
      </c>
      <c r="B20" s="146">
        <v>0</v>
      </c>
    </row>
    <row r="21" spans="1:2">
      <c r="A21" s="152" t="s">
        <v>799</v>
      </c>
      <c r="B21" s="146">
        <v>0</v>
      </c>
    </row>
    <row r="22" spans="1:2">
      <c r="A22" s="152" t="s">
        <v>799</v>
      </c>
      <c r="B22" s="146">
        <v>0</v>
      </c>
    </row>
    <row r="23" spans="1:2">
      <c r="A23" s="152" t="s">
        <v>799</v>
      </c>
      <c r="B23" s="146">
        <v>0</v>
      </c>
    </row>
    <row r="24" spans="1:2">
      <c r="A24" s="152" t="s">
        <v>799</v>
      </c>
      <c r="B24" s="146">
        <v>0</v>
      </c>
    </row>
    <row r="25" spans="1:2">
      <c r="A25" s="152" t="s">
        <v>799</v>
      </c>
      <c r="B25" s="146">
        <v>0</v>
      </c>
    </row>
  </sheetData>
  <mergeCells count="2">
    <mergeCell ref="A1:B1"/>
    <mergeCell ref="A2:B2"/>
  </mergeCells>
  <hyperlinks>
    <hyperlink ref="A3" location="'Fund Balance Summary'!A1" display="(Return to summary sheet)" xr:uid="{00000000-0004-0000-1D00-000000000000}"/>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27389-E6E3-49BA-8B6E-F688CB82484E}">
  <sheetPr>
    <tabColor rgb="FFE9F54D"/>
  </sheetPr>
  <dimension ref="A1:N32"/>
  <sheetViews>
    <sheetView workbookViewId="0">
      <selection activeCell="B7" sqref="B7"/>
    </sheetView>
  </sheetViews>
  <sheetFormatPr defaultRowHeight="14.4"/>
  <cols>
    <col min="1" max="1" width="41.33203125" customWidth="1"/>
    <col min="2" max="2" width="33.6640625" customWidth="1"/>
    <col min="3" max="3" width="7.109375" customWidth="1"/>
  </cols>
  <sheetData>
    <row r="1" spans="1:14" ht="15" customHeight="1">
      <c r="A1" s="738" t="s">
        <v>2048</v>
      </c>
      <c r="B1" s="738"/>
      <c r="C1" s="365" t="str">
        <f>+'Fund Balance Summary'!B1</f>
        <v>14005</v>
      </c>
      <c r="D1" s="739" t="s">
        <v>2443</v>
      </c>
      <c r="E1" s="739"/>
      <c r="F1" s="739"/>
    </row>
    <row r="2" spans="1:14" ht="15" customHeight="1">
      <c r="A2" s="679" t="s">
        <v>51</v>
      </c>
      <c r="B2" s="679"/>
      <c r="C2" s="367"/>
      <c r="D2" s="739"/>
      <c r="E2" s="739"/>
      <c r="F2" s="739"/>
    </row>
    <row r="3" spans="1:14" ht="15" customHeight="1">
      <c r="A3" s="6" t="s">
        <v>39</v>
      </c>
      <c r="C3" s="367"/>
      <c r="D3" s="739"/>
      <c r="E3" s="739"/>
      <c r="F3" s="739"/>
    </row>
    <row r="4" spans="1:14" ht="15" customHeight="1">
      <c r="B4" s="7" t="s">
        <v>51</v>
      </c>
      <c r="D4" s="739"/>
      <c r="E4" s="739"/>
      <c r="F4" s="739"/>
    </row>
    <row r="5" spans="1:14" ht="16.8">
      <c r="A5" s="22" t="s">
        <v>2049</v>
      </c>
      <c r="B5" s="364">
        <f>IF(VLOOKUP($C$1,CCDDD!$D$2:$G$331,3,FALSE)=2,SUM('GL 873 Committed'!B6:B25),0)</f>
        <v>0</v>
      </c>
      <c r="D5" s="368"/>
      <c r="E5" s="368"/>
      <c r="F5" s="368"/>
      <c r="N5" s="254"/>
    </row>
    <row r="6" spans="1:14" ht="15" customHeight="1">
      <c r="A6" s="152" t="s">
        <v>799</v>
      </c>
      <c r="B6" s="146">
        <v>0</v>
      </c>
      <c r="C6" t="str">
        <f>IF(B$5=0,IF(B6&gt;0,"Warning: GL 873 not Authorized",""),"")</f>
        <v/>
      </c>
      <c r="D6" s="368"/>
      <c r="E6" s="368"/>
      <c r="F6" s="368"/>
    </row>
    <row r="7" spans="1:14" ht="15" customHeight="1">
      <c r="A7" s="152" t="s">
        <v>799</v>
      </c>
      <c r="B7" s="146">
        <v>0</v>
      </c>
      <c r="C7" t="str">
        <f t="shared" ref="C7:C25" si="0">IF(B$5=0,IF(B7&gt;0,"Warning: GL 873 not Authorized",""),"")</f>
        <v/>
      </c>
      <c r="D7" s="368"/>
      <c r="E7" s="368"/>
      <c r="F7" s="368"/>
    </row>
    <row r="8" spans="1:14">
      <c r="A8" s="152" t="s">
        <v>799</v>
      </c>
      <c r="B8" s="146">
        <v>0</v>
      </c>
      <c r="C8" t="str">
        <f t="shared" si="0"/>
        <v/>
      </c>
    </row>
    <row r="9" spans="1:14">
      <c r="A9" s="152" t="s">
        <v>799</v>
      </c>
      <c r="B9" s="146">
        <v>0</v>
      </c>
      <c r="C9" t="str">
        <f t="shared" si="0"/>
        <v/>
      </c>
    </row>
    <row r="10" spans="1:14">
      <c r="A10" s="152" t="s">
        <v>799</v>
      </c>
      <c r="B10" s="146">
        <v>0</v>
      </c>
      <c r="C10" t="str">
        <f t="shared" si="0"/>
        <v/>
      </c>
    </row>
    <row r="11" spans="1:14">
      <c r="A11" s="152" t="s">
        <v>799</v>
      </c>
      <c r="B11" s="146">
        <v>0</v>
      </c>
      <c r="C11" t="str">
        <f t="shared" si="0"/>
        <v/>
      </c>
    </row>
    <row r="12" spans="1:14">
      <c r="A12" s="152" t="s">
        <v>799</v>
      </c>
      <c r="B12" s="146">
        <v>0</v>
      </c>
      <c r="C12" t="str">
        <f t="shared" si="0"/>
        <v/>
      </c>
    </row>
    <row r="13" spans="1:14">
      <c r="A13" s="152" t="s">
        <v>799</v>
      </c>
      <c r="B13" s="146">
        <v>0</v>
      </c>
      <c r="C13" t="str">
        <f t="shared" si="0"/>
        <v/>
      </c>
    </row>
    <row r="14" spans="1:14">
      <c r="A14" s="152" t="s">
        <v>799</v>
      </c>
      <c r="B14" s="146">
        <v>0</v>
      </c>
      <c r="C14" t="str">
        <f t="shared" si="0"/>
        <v/>
      </c>
    </row>
    <row r="15" spans="1:14">
      <c r="A15" s="152" t="s">
        <v>799</v>
      </c>
      <c r="B15" s="146">
        <v>0</v>
      </c>
      <c r="C15" t="str">
        <f t="shared" si="0"/>
        <v/>
      </c>
    </row>
    <row r="16" spans="1:14">
      <c r="A16" s="152" t="s">
        <v>799</v>
      </c>
      <c r="B16" s="146">
        <v>0</v>
      </c>
      <c r="C16" t="str">
        <f t="shared" si="0"/>
        <v/>
      </c>
    </row>
    <row r="17" spans="1:3">
      <c r="A17" s="152" t="s">
        <v>799</v>
      </c>
      <c r="B17" s="146">
        <v>0</v>
      </c>
      <c r="C17" t="str">
        <f t="shared" si="0"/>
        <v/>
      </c>
    </row>
    <row r="18" spans="1:3">
      <c r="A18" s="152" t="s">
        <v>799</v>
      </c>
      <c r="B18" s="146">
        <v>0</v>
      </c>
      <c r="C18" t="str">
        <f t="shared" si="0"/>
        <v/>
      </c>
    </row>
    <row r="19" spans="1:3">
      <c r="A19" s="152" t="s">
        <v>799</v>
      </c>
      <c r="B19" s="146">
        <v>0</v>
      </c>
      <c r="C19" t="str">
        <f t="shared" si="0"/>
        <v/>
      </c>
    </row>
    <row r="20" spans="1:3">
      <c r="A20" s="152" t="s">
        <v>799</v>
      </c>
      <c r="B20" s="146">
        <v>0</v>
      </c>
      <c r="C20" t="str">
        <f t="shared" si="0"/>
        <v/>
      </c>
    </row>
    <row r="21" spans="1:3">
      <c r="A21" s="152" t="s">
        <v>799</v>
      </c>
      <c r="B21" s="146">
        <v>0</v>
      </c>
      <c r="C21" t="str">
        <f t="shared" si="0"/>
        <v/>
      </c>
    </row>
    <row r="22" spans="1:3">
      <c r="A22" s="152" t="s">
        <v>799</v>
      </c>
      <c r="B22" s="146">
        <v>0</v>
      </c>
      <c r="C22" t="str">
        <f t="shared" si="0"/>
        <v/>
      </c>
    </row>
    <row r="23" spans="1:3">
      <c r="A23" s="152" t="s">
        <v>799</v>
      </c>
      <c r="B23" s="146">
        <v>0</v>
      </c>
      <c r="C23" t="str">
        <f t="shared" si="0"/>
        <v/>
      </c>
    </row>
    <row r="24" spans="1:3">
      <c r="A24" s="152" t="s">
        <v>799</v>
      </c>
      <c r="B24" s="146">
        <v>0</v>
      </c>
      <c r="C24" t="str">
        <f t="shared" si="0"/>
        <v/>
      </c>
    </row>
    <row r="25" spans="1:3">
      <c r="A25" s="152" t="s">
        <v>799</v>
      </c>
      <c r="B25" s="146">
        <v>0</v>
      </c>
      <c r="C25" t="str">
        <f t="shared" si="0"/>
        <v/>
      </c>
    </row>
    <row r="31" spans="1:3">
      <c r="A31" s="363"/>
    </row>
    <row r="32" spans="1:3">
      <c r="A32" s="363"/>
    </row>
  </sheetData>
  <mergeCells count="3">
    <mergeCell ref="A1:B1"/>
    <mergeCell ref="A2:B2"/>
    <mergeCell ref="D1:F4"/>
  </mergeCells>
  <hyperlinks>
    <hyperlink ref="A3" location="'Fund Balance Summary'!A1" display="(Return to summary sheet)" xr:uid="{EE0AA40C-6963-4846-9109-E5A82DC04A88}"/>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B11"/>
  <sheetViews>
    <sheetView workbookViewId="0">
      <selection activeCell="G29" sqref="G29"/>
    </sheetView>
  </sheetViews>
  <sheetFormatPr defaultRowHeight="14.4"/>
  <cols>
    <col min="1" max="1" width="31.5546875" bestFit="1" customWidth="1"/>
    <col min="2" max="2" width="20.44140625" customWidth="1"/>
  </cols>
  <sheetData>
    <row r="1" spans="1:2">
      <c r="A1" s="679" t="s">
        <v>152</v>
      </c>
      <c r="B1" s="679"/>
    </row>
    <row r="2" spans="1:2">
      <c r="A2" s="740" t="s">
        <v>51</v>
      </c>
      <c r="B2" s="740"/>
    </row>
    <row r="3" spans="1:2">
      <c r="A3" s="6" t="s">
        <v>150</v>
      </c>
    </row>
    <row r="5" spans="1:2">
      <c r="B5" s="151" t="s">
        <v>51</v>
      </c>
    </row>
    <row r="6" spans="1:2">
      <c r="A6" s="149" t="s">
        <v>72</v>
      </c>
      <c r="B6" s="150">
        <f>SUM(B7:B11)</f>
        <v>0</v>
      </c>
    </row>
    <row r="7" spans="1:2">
      <c r="A7" s="148" t="s">
        <v>153</v>
      </c>
      <c r="B7" s="146">
        <v>0</v>
      </c>
    </row>
    <row r="8" spans="1:2">
      <c r="A8" s="148" t="s">
        <v>153</v>
      </c>
      <c r="B8" s="146">
        <v>0</v>
      </c>
    </row>
    <row r="9" spans="1:2">
      <c r="A9" s="148" t="s">
        <v>153</v>
      </c>
      <c r="B9" s="146">
        <v>0</v>
      </c>
    </row>
    <row r="10" spans="1:2">
      <c r="A10" s="148" t="s">
        <v>153</v>
      </c>
      <c r="B10" s="146">
        <v>0</v>
      </c>
    </row>
    <row r="11" spans="1:2">
      <c r="A11" s="148" t="s">
        <v>153</v>
      </c>
      <c r="B11" s="146">
        <v>0</v>
      </c>
    </row>
  </sheetData>
  <mergeCells count="2">
    <mergeCell ref="A1:B1"/>
    <mergeCell ref="A2:B2"/>
  </mergeCells>
  <hyperlinks>
    <hyperlink ref="A3" location="'Fund Balance Summary'!A1" display="(Return to Summary Sheet)" xr:uid="{00000000-0004-0000-1E00-000000000000}"/>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B15"/>
  <sheetViews>
    <sheetView workbookViewId="0">
      <selection sqref="A1:B1"/>
    </sheetView>
  </sheetViews>
  <sheetFormatPr defaultRowHeight="14.4"/>
  <cols>
    <col min="1" max="1" width="33.44140625" bestFit="1" customWidth="1"/>
    <col min="2" max="2" width="27.6640625" customWidth="1"/>
  </cols>
  <sheetData>
    <row r="1" spans="1:2">
      <c r="A1" s="679" t="s">
        <v>154</v>
      </c>
      <c r="B1" s="679"/>
    </row>
    <row r="2" spans="1:2">
      <c r="A2" s="740" t="s">
        <v>51</v>
      </c>
      <c r="B2" s="740"/>
    </row>
    <row r="3" spans="1:2">
      <c r="A3" s="6" t="s">
        <v>150</v>
      </c>
    </row>
    <row r="5" spans="1:2">
      <c r="A5" s="22" t="s">
        <v>72</v>
      </c>
      <c r="B5" s="19">
        <f>SUM(B6:B15)</f>
        <v>0</v>
      </c>
    </row>
    <row r="6" spans="1:2">
      <c r="A6" s="148" t="s">
        <v>155</v>
      </c>
      <c r="B6" s="146">
        <v>0</v>
      </c>
    </row>
    <row r="7" spans="1:2">
      <c r="A7" s="148" t="s">
        <v>155</v>
      </c>
      <c r="B7" s="146">
        <v>0</v>
      </c>
    </row>
    <row r="8" spans="1:2">
      <c r="A8" s="148" t="s">
        <v>155</v>
      </c>
      <c r="B8" s="146">
        <v>0</v>
      </c>
    </row>
    <row r="9" spans="1:2">
      <c r="A9" s="148" t="s">
        <v>155</v>
      </c>
      <c r="B9" s="146">
        <v>0</v>
      </c>
    </row>
    <row r="10" spans="1:2">
      <c r="A10" s="148" t="s">
        <v>155</v>
      </c>
      <c r="B10" s="146">
        <v>0</v>
      </c>
    </row>
    <row r="11" spans="1:2">
      <c r="A11" s="148" t="s">
        <v>155</v>
      </c>
      <c r="B11" s="146">
        <v>0</v>
      </c>
    </row>
    <row r="12" spans="1:2">
      <c r="A12" s="148" t="s">
        <v>155</v>
      </c>
      <c r="B12" s="146">
        <v>0</v>
      </c>
    </row>
    <row r="13" spans="1:2">
      <c r="A13" s="148" t="s">
        <v>155</v>
      </c>
      <c r="B13" s="146">
        <v>0</v>
      </c>
    </row>
    <row r="14" spans="1:2">
      <c r="A14" s="148" t="s">
        <v>155</v>
      </c>
      <c r="B14" s="146">
        <v>0</v>
      </c>
    </row>
    <row r="15" spans="1:2">
      <c r="A15" s="148" t="s">
        <v>155</v>
      </c>
      <c r="B15" s="146">
        <v>0</v>
      </c>
    </row>
  </sheetData>
  <mergeCells count="2">
    <mergeCell ref="A1:B1"/>
    <mergeCell ref="A2:B2"/>
  </mergeCells>
  <hyperlinks>
    <hyperlink ref="A3" location="'Fund Balance Summary'!A1" display="(Return to Summary Sheet)" xr:uid="{00000000-0004-0000-1F00-000000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1:B25"/>
  <sheetViews>
    <sheetView workbookViewId="0">
      <selection sqref="A1:B1"/>
    </sheetView>
  </sheetViews>
  <sheetFormatPr defaultRowHeight="14.4"/>
  <cols>
    <col min="1" max="1" width="46.33203125" bestFit="1" customWidth="1"/>
    <col min="2" max="2" width="31.33203125" customWidth="1"/>
  </cols>
  <sheetData>
    <row r="1" spans="1:2">
      <c r="A1" s="679" t="s">
        <v>156</v>
      </c>
      <c r="B1" s="679"/>
    </row>
    <row r="2" spans="1:2">
      <c r="A2" s="740" t="s">
        <v>51</v>
      </c>
      <c r="B2" s="740"/>
    </row>
    <row r="3" spans="1:2">
      <c r="A3" s="6" t="s">
        <v>150</v>
      </c>
    </row>
    <row r="5" spans="1:2">
      <c r="A5" s="22" t="s">
        <v>72</v>
      </c>
      <c r="B5" s="19">
        <f>SUM(B6:B25)</f>
        <v>0</v>
      </c>
    </row>
    <row r="6" spans="1:2">
      <c r="A6" s="148" t="s">
        <v>157</v>
      </c>
      <c r="B6" s="146">
        <v>0</v>
      </c>
    </row>
    <row r="7" spans="1:2">
      <c r="A7" s="148" t="s">
        <v>157</v>
      </c>
      <c r="B7" s="146">
        <v>0</v>
      </c>
    </row>
    <row r="8" spans="1:2">
      <c r="A8" s="148" t="s">
        <v>157</v>
      </c>
      <c r="B8" s="146">
        <v>0</v>
      </c>
    </row>
    <row r="9" spans="1:2">
      <c r="A9" s="148" t="s">
        <v>157</v>
      </c>
      <c r="B9" s="146">
        <v>0</v>
      </c>
    </row>
    <row r="10" spans="1:2">
      <c r="A10" s="148" t="s">
        <v>157</v>
      </c>
      <c r="B10" s="146">
        <v>0</v>
      </c>
    </row>
    <row r="11" spans="1:2">
      <c r="A11" s="148" t="s">
        <v>157</v>
      </c>
      <c r="B11" s="146">
        <v>0</v>
      </c>
    </row>
    <row r="12" spans="1:2">
      <c r="A12" s="148" t="s">
        <v>157</v>
      </c>
      <c r="B12" s="146">
        <v>0</v>
      </c>
    </row>
    <row r="13" spans="1:2">
      <c r="A13" s="148" t="s">
        <v>157</v>
      </c>
      <c r="B13" s="146">
        <v>0</v>
      </c>
    </row>
    <row r="14" spans="1:2">
      <c r="A14" s="148" t="s">
        <v>157</v>
      </c>
      <c r="B14" s="146">
        <v>0</v>
      </c>
    </row>
    <row r="15" spans="1:2">
      <c r="A15" s="148" t="s">
        <v>157</v>
      </c>
      <c r="B15" s="146">
        <v>0</v>
      </c>
    </row>
    <row r="16" spans="1:2">
      <c r="A16" s="148" t="s">
        <v>157</v>
      </c>
      <c r="B16" s="146">
        <v>0</v>
      </c>
    </row>
    <row r="17" spans="1:2">
      <c r="A17" s="148" t="s">
        <v>157</v>
      </c>
      <c r="B17" s="146">
        <v>0</v>
      </c>
    </row>
    <row r="18" spans="1:2">
      <c r="A18" s="148" t="s">
        <v>157</v>
      </c>
      <c r="B18" s="146">
        <v>0</v>
      </c>
    </row>
    <row r="19" spans="1:2">
      <c r="A19" s="148" t="s">
        <v>157</v>
      </c>
      <c r="B19" s="146">
        <v>0</v>
      </c>
    </row>
    <row r="20" spans="1:2">
      <c r="A20" s="148" t="s">
        <v>157</v>
      </c>
      <c r="B20" s="146">
        <v>0</v>
      </c>
    </row>
    <row r="21" spans="1:2">
      <c r="A21" s="148" t="s">
        <v>157</v>
      </c>
      <c r="B21" s="146">
        <v>0</v>
      </c>
    </row>
    <row r="22" spans="1:2">
      <c r="A22" s="148" t="s">
        <v>157</v>
      </c>
      <c r="B22" s="146">
        <v>0</v>
      </c>
    </row>
    <row r="23" spans="1:2">
      <c r="A23" s="148" t="s">
        <v>157</v>
      </c>
      <c r="B23" s="146">
        <v>0</v>
      </c>
    </row>
    <row r="24" spans="1:2">
      <c r="A24" s="148" t="s">
        <v>157</v>
      </c>
      <c r="B24" s="146">
        <v>0</v>
      </c>
    </row>
    <row r="25" spans="1:2">
      <c r="A25" s="148" t="s">
        <v>157</v>
      </c>
      <c r="B25" s="146">
        <v>0</v>
      </c>
    </row>
  </sheetData>
  <mergeCells count="2">
    <mergeCell ref="A1:B1"/>
    <mergeCell ref="A2:B2"/>
  </mergeCells>
  <hyperlinks>
    <hyperlink ref="A3" location="'Fund Balance Summary'!A1" display="(Return to Summary Sheet)" xr:uid="{00000000-0004-0000-2000-000000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
  <sheetViews>
    <sheetView workbookViewId="0"/>
  </sheetViews>
  <sheetFormatPr defaultRowHeight="14.4"/>
  <sheetData/>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270C0"/>
  </sheetPr>
  <dimension ref="A1"/>
  <sheetViews>
    <sheetView workbookViewId="0"/>
  </sheetViews>
  <sheetFormatPr defaultRowHeight="14.4"/>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33"/>
  </sheetPr>
  <dimension ref="A1:BP338"/>
  <sheetViews>
    <sheetView zoomScaleNormal="100" workbookViewId="0">
      <pane xSplit="3" ySplit="6" topLeftCell="AP7" activePane="bottomRight" state="frozen"/>
      <selection pane="topRight" activeCell="C1" sqref="C1"/>
      <selection pane="bottomLeft" activeCell="A8" sqref="A8"/>
      <selection pane="bottomRight" activeCell="AR7" sqref="AR7"/>
    </sheetView>
  </sheetViews>
  <sheetFormatPr defaultColWidth="9.109375" defaultRowHeight="14.4"/>
  <cols>
    <col min="1" max="1" width="16.88671875" style="165" customWidth="1"/>
    <col min="2" max="2" width="6.88671875" style="165" bestFit="1" customWidth="1"/>
    <col min="3" max="3" width="49.6640625" style="165" bestFit="1" customWidth="1"/>
    <col min="4" max="6" width="19.77734375" style="165" bestFit="1" customWidth="1"/>
    <col min="7" max="7" width="13.5546875" style="165" bestFit="1" customWidth="1"/>
    <col min="8" max="9" width="12" style="165" bestFit="1" customWidth="1"/>
    <col min="10" max="10" width="14.5546875" style="165" bestFit="1" customWidth="1"/>
    <col min="11" max="11" width="12.88671875" style="165" bestFit="1" customWidth="1"/>
    <col min="12" max="12" width="11" style="165" bestFit="1" customWidth="1"/>
    <col min="13" max="13" width="21.33203125" style="165" bestFit="1" customWidth="1"/>
    <col min="14" max="14" width="13.44140625" style="165" bestFit="1" customWidth="1"/>
    <col min="15" max="15" width="8.44140625" style="165" bestFit="1" customWidth="1"/>
    <col min="16" max="16" width="8.5546875" style="165" bestFit="1" customWidth="1"/>
    <col min="17" max="17" width="14.21875" style="165" hidden="1" customWidth="1"/>
    <col min="18" max="18" width="11.88671875" style="165" hidden="1" customWidth="1"/>
    <col min="19" max="19" width="13.109375" style="165" hidden="1" customWidth="1"/>
    <col min="20" max="21" width="14.21875" style="165" hidden="1" customWidth="1"/>
    <col min="22" max="22" width="10" style="165" hidden="1" customWidth="1"/>
    <col min="23" max="23" width="14.21875" style="165" hidden="1" customWidth="1"/>
    <col min="24" max="24" width="11.88671875" style="165" hidden="1" customWidth="1"/>
    <col min="25" max="25" width="8.5546875" style="165" hidden="1" customWidth="1"/>
    <col min="26" max="26" width="10.21875" style="165" bestFit="1" customWidth="1"/>
    <col min="27" max="27" width="11" style="165" bestFit="1" customWidth="1"/>
    <col min="28" max="29" width="12" style="165" bestFit="1" customWidth="1"/>
    <col min="30" max="30" width="10.109375" style="165" bestFit="1" customWidth="1"/>
    <col min="31" max="31" width="13.21875" style="165" bestFit="1" customWidth="1"/>
    <col min="32" max="33" width="10.109375" style="165" bestFit="1" customWidth="1"/>
    <col min="34" max="34" width="10.6640625" style="165" bestFit="1" customWidth="1"/>
    <col min="35" max="35" width="10.109375" style="165" bestFit="1" customWidth="1"/>
    <col min="36" max="36" width="12.109375" style="165" bestFit="1" customWidth="1"/>
    <col min="37" max="38" width="12.5546875" style="165" bestFit="1" customWidth="1"/>
    <col min="39" max="41" width="11.109375" style="165" bestFit="1" customWidth="1"/>
    <col min="42" max="42" width="11.5546875" style="165" bestFit="1" customWidth="1"/>
    <col min="43" max="43" width="11.33203125" style="165" bestFit="1" customWidth="1"/>
    <col min="44" max="44" width="11.77734375" style="165" bestFit="1" customWidth="1"/>
    <col min="45" max="45" width="11.5546875" style="165" bestFit="1" customWidth="1"/>
    <col min="49" max="16384" width="9.109375" style="165"/>
  </cols>
  <sheetData>
    <row r="1" spans="1:44">
      <c r="A1" s="274"/>
      <c r="B1" s="274">
        <v>1</v>
      </c>
      <c r="C1" s="274">
        <f>1+B1</f>
        <v>2</v>
      </c>
      <c r="D1" s="274">
        <f t="shared" ref="D1" si="0">1+C1</f>
        <v>3</v>
      </c>
      <c r="E1" s="274">
        <f t="shared" ref="E1" si="1">1+D1</f>
        <v>4</v>
      </c>
      <c r="F1" s="274">
        <f t="shared" ref="F1" si="2">1+E1</f>
        <v>5</v>
      </c>
      <c r="G1" s="274">
        <f t="shared" ref="G1" si="3">1+F1</f>
        <v>6</v>
      </c>
      <c r="H1" s="274">
        <f t="shared" ref="H1" si="4">1+G1</f>
        <v>7</v>
      </c>
      <c r="I1" s="274">
        <f t="shared" ref="I1" si="5">1+H1</f>
        <v>8</v>
      </c>
      <c r="J1" s="274">
        <f t="shared" ref="J1" si="6">1+I1</f>
        <v>9</v>
      </c>
      <c r="K1" s="274">
        <f t="shared" ref="K1" si="7">1+J1</f>
        <v>10</v>
      </c>
      <c r="L1" s="274">
        <f t="shared" ref="L1" si="8">1+K1</f>
        <v>11</v>
      </c>
      <c r="M1" s="274">
        <f t="shared" ref="M1" si="9">1+L1</f>
        <v>12</v>
      </c>
      <c r="N1" s="274">
        <f t="shared" ref="N1" si="10">1+M1</f>
        <v>13</v>
      </c>
      <c r="O1" s="274">
        <f t="shared" ref="O1" si="11">1+N1</f>
        <v>14</v>
      </c>
      <c r="P1" s="274">
        <f t="shared" ref="P1" si="12">1+O1</f>
        <v>15</v>
      </c>
      <c r="Q1" s="274">
        <f t="shared" ref="Q1" si="13">1+P1</f>
        <v>16</v>
      </c>
      <c r="R1" s="274">
        <f t="shared" ref="R1" si="14">1+Q1</f>
        <v>17</v>
      </c>
      <c r="S1" s="274">
        <f t="shared" ref="S1" si="15">1+R1</f>
        <v>18</v>
      </c>
      <c r="T1" s="274">
        <f t="shared" ref="T1" si="16">1+S1</f>
        <v>19</v>
      </c>
      <c r="U1" s="274">
        <f t="shared" ref="U1" si="17">1+T1</f>
        <v>20</v>
      </c>
      <c r="V1" s="274">
        <f t="shared" ref="V1" si="18">1+U1</f>
        <v>21</v>
      </c>
      <c r="W1" s="274">
        <f t="shared" ref="W1" si="19">1+V1</f>
        <v>22</v>
      </c>
      <c r="X1" s="274">
        <f t="shared" ref="X1" si="20">1+W1</f>
        <v>23</v>
      </c>
      <c r="Y1" s="274">
        <f t="shared" ref="Y1" si="21">1+X1</f>
        <v>24</v>
      </c>
      <c r="Z1" s="274">
        <f t="shared" ref="Z1" si="22">1+Y1</f>
        <v>25</v>
      </c>
      <c r="AA1" s="274">
        <f t="shared" ref="AA1" si="23">1+Z1</f>
        <v>26</v>
      </c>
      <c r="AB1" s="274">
        <f t="shared" ref="AB1" si="24">1+AA1</f>
        <v>27</v>
      </c>
      <c r="AC1" s="274">
        <f t="shared" ref="AC1" si="25">1+AB1</f>
        <v>28</v>
      </c>
      <c r="AD1" s="274">
        <f t="shared" ref="AD1" si="26">1+AC1</f>
        <v>29</v>
      </c>
      <c r="AE1" s="274">
        <f t="shared" ref="AE1" si="27">1+AD1</f>
        <v>30</v>
      </c>
      <c r="AF1" s="274">
        <f t="shared" ref="AF1" si="28">1+AE1</f>
        <v>31</v>
      </c>
      <c r="AG1" s="274">
        <f t="shared" ref="AG1" si="29">1+AF1</f>
        <v>32</v>
      </c>
      <c r="AH1" s="274">
        <f t="shared" ref="AH1" si="30">1+AG1</f>
        <v>33</v>
      </c>
      <c r="AI1" s="274">
        <f t="shared" ref="AI1" si="31">1+AH1</f>
        <v>34</v>
      </c>
      <c r="AJ1" s="274">
        <f t="shared" ref="AJ1" si="32">1+AI1</f>
        <v>35</v>
      </c>
      <c r="AK1" s="274">
        <f t="shared" ref="AK1" si="33">1+AJ1</f>
        <v>36</v>
      </c>
      <c r="AL1" s="274">
        <f t="shared" ref="AL1" si="34">1+AK1</f>
        <v>37</v>
      </c>
      <c r="AM1" s="274">
        <f t="shared" ref="AM1" si="35">1+AL1</f>
        <v>38</v>
      </c>
      <c r="AN1" s="274">
        <f t="shared" ref="AN1" si="36">1+AM1</f>
        <v>39</v>
      </c>
      <c r="AO1" s="274">
        <f t="shared" ref="AO1" si="37">1+AN1</f>
        <v>40</v>
      </c>
      <c r="AP1" s="164">
        <v>41</v>
      </c>
      <c r="AQ1" s="176">
        <v>42</v>
      </c>
      <c r="AR1" s="176">
        <v>43</v>
      </c>
    </row>
    <row r="2" spans="1:44">
      <c r="A2" s="73"/>
      <c r="B2" s="275"/>
      <c r="C2" s="275"/>
      <c r="D2" s="276"/>
      <c r="E2" s="276"/>
      <c r="F2" s="276"/>
      <c r="G2" s="276"/>
      <c r="H2" s="276"/>
      <c r="I2" s="276"/>
      <c r="J2" s="276"/>
      <c r="K2" s="276"/>
      <c r="L2" s="276"/>
      <c r="M2" s="276"/>
      <c r="N2" s="441" t="s">
        <v>2496</v>
      </c>
      <c r="O2" s="441"/>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166"/>
      <c r="AQ2" s="177" t="s">
        <v>1616</v>
      </c>
      <c r="AR2" s="177" t="s">
        <v>1616</v>
      </c>
    </row>
    <row r="3" spans="1:44">
      <c r="A3" s="73" t="s">
        <v>2474</v>
      </c>
      <c r="B3" s="73"/>
      <c r="C3" s="73"/>
      <c r="D3" s="277" t="s">
        <v>1165</v>
      </c>
      <c r="E3" s="278" t="s">
        <v>1166</v>
      </c>
      <c r="F3" s="278" t="s">
        <v>1566</v>
      </c>
      <c r="G3" s="74" t="s">
        <v>1144</v>
      </c>
      <c r="H3" s="73"/>
      <c r="I3" s="74" t="s">
        <v>1539</v>
      </c>
      <c r="J3" s="74" t="s">
        <v>1145</v>
      </c>
      <c r="K3" s="74" t="s">
        <v>1146</v>
      </c>
      <c r="L3" s="74" t="s">
        <v>1147</v>
      </c>
      <c r="M3" s="74" t="s">
        <v>1698</v>
      </c>
      <c r="N3" s="278" t="s">
        <v>1148</v>
      </c>
      <c r="O3" s="278" t="s">
        <v>1149</v>
      </c>
      <c r="P3" s="278">
        <v>4159</v>
      </c>
      <c r="Q3" s="73"/>
      <c r="R3" s="73"/>
      <c r="S3" s="279" t="s">
        <v>1618</v>
      </c>
      <c r="T3" s="73"/>
      <c r="U3" s="73"/>
      <c r="V3" s="278">
        <v>4126</v>
      </c>
      <c r="W3" s="73"/>
      <c r="X3" s="73"/>
      <c r="Y3" s="278" t="s">
        <v>1151</v>
      </c>
      <c r="Z3" s="278" t="s">
        <v>1156</v>
      </c>
      <c r="AA3" s="278" t="s">
        <v>1152</v>
      </c>
      <c r="AB3" s="278" t="s">
        <v>1153</v>
      </c>
      <c r="AC3" s="278" t="s">
        <v>1150</v>
      </c>
      <c r="AD3" s="278" t="s">
        <v>1155</v>
      </c>
      <c r="AE3" s="278" t="s">
        <v>1604</v>
      </c>
      <c r="AF3" s="280"/>
      <c r="AG3" s="280"/>
      <c r="AH3" s="74"/>
      <c r="AI3" s="278" t="s">
        <v>1157</v>
      </c>
      <c r="AJ3" s="278" t="s">
        <v>1611</v>
      </c>
      <c r="AK3" s="280"/>
      <c r="AL3" s="280"/>
      <c r="AM3" s="74"/>
      <c r="AN3" s="278" t="s">
        <v>1158</v>
      </c>
      <c r="AO3" s="278" t="s">
        <v>1159</v>
      </c>
      <c r="AP3" s="74"/>
      <c r="AQ3" s="177"/>
      <c r="AR3" s="177"/>
    </row>
    <row r="4" spans="1:44" ht="30" customHeight="1">
      <c r="A4" s="73">
        <f>COUNTA(DISNAME)</f>
        <v>330</v>
      </c>
      <c r="B4" s="73"/>
      <c r="C4" s="73"/>
      <c r="D4" s="390" t="s">
        <v>1167</v>
      </c>
      <c r="E4" s="390" t="s">
        <v>1168</v>
      </c>
      <c r="F4" s="390" t="s">
        <v>1168</v>
      </c>
      <c r="G4" s="398" t="s">
        <v>1162</v>
      </c>
      <c r="H4" s="398" t="s">
        <v>1154</v>
      </c>
      <c r="I4" s="398" t="s">
        <v>1540</v>
      </c>
      <c r="J4" s="398" t="s">
        <v>1541</v>
      </c>
      <c r="K4" s="398" t="s">
        <v>1163</v>
      </c>
      <c r="L4" s="398" t="s">
        <v>1164</v>
      </c>
      <c r="M4" s="398" t="s">
        <v>2057</v>
      </c>
      <c r="N4" s="390" t="s">
        <v>1556</v>
      </c>
      <c r="O4" s="390" t="s">
        <v>750</v>
      </c>
      <c r="P4" s="390" t="s">
        <v>749</v>
      </c>
      <c r="Q4" s="390" t="s">
        <v>1601</v>
      </c>
      <c r="R4" s="390" t="s">
        <v>751</v>
      </c>
      <c r="S4" s="390" t="s">
        <v>1602</v>
      </c>
      <c r="T4" s="390" t="s">
        <v>1601</v>
      </c>
      <c r="U4" s="390" t="s">
        <v>751</v>
      </c>
      <c r="V4" s="390" t="s">
        <v>752</v>
      </c>
      <c r="W4" s="390" t="s">
        <v>1601</v>
      </c>
      <c r="X4" s="390" t="s">
        <v>751</v>
      </c>
      <c r="Y4" s="390" t="s">
        <v>753</v>
      </c>
      <c r="Z4" s="390" t="s">
        <v>1175</v>
      </c>
      <c r="AA4" s="390" t="s">
        <v>1171</v>
      </c>
      <c r="AB4" s="390" t="s">
        <v>1172</v>
      </c>
      <c r="AC4" s="390" t="s">
        <v>1170</v>
      </c>
      <c r="AD4" s="390" t="s">
        <v>1173</v>
      </c>
      <c r="AE4" s="390" t="s">
        <v>1605</v>
      </c>
      <c r="AF4" s="390" t="s">
        <v>1606</v>
      </c>
      <c r="AG4" s="390" t="s">
        <v>1607</v>
      </c>
      <c r="AH4" s="399" t="s">
        <v>1174</v>
      </c>
      <c r="AI4" s="390" t="s">
        <v>1175</v>
      </c>
      <c r="AJ4" s="390" t="s">
        <v>1612</v>
      </c>
      <c r="AK4" s="390" t="s">
        <v>1606</v>
      </c>
      <c r="AL4" s="390" t="s">
        <v>1607</v>
      </c>
      <c r="AM4" s="399" t="s">
        <v>1175</v>
      </c>
      <c r="AN4" s="390">
        <v>1400</v>
      </c>
      <c r="AO4" s="390">
        <v>5400</v>
      </c>
      <c r="AP4" s="390" t="s">
        <v>1660</v>
      </c>
      <c r="AQ4" s="391" t="s">
        <v>2391</v>
      </c>
      <c r="AR4" s="391" t="s">
        <v>2392</v>
      </c>
    </row>
    <row r="5" spans="1:44" ht="27.6">
      <c r="A5" s="73"/>
      <c r="B5" s="73"/>
      <c r="C5" s="73"/>
      <c r="D5" s="400" t="s">
        <v>1169</v>
      </c>
      <c r="E5" s="400" t="s">
        <v>1567</v>
      </c>
      <c r="F5" s="400" t="s">
        <v>1568</v>
      </c>
      <c r="G5" s="392" t="s">
        <v>744</v>
      </c>
      <c r="H5" s="390">
        <v>3121</v>
      </c>
      <c r="I5" s="392" t="s">
        <v>745</v>
      </c>
      <c r="J5" s="392" t="s">
        <v>745</v>
      </c>
      <c r="K5" s="392" t="s">
        <v>746</v>
      </c>
      <c r="L5" s="392" t="s">
        <v>747</v>
      </c>
      <c r="M5" s="392" t="s">
        <v>748</v>
      </c>
      <c r="N5" s="390" t="s">
        <v>1160</v>
      </c>
      <c r="O5" s="390" t="s">
        <v>1160</v>
      </c>
      <c r="P5" s="390"/>
      <c r="Q5" s="390" t="s">
        <v>743</v>
      </c>
      <c r="R5" s="390" t="s">
        <v>743</v>
      </c>
      <c r="S5" s="390" t="s">
        <v>1176</v>
      </c>
      <c r="T5" s="390" t="s">
        <v>1603</v>
      </c>
      <c r="U5" s="390" t="s">
        <v>1603</v>
      </c>
      <c r="V5" s="390"/>
      <c r="W5" s="390" t="s">
        <v>1619</v>
      </c>
      <c r="X5" s="390" t="s">
        <v>1619</v>
      </c>
      <c r="Y5" s="390" t="s">
        <v>755</v>
      </c>
      <c r="Z5" s="390" t="s">
        <v>742</v>
      </c>
      <c r="AA5" s="390" t="s">
        <v>742</v>
      </c>
      <c r="AB5" s="390" t="s">
        <v>754</v>
      </c>
      <c r="AC5" s="390" t="s">
        <v>754</v>
      </c>
      <c r="AD5" s="392"/>
      <c r="AE5" s="392" t="s">
        <v>1608</v>
      </c>
      <c r="AF5" s="392" t="s">
        <v>1609</v>
      </c>
      <c r="AG5" s="392" t="s">
        <v>1610</v>
      </c>
      <c r="AH5" s="392"/>
      <c r="AI5" s="390" t="s">
        <v>756</v>
      </c>
      <c r="AJ5" s="392" t="s">
        <v>1608</v>
      </c>
      <c r="AK5" s="392" t="s">
        <v>1609</v>
      </c>
      <c r="AL5" s="392" t="s">
        <v>1610</v>
      </c>
      <c r="AM5" s="390" t="s">
        <v>757</v>
      </c>
      <c r="AN5" s="390"/>
      <c r="AO5" s="390"/>
      <c r="AP5" s="392" t="s">
        <v>1655</v>
      </c>
      <c r="AQ5" s="386" t="s">
        <v>64</v>
      </c>
      <c r="AR5" s="386" t="s">
        <v>1613</v>
      </c>
    </row>
    <row r="6" spans="1:44">
      <c r="A6" s="281" t="s">
        <v>2058</v>
      </c>
      <c r="B6" s="281" t="s">
        <v>758</v>
      </c>
      <c r="C6" s="281" t="s">
        <v>759</v>
      </c>
      <c r="D6" s="393">
        <f t="shared" ref="D6:M6" si="38">SUM(D7:D336)</f>
        <v>1810379.17</v>
      </c>
      <c r="E6" s="393">
        <f t="shared" si="38"/>
        <v>19305019.550000001</v>
      </c>
      <c r="F6" s="393">
        <f t="shared" si="38"/>
        <v>7085620.5199999986</v>
      </c>
      <c r="G6" s="393">
        <f t="shared" si="38"/>
        <v>2221112639.4600019</v>
      </c>
      <c r="H6" s="393">
        <f t="shared" si="38"/>
        <v>362241727.35999978</v>
      </c>
      <c r="I6" s="393">
        <f t="shared" si="38"/>
        <v>162108689.08000007</v>
      </c>
      <c r="J6" s="393">
        <f t="shared" si="38"/>
        <v>377955419.25000012</v>
      </c>
      <c r="K6" s="393">
        <f t="shared" si="38"/>
        <v>293629464.16000009</v>
      </c>
      <c r="L6" s="393">
        <f t="shared" si="38"/>
        <v>35586622.959999964</v>
      </c>
      <c r="M6" s="393">
        <f t="shared" si="38"/>
        <v>780894606.84000003</v>
      </c>
      <c r="N6" s="442">
        <v>3.5000000000000003E-2</v>
      </c>
      <c r="O6" s="442">
        <v>0.14981409707316898</v>
      </c>
      <c r="P6" s="393">
        <f t="shared" ref="P6:AR6" si="39">SUM(P7:P336)</f>
        <v>366880.77</v>
      </c>
      <c r="Q6" s="393">
        <f t="shared" si="39"/>
        <v>36559.040000000001</v>
      </c>
      <c r="R6" s="393">
        <f t="shared" si="39"/>
        <v>6948.01</v>
      </c>
      <c r="S6" s="393">
        <f t="shared" si="39"/>
        <v>14670749.790000001</v>
      </c>
      <c r="T6" s="393">
        <f t="shared" si="39"/>
        <v>656469.57699999947</v>
      </c>
      <c r="U6" s="393">
        <f t="shared" si="39"/>
        <v>463136.98000000004</v>
      </c>
      <c r="V6" s="393">
        <f t="shared" si="39"/>
        <v>3842612.6900000004</v>
      </c>
      <c r="W6" s="393">
        <f t="shared" si="39"/>
        <v>288389.02699999925</v>
      </c>
      <c r="X6" s="393">
        <f t="shared" si="39"/>
        <v>142223.72999999998</v>
      </c>
      <c r="Y6" s="393">
        <f t="shared" si="39"/>
        <v>651677.87999999966</v>
      </c>
      <c r="Z6" s="393">
        <f t="shared" si="39"/>
        <v>6150104.2799999975</v>
      </c>
      <c r="AA6" s="393">
        <f t="shared" si="39"/>
        <v>24128931.240000017</v>
      </c>
      <c r="AB6" s="393">
        <f t="shared" si="39"/>
        <v>139613001.37999997</v>
      </c>
      <c r="AC6" s="393">
        <f t="shared" si="39"/>
        <v>675896375.97000015</v>
      </c>
      <c r="AD6" s="393">
        <f t="shared" si="39"/>
        <v>64028.98000000001</v>
      </c>
      <c r="AE6" s="393">
        <f t="shared" si="39"/>
        <v>629943018.10999954</v>
      </c>
      <c r="AF6" s="393">
        <f t="shared" si="39"/>
        <v>2422347.3800000013</v>
      </c>
      <c r="AG6" s="393">
        <f t="shared" si="39"/>
        <v>2626928.5400000019</v>
      </c>
      <c r="AH6" s="393">
        <f t="shared" si="39"/>
        <v>204581.16</v>
      </c>
      <c r="AI6" s="393">
        <f t="shared" si="39"/>
        <v>13863.339999999995</v>
      </c>
      <c r="AJ6" s="393">
        <f t="shared" si="39"/>
        <v>132845231.81000005</v>
      </c>
      <c r="AK6" s="394">
        <f t="shared" si="39"/>
        <v>1994517.53</v>
      </c>
      <c r="AL6" s="394">
        <f t="shared" si="39"/>
        <v>2097426.7300000004</v>
      </c>
      <c r="AM6" s="395">
        <f t="shared" si="39"/>
        <v>102909.20000000001</v>
      </c>
      <c r="AN6" s="395">
        <f t="shared" si="39"/>
        <v>537433.37000000023</v>
      </c>
      <c r="AO6" s="395">
        <f t="shared" si="39"/>
        <v>655546.22</v>
      </c>
      <c r="AP6" s="396">
        <f t="shared" si="39"/>
        <v>0</v>
      </c>
      <c r="AQ6" s="397">
        <f t="shared" si="39"/>
        <v>25735023.280000001</v>
      </c>
      <c r="AR6" s="397">
        <f t="shared" si="39"/>
        <v>127573648.14000006</v>
      </c>
    </row>
    <row r="7" spans="1:44">
      <c r="A7" s="236" t="s">
        <v>298</v>
      </c>
      <c r="B7" s="236" t="s">
        <v>297</v>
      </c>
      <c r="C7" s="236" t="str">
        <f t="shared" ref="C7:C33" si="40">CONCATENATE(B7," ",A7," SCHOOL DISTRICT")</f>
        <v>14005 ABERDEEN SCHOOL DISTRICT</v>
      </c>
      <c r="D7" s="387">
        <v>0</v>
      </c>
      <c r="E7" s="387">
        <v>141627.10999999999</v>
      </c>
      <c r="F7" s="387">
        <v>70098.31</v>
      </c>
      <c r="G7" s="387">
        <v>6432304.9800000004</v>
      </c>
      <c r="H7" s="387">
        <v>1319178.8799999999</v>
      </c>
      <c r="I7" s="387">
        <v>982239.4</v>
      </c>
      <c r="J7" s="387">
        <v>1486574.06</v>
      </c>
      <c r="K7" s="387">
        <v>780235.53</v>
      </c>
      <c r="L7" s="387">
        <v>96620.82</v>
      </c>
      <c r="M7" s="387">
        <v>1817016.64</v>
      </c>
      <c r="N7" s="388">
        <v>2.3900000000000001E-2</v>
      </c>
      <c r="O7" s="389">
        <v>0.15</v>
      </c>
      <c r="P7" s="387">
        <v>0</v>
      </c>
      <c r="Q7" s="387">
        <v>0</v>
      </c>
      <c r="R7" s="387">
        <v>0</v>
      </c>
      <c r="S7" s="387">
        <v>383948.29000000004</v>
      </c>
      <c r="T7" s="387">
        <v>32336.140000000014</v>
      </c>
      <c r="U7" s="387">
        <v>11206.17</v>
      </c>
      <c r="V7" s="387">
        <v>0</v>
      </c>
      <c r="W7" s="387">
        <v>0</v>
      </c>
      <c r="X7" s="387">
        <v>0</v>
      </c>
      <c r="Y7" s="387">
        <v>151.72</v>
      </c>
      <c r="Z7" s="387">
        <v>86831.43</v>
      </c>
      <c r="AA7" s="387">
        <v>234222.92</v>
      </c>
      <c r="AB7" s="387">
        <v>1079933.79</v>
      </c>
      <c r="AC7" s="387">
        <v>2594393.0299999998</v>
      </c>
      <c r="AD7" s="525">
        <v>259.27999999999997</v>
      </c>
      <c r="AE7" s="387">
        <v>2402393.21</v>
      </c>
      <c r="AF7" s="526">
        <f>IFERROR(ROUND(AE7/AD7,2),0)</f>
        <v>9265.6299999999992</v>
      </c>
      <c r="AG7" s="526">
        <f>IFERROR(ROUND(AC7/AD7,2),0)</f>
        <v>10006.14</v>
      </c>
      <c r="AH7" s="527">
        <f t="shared" ref="AH7:AH70" si="41">ROUND(AG7-AF7,2)</f>
        <v>740.51</v>
      </c>
      <c r="AI7" s="525">
        <v>113.09</v>
      </c>
      <c r="AJ7" s="387">
        <v>1027430.8</v>
      </c>
      <c r="AK7" s="526">
        <f>IFERROR(ROUND(AJ7/AI7,2),0)</f>
        <v>9085.07</v>
      </c>
      <c r="AL7" s="526">
        <f>IFERROR(ROUND(AB7/AI7,2),0)</f>
        <v>9549.33</v>
      </c>
      <c r="AM7" s="527">
        <f t="shared" ref="AM7:AM70" si="42">ROUND(AL7-AK7,2)</f>
        <v>464.26</v>
      </c>
      <c r="AN7" s="387">
        <v>4000</v>
      </c>
      <c r="AO7" s="387">
        <v>0</v>
      </c>
      <c r="AP7" s="73"/>
      <c r="AQ7" s="241">
        <v>0</v>
      </c>
      <c r="AR7" s="659">
        <v>353855.61</v>
      </c>
    </row>
    <row r="8" spans="1:44">
      <c r="A8" s="236" t="s">
        <v>425</v>
      </c>
      <c r="B8" s="236" t="s">
        <v>424</v>
      </c>
      <c r="C8" s="236" t="str">
        <f t="shared" si="40"/>
        <v>21226 ADNA SCHOOL DISTRICT</v>
      </c>
      <c r="D8" s="387">
        <v>0</v>
      </c>
      <c r="E8" s="387">
        <v>0</v>
      </c>
      <c r="F8" s="387">
        <v>0</v>
      </c>
      <c r="G8" s="387">
        <v>842521.75</v>
      </c>
      <c r="H8" s="387">
        <v>104485.09</v>
      </c>
      <c r="I8" s="387">
        <v>0</v>
      </c>
      <c r="J8" s="387">
        <v>123262.38</v>
      </c>
      <c r="K8" s="387">
        <v>0</v>
      </c>
      <c r="L8" s="387">
        <v>20058.150000000001</v>
      </c>
      <c r="M8" s="387">
        <v>434880.22</v>
      </c>
      <c r="N8" s="388">
        <v>4.4600000000000001E-2</v>
      </c>
      <c r="O8" s="389">
        <v>0.217</v>
      </c>
      <c r="P8" s="387">
        <v>0</v>
      </c>
      <c r="Q8" s="387">
        <v>0</v>
      </c>
      <c r="R8" s="387">
        <v>0</v>
      </c>
      <c r="S8" s="387">
        <v>0</v>
      </c>
      <c r="T8" s="387">
        <v>0</v>
      </c>
      <c r="U8" s="387">
        <v>0</v>
      </c>
      <c r="V8" s="387">
        <v>0</v>
      </c>
      <c r="W8" s="387">
        <v>0</v>
      </c>
      <c r="X8" s="387">
        <v>0</v>
      </c>
      <c r="Y8" s="387">
        <v>715.11</v>
      </c>
      <c r="Z8" s="387">
        <v>0</v>
      </c>
      <c r="AA8" s="387">
        <v>63062.8</v>
      </c>
      <c r="AB8" s="387">
        <v>96719.13</v>
      </c>
      <c r="AC8" s="387">
        <v>652991.55000000005</v>
      </c>
      <c r="AD8" s="525">
        <v>65.69</v>
      </c>
      <c r="AE8" s="387">
        <v>620750.17000000004</v>
      </c>
      <c r="AF8" s="526">
        <f t="shared" ref="AF8:AF71" si="43">IFERROR(ROUND(AE8/AD8,2),0)</f>
        <v>9449.69</v>
      </c>
      <c r="AG8" s="526">
        <f t="shared" ref="AG8:AG71" si="44">IFERROR(ROUND(AC8/AD8,2),0)</f>
        <v>9940.5</v>
      </c>
      <c r="AH8" s="527">
        <f t="shared" si="41"/>
        <v>490.81</v>
      </c>
      <c r="AI8" s="525">
        <v>9.92</v>
      </c>
      <c r="AJ8" s="387">
        <v>91823.7</v>
      </c>
      <c r="AK8" s="526">
        <f t="shared" ref="AK8:AK71" si="45">IFERROR(ROUND(AJ8/AI8,2),0)</f>
        <v>9256.42</v>
      </c>
      <c r="AL8" s="526">
        <f t="shared" ref="AL8:AL71" si="46">IFERROR(ROUND(AB8/AI8,2),0)</f>
        <v>9749.91</v>
      </c>
      <c r="AM8" s="527">
        <f t="shared" si="42"/>
        <v>493.49</v>
      </c>
      <c r="AN8" s="387">
        <v>0</v>
      </c>
      <c r="AO8" s="387">
        <v>0</v>
      </c>
      <c r="AP8" s="73"/>
      <c r="AQ8" s="241">
        <v>9103.7699999999822</v>
      </c>
      <c r="AR8" s="659">
        <v>66264.62</v>
      </c>
    </row>
    <row r="9" spans="1:44">
      <c r="A9" s="236" t="s">
        <v>447</v>
      </c>
      <c r="B9" s="236" t="s">
        <v>446</v>
      </c>
      <c r="C9" s="236" t="str">
        <f t="shared" si="40"/>
        <v>22017 ALMIRA SCHOOL DISTRICT</v>
      </c>
      <c r="D9" s="387">
        <v>0</v>
      </c>
      <c r="E9" s="387">
        <v>0</v>
      </c>
      <c r="F9" s="387">
        <v>0</v>
      </c>
      <c r="G9" s="387">
        <v>132520.01999999999</v>
      </c>
      <c r="H9" s="387">
        <v>15418.72</v>
      </c>
      <c r="I9" s="387">
        <v>0</v>
      </c>
      <c r="J9" s="387">
        <v>30263.279999999999</v>
      </c>
      <c r="K9" s="387">
        <v>0</v>
      </c>
      <c r="L9" s="387">
        <v>3386.86</v>
      </c>
      <c r="M9" s="387">
        <v>245687.11</v>
      </c>
      <c r="N9" s="388">
        <v>5.8900000000000001E-2</v>
      </c>
      <c r="O9" s="389">
        <v>0.20960000000000001</v>
      </c>
      <c r="P9" s="387">
        <v>0</v>
      </c>
      <c r="Q9" s="387">
        <v>0</v>
      </c>
      <c r="R9" s="387">
        <v>0</v>
      </c>
      <c r="S9" s="387">
        <v>0</v>
      </c>
      <c r="T9" s="387">
        <v>0</v>
      </c>
      <c r="U9" s="387">
        <v>0</v>
      </c>
      <c r="V9" s="387">
        <v>0</v>
      </c>
      <c r="W9" s="387">
        <v>0</v>
      </c>
      <c r="X9" s="387">
        <v>0</v>
      </c>
      <c r="Y9" s="387">
        <v>0</v>
      </c>
      <c r="Z9" s="387">
        <v>0</v>
      </c>
      <c r="AA9" s="387">
        <v>5017</v>
      </c>
      <c r="AB9" s="387">
        <v>2838.12</v>
      </c>
      <c r="AC9" s="387">
        <v>59493.599999999999</v>
      </c>
      <c r="AD9" s="525">
        <v>5.98</v>
      </c>
      <c r="AE9" s="387">
        <v>55744.24</v>
      </c>
      <c r="AF9" s="526">
        <f t="shared" si="43"/>
        <v>9321.7800000000007</v>
      </c>
      <c r="AG9" s="526">
        <f t="shared" si="44"/>
        <v>9948.76</v>
      </c>
      <c r="AH9" s="527">
        <f t="shared" si="41"/>
        <v>626.98</v>
      </c>
      <c r="AI9" s="525">
        <v>0.3</v>
      </c>
      <c r="AJ9" s="387">
        <v>2699.82</v>
      </c>
      <c r="AK9" s="526">
        <f t="shared" si="45"/>
        <v>8999.4</v>
      </c>
      <c r="AL9" s="526">
        <f t="shared" si="46"/>
        <v>9460.4</v>
      </c>
      <c r="AM9" s="527">
        <f t="shared" si="42"/>
        <v>461</v>
      </c>
      <c r="AN9" s="387">
        <v>0</v>
      </c>
      <c r="AO9" s="387">
        <v>0</v>
      </c>
      <c r="AP9" s="73"/>
      <c r="AQ9" s="241">
        <v>62016.39</v>
      </c>
      <c r="AR9" s="659">
        <v>23377.040000000001</v>
      </c>
    </row>
    <row r="10" spans="1:44">
      <c r="A10" s="236" t="s">
        <v>549</v>
      </c>
      <c r="B10" s="236" t="s">
        <v>548</v>
      </c>
      <c r="C10" s="236" t="str">
        <f t="shared" si="40"/>
        <v>29103 ANACORTES SCHOOL DISTRICT</v>
      </c>
      <c r="D10" s="387">
        <v>0</v>
      </c>
      <c r="E10" s="387">
        <v>0</v>
      </c>
      <c r="F10" s="387">
        <v>0</v>
      </c>
      <c r="G10" s="387">
        <v>5307110.99</v>
      </c>
      <c r="H10" s="387">
        <v>674791.75</v>
      </c>
      <c r="I10" s="387">
        <v>19731.97</v>
      </c>
      <c r="J10" s="387">
        <v>606017.93000000005</v>
      </c>
      <c r="K10" s="387">
        <v>111677.49</v>
      </c>
      <c r="L10" s="387">
        <v>90150.399999999994</v>
      </c>
      <c r="M10" s="387">
        <v>1462454.97</v>
      </c>
      <c r="N10" s="388">
        <v>7.2800000000000004E-2</v>
      </c>
      <c r="O10" s="389">
        <v>0.192</v>
      </c>
      <c r="P10" s="387">
        <v>0</v>
      </c>
      <c r="Q10" s="387">
        <v>0</v>
      </c>
      <c r="R10" s="387">
        <v>0</v>
      </c>
      <c r="S10" s="387">
        <v>0</v>
      </c>
      <c r="T10" s="387">
        <v>0</v>
      </c>
      <c r="U10" s="387">
        <v>0</v>
      </c>
      <c r="V10" s="387">
        <v>0</v>
      </c>
      <c r="W10" s="387">
        <v>0</v>
      </c>
      <c r="X10" s="387">
        <v>0</v>
      </c>
      <c r="Y10" s="387">
        <v>0</v>
      </c>
      <c r="Z10" s="387">
        <v>0</v>
      </c>
      <c r="AA10" s="387">
        <v>13014.73</v>
      </c>
      <c r="AB10" s="387">
        <v>289464.57</v>
      </c>
      <c r="AC10" s="387">
        <v>1119552.82</v>
      </c>
      <c r="AD10" s="525">
        <v>101.64</v>
      </c>
      <c r="AE10" s="387">
        <v>1038267.16</v>
      </c>
      <c r="AF10" s="526">
        <f t="shared" si="43"/>
        <v>10215.14</v>
      </c>
      <c r="AG10" s="526">
        <f t="shared" si="44"/>
        <v>11014.88</v>
      </c>
      <c r="AH10" s="527">
        <f t="shared" si="41"/>
        <v>799.74</v>
      </c>
      <c r="AI10" s="525">
        <v>27.44</v>
      </c>
      <c r="AJ10" s="387">
        <v>275335.62</v>
      </c>
      <c r="AK10" s="526">
        <f t="shared" si="45"/>
        <v>10034.1</v>
      </c>
      <c r="AL10" s="526">
        <f t="shared" si="46"/>
        <v>10549</v>
      </c>
      <c r="AM10" s="527">
        <f t="shared" si="42"/>
        <v>514.9</v>
      </c>
      <c r="AN10" s="387">
        <v>21000</v>
      </c>
      <c r="AO10" s="387">
        <v>0</v>
      </c>
      <c r="AP10" s="73"/>
      <c r="AQ10" s="241">
        <v>0</v>
      </c>
      <c r="AR10" s="659">
        <v>307430.03999999998</v>
      </c>
    </row>
    <row r="11" spans="1:44">
      <c r="A11" s="236" t="s">
        <v>573</v>
      </c>
      <c r="B11" s="236" t="s">
        <v>572</v>
      </c>
      <c r="C11" s="236" t="str">
        <f t="shared" si="40"/>
        <v>31016 ARLINGTON SCHOOL DISTRICT</v>
      </c>
      <c r="D11" s="387">
        <v>0</v>
      </c>
      <c r="E11" s="387">
        <v>39597.93</v>
      </c>
      <c r="F11" s="387">
        <v>1099.5</v>
      </c>
      <c r="G11" s="387">
        <v>13282023.42</v>
      </c>
      <c r="H11" s="387">
        <v>2058705.32</v>
      </c>
      <c r="I11" s="387">
        <v>22321.78</v>
      </c>
      <c r="J11" s="387">
        <v>1680793.31</v>
      </c>
      <c r="K11" s="387">
        <v>716799.53</v>
      </c>
      <c r="L11" s="387">
        <v>196949.67</v>
      </c>
      <c r="M11" s="387">
        <v>4459047.3099999996</v>
      </c>
      <c r="N11" s="388">
        <v>2.5100000000000001E-2</v>
      </c>
      <c r="O11" s="389">
        <v>0.1212</v>
      </c>
      <c r="P11" s="387">
        <v>0</v>
      </c>
      <c r="Q11" s="387">
        <v>0</v>
      </c>
      <c r="R11" s="387">
        <v>0</v>
      </c>
      <c r="S11" s="387">
        <v>0</v>
      </c>
      <c r="T11" s="387">
        <v>0</v>
      </c>
      <c r="U11" s="387">
        <v>0</v>
      </c>
      <c r="V11" s="387">
        <v>0</v>
      </c>
      <c r="W11" s="387">
        <v>0</v>
      </c>
      <c r="X11" s="387">
        <v>0</v>
      </c>
      <c r="Y11" s="387">
        <v>0</v>
      </c>
      <c r="Z11" s="387">
        <v>37772.519999999997</v>
      </c>
      <c r="AA11" s="387">
        <v>400572.26</v>
      </c>
      <c r="AB11" s="387">
        <v>385457.81</v>
      </c>
      <c r="AC11" s="387">
        <v>4023700.42</v>
      </c>
      <c r="AD11" s="525">
        <v>376.81</v>
      </c>
      <c r="AE11" s="387">
        <v>3849510.5</v>
      </c>
      <c r="AF11" s="526">
        <f t="shared" si="43"/>
        <v>10216.049999999999</v>
      </c>
      <c r="AG11" s="526">
        <f t="shared" si="44"/>
        <v>10678.33</v>
      </c>
      <c r="AH11" s="527">
        <f t="shared" si="41"/>
        <v>462.28</v>
      </c>
      <c r="AI11" s="525">
        <v>36.549999999999997</v>
      </c>
      <c r="AJ11" s="387">
        <v>366669.11</v>
      </c>
      <c r="AK11" s="526">
        <f t="shared" si="45"/>
        <v>10031.99</v>
      </c>
      <c r="AL11" s="526">
        <f t="shared" si="46"/>
        <v>10546.04</v>
      </c>
      <c r="AM11" s="527">
        <f t="shared" si="42"/>
        <v>514.04999999999995</v>
      </c>
      <c r="AN11" s="387">
        <v>0</v>
      </c>
      <c r="AO11" s="387">
        <v>0</v>
      </c>
      <c r="AP11" s="73"/>
      <c r="AQ11" s="241">
        <v>0</v>
      </c>
      <c r="AR11" s="659">
        <v>676299.96000000008</v>
      </c>
    </row>
    <row r="12" spans="1:44">
      <c r="A12" s="236" t="s">
        <v>1629</v>
      </c>
      <c r="B12" s="236" t="s">
        <v>175</v>
      </c>
      <c r="C12" s="236" t="str">
        <f t="shared" si="40"/>
        <v>02420 ASOTIN-ANATONE SCHOOL DISTRICT</v>
      </c>
      <c r="D12" s="387">
        <v>0</v>
      </c>
      <c r="E12" s="387">
        <v>0</v>
      </c>
      <c r="F12" s="387">
        <v>0</v>
      </c>
      <c r="G12" s="387">
        <v>1105492.8</v>
      </c>
      <c r="H12" s="387">
        <v>181763.95</v>
      </c>
      <c r="I12" s="387">
        <v>0</v>
      </c>
      <c r="J12" s="387">
        <v>151430.37</v>
      </c>
      <c r="K12" s="387">
        <v>0</v>
      </c>
      <c r="L12" s="387">
        <v>19389.14</v>
      </c>
      <c r="M12" s="387">
        <v>429258.95</v>
      </c>
      <c r="N12" s="388">
        <v>3.6299999999999999E-2</v>
      </c>
      <c r="O12" s="389">
        <v>0.17829999999999999</v>
      </c>
      <c r="P12" s="387">
        <v>0</v>
      </c>
      <c r="Q12" s="387">
        <v>0</v>
      </c>
      <c r="R12" s="387">
        <v>0</v>
      </c>
      <c r="S12" s="387">
        <v>0</v>
      </c>
      <c r="T12" s="387">
        <v>0</v>
      </c>
      <c r="U12" s="387">
        <v>0</v>
      </c>
      <c r="V12" s="387">
        <v>0</v>
      </c>
      <c r="W12" s="387">
        <v>0</v>
      </c>
      <c r="X12" s="387">
        <v>0</v>
      </c>
      <c r="Y12" s="387">
        <v>0</v>
      </c>
      <c r="Z12" s="387">
        <v>0</v>
      </c>
      <c r="AA12" s="387">
        <v>0</v>
      </c>
      <c r="AB12" s="387">
        <v>30088.37</v>
      </c>
      <c r="AC12" s="387">
        <v>468058.54</v>
      </c>
      <c r="AD12" s="525">
        <v>46.24</v>
      </c>
      <c r="AE12" s="387">
        <v>428560.35</v>
      </c>
      <c r="AF12" s="526">
        <f t="shared" si="43"/>
        <v>9268.17</v>
      </c>
      <c r="AG12" s="526">
        <f t="shared" si="44"/>
        <v>10122.370000000001</v>
      </c>
      <c r="AH12" s="527">
        <f t="shared" si="41"/>
        <v>854.2</v>
      </c>
      <c r="AI12" s="525">
        <v>3.17</v>
      </c>
      <c r="AJ12" s="387">
        <v>28774.86</v>
      </c>
      <c r="AK12" s="526">
        <f t="shared" si="45"/>
        <v>9077.24</v>
      </c>
      <c r="AL12" s="526">
        <f t="shared" si="46"/>
        <v>9491.6</v>
      </c>
      <c r="AM12" s="527">
        <f t="shared" si="42"/>
        <v>414.36</v>
      </c>
      <c r="AN12" s="387">
        <v>11246.69</v>
      </c>
      <c r="AO12" s="387">
        <v>0</v>
      </c>
      <c r="AP12" s="73"/>
      <c r="AQ12" s="241">
        <v>0</v>
      </c>
      <c r="AR12" s="659">
        <v>71067.470000000016</v>
      </c>
    </row>
    <row r="13" spans="1:44">
      <c r="A13" s="236" t="s">
        <v>360</v>
      </c>
      <c r="B13" s="236" t="s">
        <v>97</v>
      </c>
      <c r="C13" s="236" t="str">
        <f t="shared" si="40"/>
        <v>17408 AUBURN SCHOOL DISTRICT</v>
      </c>
      <c r="D13" s="387">
        <v>0</v>
      </c>
      <c r="E13" s="387">
        <v>0</v>
      </c>
      <c r="F13" s="387">
        <v>105231.89</v>
      </c>
      <c r="G13" s="387">
        <v>30269102.670000002</v>
      </c>
      <c r="H13" s="387">
        <v>4718078.8600000003</v>
      </c>
      <c r="I13" s="387">
        <v>4472926.3099999996</v>
      </c>
      <c r="J13" s="387">
        <v>7585785.5099999998</v>
      </c>
      <c r="K13" s="387">
        <v>10163892.09</v>
      </c>
      <c r="L13" s="387">
        <v>595545.1</v>
      </c>
      <c r="M13" s="387">
        <v>12489483.720000001</v>
      </c>
      <c r="N13" s="388">
        <v>3.9699999999999999E-2</v>
      </c>
      <c r="O13" s="389">
        <v>0.1363</v>
      </c>
      <c r="P13" s="387">
        <v>0</v>
      </c>
      <c r="Q13" s="387">
        <v>0</v>
      </c>
      <c r="R13" s="387">
        <v>0</v>
      </c>
      <c r="S13" s="387">
        <v>0</v>
      </c>
      <c r="T13" s="387">
        <v>0</v>
      </c>
      <c r="U13" s="387">
        <v>0</v>
      </c>
      <c r="V13" s="387">
        <v>0</v>
      </c>
      <c r="W13" s="387">
        <v>0</v>
      </c>
      <c r="X13" s="387">
        <v>0</v>
      </c>
      <c r="Y13" s="387">
        <v>1034.17</v>
      </c>
      <c r="Z13" s="387">
        <v>143192.85999999999</v>
      </c>
      <c r="AA13" s="387">
        <v>501231.87</v>
      </c>
      <c r="AB13" s="387">
        <v>2211012.71</v>
      </c>
      <c r="AC13" s="387">
        <v>8816443.1199999992</v>
      </c>
      <c r="AD13" s="525">
        <v>794.82</v>
      </c>
      <c r="AE13" s="387">
        <v>7973324.8899999997</v>
      </c>
      <c r="AF13" s="526">
        <f t="shared" si="43"/>
        <v>10031.61</v>
      </c>
      <c r="AG13" s="526">
        <f t="shared" si="44"/>
        <v>11092.38</v>
      </c>
      <c r="AH13" s="527">
        <f t="shared" si="41"/>
        <v>1060.77</v>
      </c>
      <c r="AI13" s="525">
        <v>213.57</v>
      </c>
      <c r="AJ13" s="387">
        <v>2104319.7599999998</v>
      </c>
      <c r="AK13" s="526">
        <f t="shared" si="45"/>
        <v>9853.07</v>
      </c>
      <c r="AL13" s="526">
        <f t="shared" si="46"/>
        <v>10352.64</v>
      </c>
      <c r="AM13" s="527">
        <f t="shared" si="42"/>
        <v>499.57</v>
      </c>
      <c r="AN13" s="387">
        <v>0</v>
      </c>
      <c r="AO13" s="387">
        <v>0</v>
      </c>
      <c r="AP13" s="73"/>
      <c r="AQ13" s="241">
        <v>4225226.3600000013</v>
      </c>
      <c r="AR13" s="659">
        <v>2221252.9300000002</v>
      </c>
    </row>
    <row r="14" spans="1:44">
      <c r="A14" s="236" t="s">
        <v>377</v>
      </c>
      <c r="B14" s="236" t="s">
        <v>376</v>
      </c>
      <c r="C14" s="236" t="str">
        <f t="shared" si="40"/>
        <v>18303 BAINBRIDGE SCHOOL DISTRICT</v>
      </c>
      <c r="D14" s="387">
        <v>0</v>
      </c>
      <c r="E14" s="387">
        <v>0</v>
      </c>
      <c r="F14" s="387">
        <v>0</v>
      </c>
      <c r="G14" s="387">
        <v>7913028.6200000001</v>
      </c>
      <c r="H14" s="387">
        <v>834147.82</v>
      </c>
      <c r="I14" s="387">
        <v>0</v>
      </c>
      <c r="J14" s="387">
        <v>267847.45</v>
      </c>
      <c r="K14" s="387">
        <v>96343.03</v>
      </c>
      <c r="L14" s="387">
        <v>128185.06</v>
      </c>
      <c r="M14" s="387">
        <v>1792028.11</v>
      </c>
      <c r="N14" s="388">
        <v>3.4799999999999998E-2</v>
      </c>
      <c r="O14" s="389">
        <v>0.1807</v>
      </c>
      <c r="P14" s="387">
        <v>0</v>
      </c>
      <c r="Q14" s="387">
        <v>0</v>
      </c>
      <c r="R14" s="387">
        <v>0</v>
      </c>
      <c r="S14" s="387">
        <v>0</v>
      </c>
      <c r="T14" s="387">
        <v>0</v>
      </c>
      <c r="U14" s="387">
        <v>0</v>
      </c>
      <c r="V14" s="387">
        <v>0</v>
      </c>
      <c r="W14" s="387">
        <v>0</v>
      </c>
      <c r="X14" s="387">
        <v>0</v>
      </c>
      <c r="Y14" s="387">
        <v>3972.69</v>
      </c>
      <c r="Z14" s="387">
        <v>0</v>
      </c>
      <c r="AA14" s="387">
        <v>0</v>
      </c>
      <c r="AB14" s="387">
        <v>669460.5</v>
      </c>
      <c r="AC14" s="387">
        <v>3352864.15</v>
      </c>
      <c r="AD14" s="525">
        <v>304.2</v>
      </c>
      <c r="AE14" s="387">
        <v>3223994.52</v>
      </c>
      <c r="AF14" s="526">
        <f t="shared" si="43"/>
        <v>10598.27</v>
      </c>
      <c r="AG14" s="526">
        <f t="shared" si="44"/>
        <v>11021.91</v>
      </c>
      <c r="AH14" s="527">
        <f t="shared" si="41"/>
        <v>423.64</v>
      </c>
      <c r="AI14" s="525">
        <v>61.12</v>
      </c>
      <c r="AJ14" s="387">
        <v>637037.26</v>
      </c>
      <c r="AK14" s="526">
        <f t="shared" si="45"/>
        <v>10422.73</v>
      </c>
      <c r="AL14" s="526">
        <f t="shared" si="46"/>
        <v>10953.21</v>
      </c>
      <c r="AM14" s="527">
        <f t="shared" si="42"/>
        <v>530.48</v>
      </c>
      <c r="AN14" s="387">
        <v>0</v>
      </c>
      <c r="AO14" s="387">
        <v>0</v>
      </c>
      <c r="AP14" s="73"/>
      <c r="AQ14" s="241">
        <v>0</v>
      </c>
      <c r="AR14" s="659">
        <v>416453.84999999992</v>
      </c>
    </row>
    <row r="15" spans="1:44">
      <c r="A15" s="236" t="s">
        <v>226</v>
      </c>
      <c r="B15" s="236" t="s">
        <v>225</v>
      </c>
      <c r="C15" s="236" t="str">
        <f t="shared" si="40"/>
        <v>06119 BATTLE GROUND SCHOOL DISTRICT</v>
      </c>
      <c r="D15" s="387">
        <v>0</v>
      </c>
      <c r="E15" s="387">
        <v>309999.90000000002</v>
      </c>
      <c r="F15" s="387">
        <v>0</v>
      </c>
      <c r="G15" s="387">
        <v>24939612.670000002</v>
      </c>
      <c r="H15" s="387">
        <v>3750055.99</v>
      </c>
      <c r="I15" s="387">
        <v>359192.12</v>
      </c>
      <c r="J15" s="387">
        <v>3589214.43</v>
      </c>
      <c r="K15" s="387">
        <v>2686630.69</v>
      </c>
      <c r="L15" s="387">
        <v>422274.37</v>
      </c>
      <c r="M15" s="387">
        <v>14092421.310000001</v>
      </c>
      <c r="N15" s="388">
        <v>3.6900000000000002E-2</v>
      </c>
      <c r="O15" s="389">
        <v>0.14799999999999999</v>
      </c>
      <c r="P15" s="387">
        <v>0</v>
      </c>
      <c r="Q15" s="387">
        <v>0</v>
      </c>
      <c r="R15" s="387">
        <v>0</v>
      </c>
      <c r="S15" s="387">
        <v>0</v>
      </c>
      <c r="T15" s="387">
        <v>0</v>
      </c>
      <c r="U15" s="387">
        <v>0</v>
      </c>
      <c r="V15" s="387">
        <v>0</v>
      </c>
      <c r="W15" s="387">
        <v>0</v>
      </c>
      <c r="X15" s="387">
        <v>0</v>
      </c>
      <c r="Y15" s="387">
        <v>12225.97</v>
      </c>
      <c r="Z15" s="387">
        <v>69812.25</v>
      </c>
      <c r="AA15" s="387">
        <v>800679.32</v>
      </c>
      <c r="AB15" s="387">
        <v>654208.88</v>
      </c>
      <c r="AC15" s="387">
        <v>10069751.09</v>
      </c>
      <c r="AD15" s="525">
        <v>986.16</v>
      </c>
      <c r="AE15" s="387">
        <v>9697079.7400000002</v>
      </c>
      <c r="AF15" s="526">
        <f t="shared" si="43"/>
        <v>9833.17</v>
      </c>
      <c r="AG15" s="526">
        <f t="shared" si="44"/>
        <v>10211.07</v>
      </c>
      <c r="AH15" s="527">
        <f t="shared" si="41"/>
        <v>377.9</v>
      </c>
      <c r="AI15" s="525">
        <v>64.459999999999994</v>
      </c>
      <c r="AJ15" s="387">
        <v>622317.1</v>
      </c>
      <c r="AK15" s="526">
        <f t="shared" si="45"/>
        <v>9654.31</v>
      </c>
      <c r="AL15" s="526">
        <f t="shared" si="46"/>
        <v>10149.07</v>
      </c>
      <c r="AM15" s="527">
        <f t="shared" si="42"/>
        <v>494.76</v>
      </c>
      <c r="AN15" s="387">
        <v>0</v>
      </c>
      <c r="AO15" s="387">
        <v>0</v>
      </c>
      <c r="AP15" s="73"/>
      <c r="AQ15" s="241">
        <v>446736.27000000025</v>
      </c>
      <c r="AR15" s="659">
        <v>1312818.2700000003</v>
      </c>
    </row>
    <row r="16" spans="1:44">
      <c r="A16" s="236" t="s">
        <v>355</v>
      </c>
      <c r="B16" s="236" t="s">
        <v>354</v>
      </c>
      <c r="C16" s="236" t="str">
        <f t="shared" si="40"/>
        <v>17405 BELLEVUE SCHOOL DISTRICT</v>
      </c>
      <c r="D16" s="387">
        <v>0</v>
      </c>
      <c r="E16" s="387">
        <v>220376.33</v>
      </c>
      <c r="F16" s="387">
        <v>0</v>
      </c>
      <c r="G16" s="387">
        <v>38154486.829999998</v>
      </c>
      <c r="H16" s="387">
        <v>4519712.59</v>
      </c>
      <c r="I16" s="387">
        <v>496127.2</v>
      </c>
      <c r="J16" s="387">
        <v>3221195.35</v>
      </c>
      <c r="K16" s="387">
        <v>8258113.5800000001</v>
      </c>
      <c r="L16" s="387">
        <v>705121.72</v>
      </c>
      <c r="M16" s="387">
        <v>7022070.5999999996</v>
      </c>
      <c r="N16" s="388">
        <v>2.3099999999999999E-2</v>
      </c>
      <c r="O16" s="389">
        <v>0.13059999999999999</v>
      </c>
      <c r="P16" s="387">
        <v>0</v>
      </c>
      <c r="Q16" s="387">
        <v>0</v>
      </c>
      <c r="R16" s="387">
        <v>0</v>
      </c>
      <c r="S16" s="387">
        <v>0</v>
      </c>
      <c r="T16" s="387">
        <v>0</v>
      </c>
      <c r="U16" s="387">
        <v>0</v>
      </c>
      <c r="V16" s="387">
        <v>0</v>
      </c>
      <c r="W16" s="387">
        <v>0</v>
      </c>
      <c r="X16" s="387">
        <v>0</v>
      </c>
      <c r="Y16" s="387">
        <v>0</v>
      </c>
      <c r="Z16" s="387">
        <v>169787.05</v>
      </c>
      <c r="AA16" s="387">
        <v>469462.95</v>
      </c>
      <c r="AB16" s="387">
        <v>2387941</v>
      </c>
      <c r="AC16" s="387">
        <v>9722496.3800000008</v>
      </c>
      <c r="AD16" s="525">
        <v>822.51</v>
      </c>
      <c r="AE16" s="387">
        <v>8565907.1199999992</v>
      </c>
      <c r="AF16" s="526">
        <f t="shared" si="43"/>
        <v>10414.35</v>
      </c>
      <c r="AG16" s="526">
        <f t="shared" si="44"/>
        <v>11820.52</v>
      </c>
      <c r="AH16" s="527">
        <f t="shared" si="41"/>
        <v>1406.17</v>
      </c>
      <c r="AI16" s="525">
        <v>222.09</v>
      </c>
      <c r="AJ16" s="387">
        <v>2273330.44</v>
      </c>
      <c r="AK16" s="526">
        <f t="shared" si="45"/>
        <v>10236.08</v>
      </c>
      <c r="AL16" s="526">
        <f t="shared" si="46"/>
        <v>10752.13</v>
      </c>
      <c r="AM16" s="527">
        <f t="shared" si="42"/>
        <v>516.04999999999995</v>
      </c>
      <c r="AN16" s="387">
        <v>0</v>
      </c>
      <c r="AO16" s="387">
        <v>0</v>
      </c>
      <c r="AP16" s="73"/>
      <c r="AQ16" s="241">
        <v>1273026.8699999992</v>
      </c>
      <c r="AR16" s="659">
        <v>2340874.2399999998</v>
      </c>
    </row>
    <row r="17" spans="1:44">
      <c r="A17" s="236" t="s">
        <v>672</v>
      </c>
      <c r="B17" s="236" t="s">
        <v>671</v>
      </c>
      <c r="C17" s="236" t="str">
        <f t="shared" si="40"/>
        <v>37501 BELLINGHAM SCHOOL DISTRICT</v>
      </c>
      <c r="D17" s="387">
        <v>0</v>
      </c>
      <c r="E17" s="387">
        <v>126311.19</v>
      </c>
      <c r="F17" s="387">
        <v>0</v>
      </c>
      <c r="G17" s="387">
        <v>24720502.649999999</v>
      </c>
      <c r="H17" s="387">
        <v>3339277.39</v>
      </c>
      <c r="I17" s="387">
        <v>622868.92000000004</v>
      </c>
      <c r="J17" s="387">
        <v>3089844.63</v>
      </c>
      <c r="K17" s="387">
        <v>1939095.81</v>
      </c>
      <c r="L17" s="387">
        <v>355192.54</v>
      </c>
      <c r="M17" s="387">
        <v>6420310.1799999997</v>
      </c>
      <c r="N17" s="388">
        <v>2.6200000000000001E-2</v>
      </c>
      <c r="O17" s="389">
        <v>0.13</v>
      </c>
      <c r="P17" s="387">
        <v>0</v>
      </c>
      <c r="Q17" s="387">
        <v>0</v>
      </c>
      <c r="R17" s="387">
        <v>0</v>
      </c>
      <c r="S17" s="387">
        <v>0</v>
      </c>
      <c r="T17" s="387">
        <v>0</v>
      </c>
      <c r="U17" s="387">
        <v>0</v>
      </c>
      <c r="V17" s="387">
        <v>0</v>
      </c>
      <c r="W17" s="387">
        <v>0</v>
      </c>
      <c r="X17" s="387">
        <v>0</v>
      </c>
      <c r="Y17" s="387">
        <v>1253.95</v>
      </c>
      <c r="Z17" s="387">
        <v>0</v>
      </c>
      <c r="AA17" s="387">
        <v>0</v>
      </c>
      <c r="AB17" s="387">
        <v>3476334.33</v>
      </c>
      <c r="AC17" s="387">
        <v>8905350.1899999995</v>
      </c>
      <c r="AD17" s="525">
        <v>857.37</v>
      </c>
      <c r="AE17" s="387">
        <v>8272559.2400000002</v>
      </c>
      <c r="AF17" s="526">
        <f t="shared" si="43"/>
        <v>9648.76</v>
      </c>
      <c r="AG17" s="526">
        <f t="shared" si="44"/>
        <v>10386.82</v>
      </c>
      <c r="AH17" s="527">
        <f t="shared" si="41"/>
        <v>738.06</v>
      </c>
      <c r="AI17" s="525">
        <v>349.35</v>
      </c>
      <c r="AJ17" s="387">
        <v>3307750.68</v>
      </c>
      <c r="AK17" s="526">
        <f t="shared" si="45"/>
        <v>9468.2999999999993</v>
      </c>
      <c r="AL17" s="526">
        <f t="shared" si="46"/>
        <v>9950.86</v>
      </c>
      <c r="AM17" s="527">
        <f t="shared" si="42"/>
        <v>482.56</v>
      </c>
      <c r="AN17" s="387">
        <v>0</v>
      </c>
      <c r="AO17" s="387">
        <v>0</v>
      </c>
      <c r="AP17" s="73"/>
      <c r="AQ17" s="241">
        <v>0</v>
      </c>
      <c r="AR17" s="659">
        <v>1252459.7899999998</v>
      </c>
    </row>
    <row r="18" spans="1:44">
      <c r="A18" s="236" t="s">
        <v>166</v>
      </c>
      <c r="B18" s="236" t="s">
        <v>165</v>
      </c>
      <c r="C18" s="236" t="str">
        <f t="shared" si="40"/>
        <v>01122 BENGE SCHOOL DISTRICT</v>
      </c>
      <c r="D18" s="387">
        <v>0</v>
      </c>
      <c r="E18" s="387">
        <v>0</v>
      </c>
      <c r="F18" s="387">
        <v>0</v>
      </c>
      <c r="G18" s="387">
        <v>6958.91</v>
      </c>
      <c r="H18" s="387">
        <v>0</v>
      </c>
      <c r="I18" s="387">
        <v>0</v>
      </c>
      <c r="J18" s="387">
        <v>0</v>
      </c>
      <c r="K18" s="387">
        <v>0</v>
      </c>
      <c r="L18" s="387">
        <v>0</v>
      </c>
      <c r="M18" s="387">
        <v>97233.24</v>
      </c>
      <c r="N18" s="388">
        <v>7.0900000000000005E-2</v>
      </c>
      <c r="O18" s="389">
        <v>0.3574</v>
      </c>
      <c r="P18" s="387">
        <v>0</v>
      </c>
      <c r="Q18" s="387">
        <v>0</v>
      </c>
      <c r="R18" s="387">
        <v>0</v>
      </c>
      <c r="S18" s="387">
        <v>0</v>
      </c>
      <c r="T18" s="387">
        <v>0</v>
      </c>
      <c r="U18" s="387">
        <v>0</v>
      </c>
      <c r="V18" s="387">
        <v>0</v>
      </c>
      <c r="W18" s="387">
        <v>0</v>
      </c>
      <c r="X18" s="387">
        <v>0</v>
      </c>
      <c r="Y18" s="387">
        <v>0</v>
      </c>
      <c r="Z18" s="387">
        <v>0</v>
      </c>
      <c r="AA18" s="387">
        <v>0</v>
      </c>
      <c r="AB18" s="387">
        <v>0</v>
      </c>
      <c r="AC18" s="387">
        <v>0</v>
      </c>
      <c r="AD18" s="525">
        <v>0</v>
      </c>
      <c r="AE18" s="387">
        <v>0</v>
      </c>
      <c r="AF18" s="526">
        <f t="shared" si="43"/>
        <v>0</v>
      </c>
      <c r="AG18" s="526">
        <f t="shared" si="44"/>
        <v>0</v>
      </c>
      <c r="AH18" s="527">
        <f t="shared" si="41"/>
        <v>0</v>
      </c>
      <c r="AI18" s="525">
        <v>0</v>
      </c>
      <c r="AJ18" s="387">
        <v>0</v>
      </c>
      <c r="AK18" s="526">
        <f t="shared" si="45"/>
        <v>0</v>
      </c>
      <c r="AL18" s="526">
        <f t="shared" si="46"/>
        <v>0</v>
      </c>
      <c r="AM18" s="527">
        <f t="shared" si="42"/>
        <v>0</v>
      </c>
      <c r="AN18" s="387">
        <v>0</v>
      </c>
      <c r="AO18" s="387">
        <v>0</v>
      </c>
      <c r="AP18" s="73"/>
      <c r="AQ18" s="241">
        <v>1529.0399999999991</v>
      </c>
      <c r="AR18" s="659">
        <v>3363.35</v>
      </c>
    </row>
    <row r="19" spans="1:44">
      <c r="A19" s="236" t="s">
        <v>528</v>
      </c>
      <c r="B19" s="236" t="s">
        <v>527</v>
      </c>
      <c r="C19" s="236" t="str">
        <f t="shared" si="40"/>
        <v>27403 BETHEL SCHOOL DISTRICT</v>
      </c>
      <c r="D19" s="387">
        <v>0</v>
      </c>
      <c r="E19" s="387">
        <v>280973.81</v>
      </c>
      <c r="F19" s="387">
        <v>191845.9</v>
      </c>
      <c r="G19" s="387">
        <v>40753661.380000003</v>
      </c>
      <c r="H19" s="387">
        <v>8402678.9000000004</v>
      </c>
      <c r="I19" s="387">
        <v>3343732.65</v>
      </c>
      <c r="J19" s="387">
        <v>7722503.4299999997</v>
      </c>
      <c r="K19" s="387">
        <v>3192867.98</v>
      </c>
      <c r="L19" s="387">
        <v>680757.21</v>
      </c>
      <c r="M19" s="387">
        <v>19298393.300000001</v>
      </c>
      <c r="N19" s="388">
        <v>3.56E-2</v>
      </c>
      <c r="O19" s="389">
        <v>0.15029999999999999</v>
      </c>
      <c r="P19" s="387">
        <v>0</v>
      </c>
      <c r="Q19" s="387">
        <v>0</v>
      </c>
      <c r="R19" s="387">
        <v>0</v>
      </c>
      <c r="S19" s="387">
        <v>0</v>
      </c>
      <c r="T19" s="387">
        <v>0</v>
      </c>
      <c r="U19" s="387">
        <v>0</v>
      </c>
      <c r="V19" s="387">
        <v>0</v>
      </c>
      <c r="W19" s="387">
        <v>0</v>
      </c>
      <c r="X19" s="387">
        <v>0</v>
      </c>
      <c r="Y19" s="387">
        <v>22795.25</v>
      </c>
      <c r="Z19" s="387">
        <v>0</v>
      </c>
      <c r="AA19" s="387">
        <v>351951.96</v>
      </c>
      <c r="AB19" s="387">
        <v>2485804.98</v>
      </c>
      <c r="AC19" s="387">
        <v>10452928.039999999</v>
      </c>
      <c r="AD19" s="525">
        <v>1009.36</v>
      </c>
      <c r="AE19" s="387">
        <v>9738863.1999999993</v>
      </c>
      <c r="AF19" s="526">
        <f t="shared" si="43"/>
        <v>9648.5499999999993</v>
      </c>
      <c r="AG19" s="526">
        <f t="shared" si="44"/>
        <v>10356</v>
      </c>
      <c r="AH19" s="527">
        <f t="shared" si="41"/>
        <v>707.45</v>
      </c>
      <c r="AI19" s="525">
        <v>249.82</v>
      </c>
      <c r="AJ19" s="387">
        <v>2365410.2000000002</v>
      </c>
      <c r="AK19" s="526">
        <f t="shared" si="45"/>
        <v>9468.4599999999991</v>
      </c>
      <c r="AL19" s="526">
        <f t="shared" si="46"/>
        <v>9950.3799999999992</v>
      </c>
      <c r="AM19" s="527">
        <f t="shared" si="42"/>
        <v>481.92</v>
      </c>
      <c r="AN19" s="387">
        <v>0</v>
      </c>
      <c r="AO19" s="387">
        <v>0</v>
      </c>
      <c r="AP19" s="73"/>
      <c r="AQ19" s="241">
        <v>881377.37000000151</v>
      </c>
      <c r="AR19" s="659">
        <v>2360221.29</v>
      </c>
    </row>
    <row r="20" spans="1:44">
      <c r="A20" s="236" t="s">
        <v>399</v>
      </c>
      <c r="B20" s="236" t="s">
        <v>398</v>
      </c>
      <c r="C20" s="236" t="str">
        <f t="shared" si="40"/>
        <v>20203 BICKLETON SCHOOL DISTRICT</v>
      </c>
      <c r="D20" s="387">
        <v>0</v>
      </c>
      <c r="E20" s="387">
        <v>0</v>
      </c>
      <c r="F20" s="387">
        <v>0</v>
      </c>
      <c r="G20" s="387">
        <v>0</v>
      </c>
      <c r="H20" s="387">
        <v>0</v>
      </c>
      <c r="I20" s="387">
        <v>0</v>
      </c>
      <c r="J20" s="387">
        <v>0</v>
      </c>
      <c r="K20" s="387">
        <v>0</v>
      </c>
      <c r="L20" s="387">
        <v>2924.61</v>
      </c>
      <c r="M20" s="387">
        <v>234433.37</v>
      </c>
      <c r="N20" s="388">
        <v>2.5499999999999998E-2</v>
      </c>
      <c r="O20" s="389">
        <v>0.29859999999999998</v>
      </c>
      <c r="P20" s="387">
        <v>0</v>
      </c>
      <c r="Q20" s="387">
        <v>0</v>
      </c>
      <c r="R20" s="387">
        <v>0</v>
      </c>
      <c r="S20" s="387">
        <v>0</v>
      </c>
      <c r="T20" s="387">
        <v>0</v>
      </c>
      <c r="U20" s="387">
        <v>0</v>
      </c>
      <c r="V20" s="387">
        <v>0</v>
      </c>
      <c r="W20" s="387">
        <v>0</v>
      </c>
      <c r="X20" s="387">
        <v>0</v>
      </c>
      <c r="Y20" s="387">
        <v>101.52</v>
      </c>
      <c r="Z20" s="387">
        <v>0</v>
      </c>
      <c r="AA20" s="387">
        <v>0</v>
      </c>
      <c r="AB20" s="387">
        <v>0</v>
      </c>
      <c r="AC20" s="387">
        <v>4467.17</v>
      </c>
      <c r="AD20" s="525">
        <v>0</v>
      </c>
      <c r="AE20" s="387">
        <v>0</v>
      </c>
      <c r="AF20" s="526">
        <f t="shared" si="43"/>
        <v>0</v>
      </c>
      <c r="AG20" s="526">
        <f t="shared" si="44"/>
        <v>0</v>
      </c>
      <c r="AH20" s="527">
        <f t="shared" si="41"/>
        <v>0</v>
      </c>
      <c r="AI20" s="525">
        <v>0</v>
      </c>
      <c r="AJ20" s="387">
        <v>0</v>
      </c>
      <c r="AK20" s="526">
        <f t="shared" si="45"/>
        <v>0</v>
      </c>
      <c r="AL20" s="526">
        <f t="shared" si="46"/>
        <v>0</v>
      </c>
      <c r="AM20" s="527">
        <f t="shared" si="42"/>
        <v>0</v>
      </c>
      <c r="AN20" s="387">
        <v>0</v>
      </c>
      <c r="AO20" s="387">
        <v>0</v>
      </c>
      <c r="AP20" s="73"/>
      <c r="AQ20" s="241">
        <v>4752.2599999999948</v>
      </c>
      <c r="AR20" s="659">
        <v>20246.309999999998</v>
      </c>
    </row>
    <row r="21" spans="1:44">
      <c r="A21" s="236" t="s">
        <v>676</v>
      </c>
      <c r="B21" s="236" t="s">
        <v>675</v>
      </c>
      <c r="C21" s="236" t="str">
        <f t="shared" si="40"/>
        <v>37503 BLAINE SCHOOL DISTRICT</v>
      </c>
      <c r="D21" s="387">
        <v>0</v>
      </c>
      <c r="E21" s="387">
        <v>919.27</v>
      </c>
      <c r="F21" s="387">
        <v>0</v>
      </c>
      <c r="G21" s="387">
        <v>4593832.28</v>
      </c>
      <c r="H21" s="387">
        <v>532361.31000000006</v>
      </c>
      <c r="I21" s="387">
        <v>328542.21000000002</v>
      </c>
      <c r="J21" s="387">
        <v>739400.74</v>
      </c>
      <c r="K21" s="387">
        <v>201195.67</v>
      </c>
      <c r="L21" s="387">
        <v>66648.490000000005</v>
      </c>
      <c r="M21" s="387">
        <v>1593031.17</v>
      </c>
      <c r="N21" s="388">
        <v>4.2200000000000001E-2</v>
      </c>
      <c r="O21" s="389">
        <v>0.18079999999999999</v>
      </c>
      <c r="P21" s="387">
        <v>0</v>
      </c>
      <c r="Q21" s="387">
        <v>0</v>
      </c>
      <c r="R21" s="387">
        <v>0</v>
      </c>
      <c r="S21" s="387">
        <v>0</v>
      </c>
      <c r="T21" s="387">
        <v>0</v>
      </c>
      <c r="U21" s="387">
        <v>0</v>
      </c>
      <c r="V21" s="387">
        <v>0</v>
      </c>
      <c r="W21" s="387">
        <v>0</v>
      </c>
      <c r="X21" s="387">
        <v>0</v>
      </c>
      <c r="Y21" s="387">
        <v>2223.41</v>
      </c>
      <c r="Z21" s="387">
        <v>14189.17</v>
      </c>
      <c r="AA21" s="387">
        <v>0</v>
      </c>
      <c r="AB21" s="387">
        <v>64673.59</v>
      </c>
      <c r="AC21" s="387">
        <v>1028097.91</v>
      </c>
      <c r="AD21" s="525">
        <v>90.9</v>
      </c>
      <c r="AE21" s="387">
        <v>916008.19</v>
      </c>
      <c r="AF21" s="526">
        <f t="shared" si="43"/>
        <v>10077.1</v>
      </c>
      <c r="AG21" s="526">
        <f t="shared" si="44"/>
        <v>11310.21</v>
      </c>
      <c r="AH21" s="527">
        <f t="shared" si="41"/>
        <v>1233.1099999999999</v>
      </c>
      <c r="AI21" s="525">
        <v>6.22</v>
      </c>
      <c r="AJ21" s="387">
        <v>61654.76</v>
      </c>
      <c r="AK21" s="526">
        <f t="shared" si="45"/>
        <v>9912.34</v>
      </c>
      <c r="AL21" s="526">
        <f t="shared" si="46"/>
        <v>10397.68</v>
      </c>
      <c r="AM21" s="527">
        <f t="shared" si="42"/>
        <v>485.34</v>
      </c>
      <c r="AN21" s="387">
        <v>0</v>
      </c>
      <c r="AO21" s="387">
        <v>0</v>
      </c>
      <c r="AP21" s="73"/>
      <c r="AQ21" s="241">
        <v>0</v>
      </c>
      <c r="AR21" s="659">
        <v>234719.66</v>
      </c>
    </row>
    <row r="22" spans="1:44">
      <c r="A22" s="236" t="s">
        <v>429</v>
      </c>
      <c r="B22" s="236" t="s">
        <v>428</v>
      </c>
      <c r="C22" s="236" t="str">
        <f t="shared" si="40"/>
        <v>21234 BOISTFORT SCHOOL DISTRICT</v>
      </c>
      <c r="D22" s="387">
        <v>0</v>
      </c>
      <c r="E22" s="387">
        <v>0</v>
      </c>
      <c r="F22" s="387">
        <v>0</v>
      </c>
      <c r="G22" s="387">
        <v>675647.46</v>
      </c>
      <c r="H22" s="387">
        <v>57754.46</v>
      </c>
      <c r="I22" s="387">
        <v>26538.23</v>
      </c>
      <c r="J22" s="387">
        <v>119584.53</v>
      </c>
      <c r="K22" s="387">
        <v>0</v>
      </c>
      <c r="L22" s="387">
        <v>9098.82</v>
      </c>
      <c r="M22" s="387">
        <v>236398.4</v>
      </c>
      <c r="N22" s="388">
        <v>9.6699999999999994E-2</v>
      </c>
      <c r="O22" s="389">
        <v>0.2445</v>
      </c>
      <c r="P22" s="387">
        <v>0</v>
      </c>
      <c r="Q22" s="387">
        <v>0</v>
      </c>
      <c r="R22" s="387">
        <v>0</v>
      </c>
      <c r="S22" s="387">
        <v>0</v>
      </c>
      <c r="T22" s="387">
        <v>0</v>
      </c>
      <c r="U22" s="387">
        <v>0</v>
      </c>
      <c r="V22" s="387">
        <v>0</v>
      </c>
      <c r="W22" s="387">
        <v>0</v>
      </c>
      <c r="X22" s="387">
        <v>0</v>
      </c>
      <c r="Y22" s="387">
        <v>97.06</v>
      </c>
      <c r="Z22" s="387">
        <v>942.75</v>
      </c>
      <c r="AA22" s="387">
        <v>0</v>
      </c>
      <c r="AB22" s="387">
        <v>12030.47</v>
      </c>
      <c r="AC22" s="387">
        <v>0</v>
      </c>
      <c r="AD22" s="525">
        <v>0</v>
      </c>
      <c r="AE22" s="387">
        <v>0</v>
      </c>
      <c r="AF22" s="526">
        <f t="shared" si="43"/>
        <v>0</v>
      </c>
      <c r="AG22" s="526">
        <f t="shared" si="44"/>
        <v>0</v>
      </c>
      <c r="AH22" s="527">
        <f t="shared" si="41"/>
        <v>0</v>
      </c>
      <c r="AI22" s="525">
        <v>1.27</v>
      </c>
      <c r="AJ22" s="387">
        <v>11504.26</v>
      </c>
      <c r="AK22" s="526">
        <f t="shared" si="45"/>
        <v>9058.4699999999993</v>
      </c>
      <c r="AL22" s="526">
        <f t="shared" si="46"/>
        <v>9472.81</v>
      </c>
      <c r="AM22" s="527">
        <f t="shared" si="42"/>
        <v>414.34</v>
      </c>
      <c r="AN22" s="387">
        <v>0</v>
      </c>
      <c r="AO22" s="387">
        <v>0</v>
      </c>
      <c r="AP22" s="73"/>
      <c r="AQ22" s="241">
        <v>33281.279999999992</v>
      </c>
      <c r="AR22" s="659">
        <v>16834.230000000003</v>
      </c>
    </row>
    <row r="23" spans="1:44">
      <c r="A23" s="236" t="s">
        <v>375</v>
      </c>
      <c r="B23" s="236" t="s">
        <v>374</v>
      </c>
      <c r="C23" s="236" t="str">
        <f t="shared" si="40"/>
        <v>18100 BREMERTON SCHOOL DISTRICT</v>
      </c>
      <c r="D23" s="387">
        <v>0</v>
      </c>
      <c r="E23" s="387">
        <v>195966.54</v>
      </c>
      <c r="F23" s="387">
        <v>25678.21</v>
      </c>
      <c r="G23" s="387">
        <v>11000137.189999999</v>
      </c>
      <c r="H23" s="387">
        <v>1973672.95</v>
      </c>
      <c r="I23" s="387">
        <v>1401728.38</v>
      </c>
      <c r="J23" s="387">
        <v>2241087.44</v>
      </c>
      <c r="K23" s="387">
        <v>1203342.73</v>
      </c>
      <c r="L23" s="387">
        <v>161410.38</v>
      </c>
      <c r="M23" s="387">
        <v>2747446.06</v>
      </c>
      <c r="N23" s="388">
        <v>4.2799999999999998E-2</v>
      </c>
      <c r="O23" s="389">
        <v>0.14369999999999999</v>
      </c>
      <c r="P23" s="387">
        <v>0</v>
      </c>
      <c r="Q23" s="387">
        <v>0</v>
      </c>
      <c r="R23" s="387">
        <v>0</v>
      </c>
      <c r="S23" s="387">
        <v>0</v>
      </c>
      <c r="T23" s="387">
        <v>0</v>
      </c>
      <c r="U23" s="387">
        <v>0</v>
      </c>
      <c r="V23" s="387">
        <v>0</v>
      </c>
      <c r="W23" s="387">
        <v>0</v>
      </c>
      <c r="X23" s="387">
        <v>0</v>
      </c>
      <c r="Y23" s="387">
        <v>4858.4799999999996</v>
      </c>
      <c r="Z23" s="387">
        <v>84241.27</v>
      </c>
      <c r="AA23" s="387">
        <v>126777.08</v>
      </c>
      <c r="AB23" s="387">
        <v>1007842.59</v>
      </c>
      <c r="AC23" s="387">
        <v>3386227.24</v>
      </c>
      <c r="AD23" s="525">
        <v>309.06</v>
      </c>
      <c r="AE23" s="387">
        <v>3218574.48</v>
      </c>
      <c r="AF23" s="526">
        <f t="shared" si="43"/>
        <v>10414.08</v>
      </c>
      <c r="AG23" s="526">
        <f t="shared" si="44"/>
        <v>10956.54</v>
      </c>
      <c r="AH23" s="527">
        <f t="shared" si="41"/>
        <v>542.46</v>
      </c>
      <c r="AI23" s="525">
        <v>93.73</v>
      </c>
      <c r="AJ23" s="387">
        <v>959473.61</v>
      </c>
      <c r="AK23" s="526">
        <f t="shared" si="45"/>
        <v>10236.57</v>
      </c>
      <c r="AL23" s="526">
        <f t="shared" si="46"/>
        <v>10752.61</v>
      </c>
      <c r="AM23" s="527">
        <f t="shared" si="42"/>
        <v>516.04</v>
      </c>
      <c r="AN23" s="387">
        <v>0</v>
      </c>
      <c r="AO23" s="387">
        <v>0</v>
      </c>
      <c r="AP23" s="73"/>
      <c r="AQ23" s="241">
        <v>51778.189999999828</v>
      </c>
      <c r="AR23" s="659">
        <v>609969.29</v>
      </c>
    </row>
    <row r="24" spans="1:44">
      <c r="A24" s="236" t="s">
        <v>479</v>
      </c>
      <c r="B24" s="236" t="s">
        <v>478</v>
      </c>
      <c r="C24" s="236" t="str">
        <f t="shared" si="40"/>
        <v>24111 BREWSTER SCHOOL DISTRICT</v>
      </c>
      <c r="D24" s="387">
        <v>0</v>
      </c>
      <c r="E24" s="387">
        <v>44800.800000000003</v>
      </c>
      <c r="F24" s="387">
        <v>26025.5</v>
      </c>
      <c r="G24" s="387">
        <v>1371902.6</v>
      </c>
      <c r="H24" s="387">
        <v>210054.23</v>
      </c>
      <c r="I24" s="387">
        <v>315317.46999999997</v>
      </c>
      <c r="J24" s="387">
        <v>663997.29</v>
      </c>
      <c r="K24" s="387">
        <v>665407.21</v>
      </c>
      <c r="L24" s="387">
        <v>29571.18</v>
      </c>
      <c r="M24" s="387">
        <v>291648.61</v>
      </c>
      <c r="N24" s="388">
        <v>6.3500000000000001E-2</v>
      </c>
      <c r="O24" s="389">
        <v>0.20430000000000001</v>
      </c>
      <c r="P24" s="387">
        <v>0</v>
      </c>
      <c r="Q24" s="387">
        <v>0</v>
      </c>
      <c r="R24" s="387">
        <v>0</v>
      </c>
      <c r="S24" s="387">
        <v>0</v>
      </c>
      <c r="T24" s="387">
        <v>0</v>
      </c>
      <c r="U24" s="387">
        <v>0</v>
      </c>
      <c r="V24" s="387">
        <v>0</v>
      </c>
      <c r="W24" s="387">
        <v>0</v>
      </c>
      <c r="X24" s="387">
        <v>0</v>
      </c>
      <c r="Y24" s="387">
        <v>0</v>
      </c>
      <c r="Z24" s="387">
        <v>0</v>
      </c>
      <c r="AA24" s="387">
        <v>47374.43</v>
      </c>
      <c r="AB24" s="387">
        <v>150678.81</v>
      </c>
      <c r="AC24" s="387">
        <v>849715.12</v>
      </c>
      <c r="AD24" s="525">
        <v>84.63</v>
      </c>
      <c r="AE24" s="387">
        <v>784198.65</v>
      </c>
      <c r="AF24" s="526">
        <f t="shared" si="43"/>
        <v>9266.2000000000007</v>
      </c>
      <c r="AG24" s="526">
        <f t="shared" si="44"/>
        <v>10040.35</v>
      </c>
      <c r="AH24" s="527">
        <f t="shared" si="41"/>
        <v>774.15</v>
      </c>
      <c r="AI24" s="525">
        <v>15.77</v>
      </c>
      <c r="AJ24" s="387">
        <v>143102.45000000001</v>
      </c>
      <c r="AK24" s="526">
        <f t="shared" si="45"/>
        <v>9074.35</v>
      </c>
      <c r="AL24" s="526">
        <f t="shared" si="46"/>
        <v>9554.7800000000007</v>
      </c>
      <c r="AM24" s="527">
        <f t="shared" si="42"/>
        <v>480.43</v>
      </c>
      <c r="AN24" s="387">
        <v>0</v>
      </c>
      <c r="AO24" s="387">
        <v>0</v>
      </c>
      <c r="AP24" s="73"/>
      <c r="AQ24" s="241">
        <v>49236.770000000048</v>
      </c>
      <c r="AR24" s="659">
        <v>117921.61000000003</v>
      </c>
    </row>
    <row r="25" spans="1:44">
      <c r="A25" s="236" t="s">
        <v>248</v>
      </c>
      <c r="B25" s="236" t="s">
        <v>247</v>
      </c>
      <c r="C25" s="236" t="str">
        <f t="shared" si="40"/>
        <v>09075 BRIDGEPORT SCHOOL DISTRICT</v>
      </c>
      <c r="D25" s="387">
        <v>0</v>
      </c>
      <c r="E25" s="387">
        <v>42959.91</v>
      </c>
      <c r="F25" s="387">
        <v>15405.15</v>
      </c>
      <c r="G25" s="387">
        <v>1061782.04</v>
      </c>
      <c r="H25" s="387">
        <v>113470.25</v>
      </c>
      <c r="I25" s="387">
        <v>234186.32</v>
      </c>
      <c r="J25" s="387">
        <v>462631.72</v>
      </c>
      <c r="K25" s="387">
        <v>701977.42</v>
      </c>
      <c r="L25" s="387">
        <v>22530.400000000001</v>
      </c>
      <c r="M25" s="387">
        <v>213202.61</v>
      </c>
      <c r="N25" s="388">
        <v>3.7499999999999999E-2</v>
      </c>
      <c r="O25" s="389">
        <v>0.1817</v>
      </c>
      <c r="P25" s="387">
        <v>0</v>
      </c>
      <c r="Q25" s="387">
        <v>0</v>
      </c>
      <c r="R25" s="387">
        <v>0</v>
      </c>
      <c r="S25" s="387">
        <v>0</v>
      </c>
      <c r="T25" s="387">
        <v>0</v>
      </c>
      <c r="U25" s="387">
        <v>0</v>
      </c>
      <c r="V25" s="387">
        <v>0</v>
      </c>
      <c r="W25" s="387">
        <v>0</v>
      </c>
      <c r="X25" s="387">
        <v>0</v>
      </c>
      <c r="Y25" s="387">
        <v>0</v>
      </c>
      <c r="Z25" s="387">
        <v>3764.52</v>
      </c>
      <c r="AA25" s="387">
        <v>0</v>
      </c>
      <c r="AB25" s="387">
        <v>56431.839999999997</v>
      </c>
      <c r="AC25" s="387">
        <v>299840.73</v>
      </c>
      <c r="AD25" s="525">
        <v>31.39</v>
      </c>
      <c r="AE25" s="387">
        <v>290868.63</v>
      </c>
      <c r="AF25" s="526">
        <f t="shared" si="43"/>
        <v>9266.2800000000007</v>
      </c>
      <c r="AG25" s="526">
        <f t="shared" si="44"/>
        <v>9552.11</v>
      </c>
      <c r="AH25" s="527">
        <f t="shared" si="41"/>
        <v>285.83</v>
      </c>
      <c r="AI25" s="525">
        <v>5.91</v>
      </c>
      <c r="AJ25" s="387">
        <v>53772.42</v>
      </c>
      <c r="AK25" s="526">
        <f t="shared" si="45"/>
        <v>9098.5499999999993</v>
      </c>
      <c r="AL25" s="526">
        <f t="shared" si="46"/>
        <v>9548.5300000000007</v>
      </c>
      <c r="AM25" s="527">
        <f t="shared" si="42"/>
        <v>449.98</v>
      </c>
      <c r="AN25" s="387">
        <v>4737.6000000000004</v>
      </c>
      <c r="AO25" s="387">
        <v>0</v>
      </c>
      <c r="AP25" s="73"/>
      <c r="AQ25" s="241">
        <v>66167.209999999992</v>
      </c>
      <c r="AR25" s="659">
        <v>93934.610000000015</v>
      </c>
    </row>
    <row r="26" spans="1:44">
      <c r="A26" s="236" t="s">
        <v>331</v>
      </c>
      <c r="B26" s="236" t="s">
        <v>330</v>
      </c>
      <c r="C26" s="236" t="str">
        <f t="shared" si="40"/>
        <v>16046 BRINNON SCHOOL DISTRICT</v>
      </c>
      <c r="D26" s="387">
        <v>0</v>
      </c>
      <c r="E26" s="387">
        <v>0</v>
      </c>
      <c r="F26" s="387">
        <v>0</v>
      </c>
      <c r="G26" s="387">
        <v>100226.58</v>
      </c>
      <c r="H26" s="387">
        <v>4962.8100000000004</v>
      </c>
      <c r="I26" s="387">
        <v>23288.65</v>
      </c>
      <c r="J26" s="387">
        <v>38669.980000000003</v>
      </c>
      <c r="K26" s="387">
        <v>0</v>
      </c>
      <c r="L26" s="387">
        <v>2058.0700000000002</v>
      </c>
      <c r="M26" s="387">
        <v>146357.12</v>
      </c>
      <c r="N26" s="388">
        <v>0.14630000000000001</v>
      </c>
      <c r="O26" s="389">
        <v>0.37930000000000003</v>
      </c>
      <c r="P26" s="387">
        <v>0</v>
      </c>
      <c r="Q26" s="387">
        <v>0</v>
      </c>
      <c r="R26" s="387">
        <v>0</v>
      </c>
      <c r="S26" s="387">
        <v>0</v>
      </c>
      <c r="T26" s="387">
        <v>0</v>
      </c>
      <c r="U26" s="387">
        <v>0</v>
      </c>
      <c r="V26" s="387">
        <v>0</v>
      </c>
      <c r="W26" s="387">
        <v>0</v>
      </c>
      <c r="X26" s="387">
        <v>0</v>
      </c>
      <c r="Y26" s="387">
        <v>82.56</v>
      </c>
      <c r="Z26" s="387">
        <v>0</v>
      </c>
      <c r="AA26" s="387">
        <v>0</v>
      </c>
      <c r="AB26" s="387">
        <v>0</v>
      </c>
      <c r="AC26" s="387">
        <v>0</v>
      </c>
      <c r="AD26" s="525">
        <v>0</v>
      </c>
      <c r="AE26" s="387">
        <v>0</v>
      </c>
      <c r="AF26" s="526">
        <f t="shared" si="43"/>
        <v>0</v>
      </c>
      <c r="AG26" s="526">
        <f t="shared" si="44"/>
        <v>0</v>
      </c>
      <c r="AH26" s="527">
        <f t="shared" si="41"/>
        <v>0</v>
      </c>
      <c r="AI26" s="525">
        <v>0</v>
      </c>
      <c r="AJ26" s="387">
        <v>0</v>
      </c>
      <c r="AK26" s="526">
        <f t="shared" si="45"/>
        <v>0</v>
      </c>
      <c r="AL26" s="526">
        <f t="shared" si="46"/>
        <v>0</v>
      </c>
      <c r="AM26" s="527">
        <f t="shared" si="42"/>
        <v>0</v>
      </c>
      <c r="AN26" s="387">
        <v>0</v>
      </c>
      <c r="AO26" s="387">
        <v>0</v>
      </c>
      <c r="AP26" s="73"/>
      <c r="AQ26" s="241">
        <v>4902.49</v>
      </c>
      <c r="AR26" s="659">
        <v>8584.34</v>
      </c>
    </row>
    <row r="27" spans="1:44">
      <c r="A27" s="236" t="s">
        <v>1136</v>
      </c>
      <c r="B27" s="236" t="s">
        <v>545</v>
      </c>
      <c r="C27" s="236" t="str">
        <f t="shared" si="40"/>
        <v>29100 BURLINGTON EDISON SCHOOL DISTRICT</v>
      </c>
      <c r="D27" s="387">
        <v>0</v>
      </c>
      <c r="E27" s="387">
        <v>132450.14000000001</v>
      </c>
      <c r="F27" s="387">
        <v>0</v>
      </c>
      <c r="G27" s="387">
        <v>7109096.5800000001</v>
      </c>
      <c r="H27" s="387">
        <v>1104182.17</v>
      </c>
      <c r="I27" s="387">
        <v>861746.58</v>
      </c>
      <c r="J27" s="387">
        <v>1431580.38</v>
      </c>
      <c r="K27" s="387">
        <v>1464899.03</v>
      </c>
      <c r="L27" s="387">
        <v>108944.1</v>
      </c>
      <c r="M27" s="387">
        <v>2794358.42</v>
      </c>
      <c r="N27" s="388">
        <v>3.0300000000000001E-2</v>
      </c>
      <c r="O27" s="389">
        <v>0.12570000000000001</v>
      </c>
      <c r="P27" s="387">
        <v>0</v>
      </c>
      <c r="Q27" s="387">
        <v>0</v>
      </c>
      <c r="R27" s="387">
        <v>0</v>
      </c>
      <c r="S27" s="387">
        <v>0</v>
      </c>
      <c r="T27" s="387">
        <v>0</v>
      </c>
      <c r="U27" s="387">
        <v>0</v>
      </c>
      <c r="V27" s="387">
        <v>0</v>
      </c>
      <c r="W27" s="387">
        <v>0</v>
      </c>
      <c r="X27" s="387">
        <v>0</v>
      </c>
      <c r="Y27" s="387">
        <v>0</v>
      </c>
      <c r="Z27" s="387">
        <v>45423.44</v>
      </c>
      <c r="AA27" s="387">
        <v>0</v>
      </c>
      <c r="AB27" s="387">
        <v>669226.39</v>
      </c>
      <c r="AC27" s="387">
        <v>2919037.53</v>
      </c>
      <c r="AD27" s="525">
        <v>276.81</v>
      </c>
      <c r="AE27" s="387">
        <v>2776917.68</v>
      </c>
      <c r="AF27" s="526">
        <f t="shared" si="43"/>
        <v>10031.85</v>
      </c>
      <c r="AG27" s="526">
        <f t="shared" si="44"/>
        <v>10545.27</v>
      </c>
      <c r="AH27" s="527">
        <f t="shared" si="41"/>
        <v>513.41999999999996</v>
      </c>
      <c r="AI27" s="525">
        <v>64.64</v>
      </c>
      <c r="AJ27" s="387">
        <v>636779.05000000005</v>
      </c>
      <c r="AK27" s="526">
        <f t="shared" si="45"/>
        <v>9851.16</v>
      </c>
      <c r="AL27" s="526">
        <f t="shared" si="46"/>
        <v>10353.129999999999</v>
      </c>
      <c r="AM27" s="527">
        <f t="shared" si="42"/>
        <v>501.97</v>
      </c>
      <c r="AN27" s="387">
        <v>1479.48</v>
      </c>
      <c r="AO27" s="387">
        <v>0</v>
      </c>
      <c r="AP27" s="73"/>
      <c r="AQ27" s="241">
        <v>0</v>
      </c>
      <c r="AR27" s="659">
        <v>426809.20999999996</v>
      </c>
    </row>
    <row r="28" spans="1:44">
      <c r="A28" s="236" t="s">
        <v>224</v>
      </c>
      <c r="B28" s="236" t="s">
        <v>223</v>
      </c>
      <c r="C28" s="236" t="str">
        <f t="shared" si="40"/>
        <v>06117 CAMAS SCHOOL DISTRICT</v>
      </c>
      <c r="D28" s="387">
        <v>0</v>
      </c>
      <c r="E28" s="387">
        <v>0</v>
      </c>
      <c r="F28" s="387">
        <v>0</v>
      </c>
      <c r="G28" s="387">
        <v>13711856.35</v>
      </c>
      <c r="H28" s="387">
        <v>1702818.62</v>
      </c>
      <c r="I28" s="387">
        <v>0</v>
      </c>
      <c r="J28" s="387">
        <v>946351.23</v>
      </c>
      <c r="K28" s="387">
        <v>573770.34</v>
      </c>
      <c r="L28" s="387">
        <v>239147.59</v>
      </c>
      <c r="M28" s="387">
        <v>4808511.45</v>
      </c>
      <c r="N28" s="388">
        <v>3.5799999999999998E-2</v>
      </c>
      <c r="O28" s="389">
        <v>0.1394</v>
      </c>
      <c r="P28" s="387">
        <v>0</v>
      </c>
      <c r="Q28" s="387">
        <v>0</v>
      </c>
      <c r="R28" s="387">
        <v>0</v>
      </c>
      <c r="S28" s="387">
        <v>0</v>
      </c>
      <c r="T28" s="387">
        <v>0</v>
      </c>
      <c r="U28" s="387">
        <v>0</v>
      </c>
      <c r="V28" s="387">
        <v>0</v>
      </c>
      <c r="W28" s="387">
        <v>0</v>
      </c>
      <c r="X28" s="387">
        <v>0</v>
      </c>
      <c r="Y28" s="387">
        <v>0</v>
      </c>
      <c r="Z28" s="387">
        <v>0</v>
      </c>
      <c r="AA28" s="387">
        <v>0</v>
      </c>
      <c r="AB28" s="387">
        <v>250400.42</v>
      </c>
      <c r="AC28" s="387">
        <v>4163425.14</v>
      </c>
      <c r="AD28" s="525">
        <v>407.59</v>
      </c>
      <c r="AE28" s="387">
        <v>4007808.09</v>
      </c>
      <c r="AF28" s="526">
        <f t="shared" si="43"/>
        <v>9832.94</v>
      </c>
      <c r="AG28" s="526">
        <f t="shared" si="44"/>
        <v>10214.74</v>
      </c>
      <c r="AH28" s="527">
        <f t="shared" si="41"/>
        <v>381.8</v>
      </c>
      <c r="AI28" s="525">
        <v>24.68</v>
      </c>
      <c r="AJ28" s="387">
        <v>238143.1</v>
      </c>
      <c r="AK28" s="526">
        <f t="shared" si="45"/>
        <v>9649.23</v>
      </c>
      <c r="AL28" s="526">
        <f t="shared" si="46"/>
        <v>10145.879999999999</v>
      </c>
      <c r="AM28" s="527">
        <f t="shared" si="42"/>
        <v>496.65</v>
      </c>
      <c r="AN28" s="387">
        <v>0</v>
      </c>
      <c r="AO28" s="387">
        <v>0</v>
      </c>
      <c r="AP28" s="73"/>
      <c r="AQ28" s="241">
        <v>0</v>
      </c>
      <c r="AR28" s="659">
        <v>761741.33</v>
      </c>
    </row>
    <row r="29" spans="1:44">
      <c r="A29" s="236" t="s">
        <v>210</v>
      </c>
      <c r="B29" s="236" t="s">
        <v>209</v>
      </c>
      <c r="C29" s="236" t="str">
        <f t="shared" si="40"/>
        <v>05401 CAPE FLATTERY SCHOOL DISTRICT</v>
      </c>
      <c r="D29" s="387">
        <v>0</v>
      </c>
      <c r="E29" s="387">
        <v>0</v>
      </c>
      <c r="F29" s="387">
        <v>0</v>
      </c>
      <c r="G29" s="387">
        <v>1078717.93</v>
      </c>
      <c r="H29" s="387">
        <v>110907.86</v>
      </c>
      <c r="I29" s="387">
        <v>154788.28</v>
      </c>
      <c r="J29" s="387">
        <v>255091.95</v>
      </c>
      <c r="K29" s="387">
        <v>0</v>
      </c>
      <c r="L29" s="387">
        <v>15056.37</v>
      </c>
      <c r="M29" s="387">
        <v>391241.88</v>
      </c>
      <c r="N29" s="388">
        <v>8.8999999999999996E-2</v>
      </c>
      <c r="O29" s="389">
        <v>0.25900000000000001</v>
      </c>
      <c r="P29" s="387">
        <v>0</v>
      </c>
      <c r="Q29" s="387">
        <v>0</v>
      </c>
      <c r="R29" s="387">
        <v>0</v>
      </c>
      <c r="S29" s="387">
        <v>0</v>
      </c>
      <c r="T29" s="387">
        <v>0</v>
      </c>
      <c r="U29" s="387">
        <v>0</v>
      </c>
      <c r="V29" s="387">
        <v>0</v>
      </c>
      <c r="W29" s="387">
        <v>0</v>
      </c>
      <c r="X29" s="387">
        <v>0</v>
      </c>
      <c r="Y29" s="387">
        <v>0</v>
      </c>
      <c r="Z29" s="387">
        <v>0</v>
      </c>
      <c r="AA29" s="387">
        <v>0</v>
      </c>
      <c r="AB29" s="387">
        <v>0</v>
      </c>
      <c r="AC29" s="387">
        <v>115834.05</v>
      </c>
      <c r="AD29" s="525">
        <v>11.68</v>
      </c>
      <c r="AE29" s="387">
        <v>108378.99</v>
      </c>
      <c r="AF29" s="526">
        <f t="shared" si="43"/>
        <v>9279.02</v>
      </c>
      <c r="AG29" s="526">
        <f t="shared" si="44"/>
        <v>9917.2999999999993</v>
      </c>
      <c r="AH29" s="527">
        <f t="shared" si="41"/>
        <v>638.28</v>
      </c>
      <c r="AI29" s="525">
        <v>0</v>
      </c>
      <c r="AJ29" s="387">
        <v>0</v>
      </c>
      <c r="AK29" s="526">
        <f t="shared" si="45"/>
        <v>0</v>
      </c>
      <c r="AL29" s="526">
        <f t="shared" si="46"/>
        <v>0</v>
      </c>
      <c r="AM29" s="527">
        <f t="shared" si="42"/>
        <v>0</v>
      </c>
      <c r="AN29" s="387">
        <v>2000</v>
      </c>
      <c r="AO29" s="387">
        <v>0</v>
      </c>
      <c r="AP29" s="73"/>
      <c r="AQ29" s="241">
        <v>13837.670000000013</v>
      </c>
      <c r="AR29" s="659">
        <v>72782.029999999984</v>
      </c>
    </row>
    <row r="30" spans="1:44">
      <c r="A30" s="236" t="s">
        <v>512</v>
      </c>
      <c r="B30" s="236" t="s">
        <v>511</v>
      </c>
      <c r="C30" s="236" t="str">
        <f t="shared" si="40"/>
        <v>27019 CARBONADO SCHOOL DISTRICT</v>
      </c>
      <c r="D30" s="387">
        <v>0</v>
      </c>
      <c r="E30" s="387">
        <v>0</v>
      </c>
      <c r="F30" s="387">
        <v>0</v>
      </c>
      <c r="G30" s="387">
        <v>353572.13</v>
      </c>
      <c r="H30" s="387">
        <v>31076.91</v>
      </c>
      <c r="I30" s="387">
        <v>0</v>
      </c>
      <c r="J30" s="387">
        <v>32283.439999999999</v>
      </c>
      <c r="K30" s="387">
        <v>0</v>
      </c>
      <c r="L30" s="387">
        <v>5859.27</v>
      </c>
      <c r="M30" s="387">
        <v>147746.67000000001</v>
      </c>
      <c r="N30" s="388">
        <v>5.45E-2</v>
      </c>
      <c r="O30" s="389">
        <v>0.2399</v>
      </c>
      <c r="P30" s="387">
        <v>0</v>
      </c>
      <c r="Q30" s="387">
        <v>0</v>
      </c>
      <c r="R30" s="387">
        <v>0</v>
      </c>
      <c r="S30" s="387">
        <v>0</v>
      </c>
      <c r="T30" s="387">
        <v>0</v>
      </c>
      <c r="U30" s="387">
        <v>0</v>
      </c>
      <c r="V30" s="387">
        <v>0</v>
      </c>
      <c r="W30" s="387">
        <v>0</v>
      </c>
      <c r="X30" s="387">
        <v>0</v>
      </c>
      <c r="Y30" s="387">
        <v>0</v>
      </c>
      <c r="Z30" s="387">
        <v>0</v>
      </c>
      <c r="AA30" s="387">
        <v>0</v>
      </c>
      <c r="AB30" s="387">
        <v>0</v>
      </c>
      <c r="AC30" s="387">
        <v>0</v>
      </c>
      <c r="AD30" s="525">
        <v>0</v>
      </c>
      <c r="AE30" s="387">
        <v>0</v>
      </c>
      <c r="AF30" s="526">
        <f t="shared" si="43"/>
        <v>0</v>
      </c>
      <c r="AG30" s="526">
        <f t="shared" si="44"/>
        <v>0</v>
      </c>
      <c r="AH30" s="527">
        <f t="shared" si="41"/>
        <v>0</v>
      </c>
      <c r="AI30" s="525">
        <v>0</v>
      </c>
      <c r="AJ30" s="387">
        <v>0</v>
      </c>
      <c r="AK30" s="526">
        <f t="shared" si="45"/>
        <v>0</v>
      </c>
      <c r="AL30" s="526">
        <f t="shared" si="46"/>
        <v>0</v>
      </c>
      <c r="AM30" s="527">
        <f t="shared" si="42"/>
        <v>0</v>
      </c>
      <c r="AN30" s="387">
        <v>0</v>
      </c>
      <c r="AO30" s="387">
        <v>0</v>
      </c>
      <c r="AP30" s="73"/>
      <c r="AQ30" s="241">
        <v>9042.869999999999</v>
      </c>
      <c r="AR30" s="659">
        <v>20844.350000000002</v>
      </c>
    </row>
    <row r="31" spans="1:44">
      <c r="A31" s="236" t="s">
        <v>200</v>
      </c>
      <c r="B31" s="236" t="s">
        <v>199</v>
      </c>
      <c r="C31" s="236" t="str">
        <f t="shared" si="40"/>
        <v>04228 CASCADE SCHOOL DISTRICT</v>
      </c>
      <c r="D31" s="387">
        <v>0</v>
      </c>
      <c r="E31" s="387">
        <v>14499.76</v>
      </c>
      <c r="F31" s="387">
        <v>0</v>
      </c>
      <c r="G31" s="387">
        <v>0</v>
      </c>
      <c r="H31" s="387">
        <v>0</v>
      </c>
      <c r="I31" s="387">
        <v>76690.05</v>
      </c>
      <c r="J31" s="387">
        <v>384858.48</v>
      </c>
      <c r="K31" s="387">
        <v>230083.12</v>
      </c>
      <c r="L31" s="387">
        <v>37153.519999999997</v>
      </c>
      <c r="M31" s="387">
        <v>1046225.39</v>
      </c>
      <c r="N31" s="388">
        <v>3.4000000000000002E-2</v>
      </c>
      <c r="O31" s="389">
        <v>0.15049999999999999</v>
      </c>
      <c r="P31" s="387">
        <v>0</v>
      </c>
      <c r="Q31" s="387">
        <v>0</v>
      </c>
      <c r="R31" s="387">
        <v>0</v>
      </c>
      <c r="S31" s="387">
        <v>0</v>
      </c>
      <c r="T31" s="387">
        <v>0</v>
      </c>
      <c r="U31" s="387">
        <v>0</v>
      </c>
      <c r="V31" s="387">
        <v>0</v>
      </c>
      <c r="W31" s="387">
        <v>0</v>
      </c>
      <c r="X31" s="387">
        <v>0</v>
      </c>
      <c r="Y31" s="387">
        <v>1365.51</v>
      </c>
      <c r="Z31" s="387">
        <v>0</v>
      </c>
      <c r="AA31" s="387">
        <v>0</v>
      </c>
      <c r="AB31" s="387">
        <v>526655.87</v>
      </c>
      <c r="AC31" s="387">
        <v>1297492.8500000001</v>
      </c>
      <c r="AD31" s="525">
        <v>132.47999999999999</v>
      </c>
      <c r="AE31" s="387">
        <v>1227536.1000000001</v>
      </c>
      <c r="AF31" s="526">
        <f t="shared" si="43"/>
        <v>9265.82</v>
      </c>
      <c r="AG31" s="526">
        <f t="shared" si="44"/>
        <v>9793.8799999999992</v>
      </c>
      <c r="AH31" s="527">
        <f t="shared" si="41"/>
        <v>528.05999999999995</v>
      </c>
      <c r="AI31" s="525">
        <v>55.16</v>
      </c>
      <c r="AJ31" s="387">
        <v>501040.85</v>
      </c>
      <c r="AK31" s="526">
        <f t="shared" si="45"/>
        <v>9083.41</v>
      </c>
      <c r="AL31" s="526">
        <f t="shared" si="46"/>
        <v>9547.7900000000009</v>
      </c>
      <c r="AM31" s="527">
        <f t="shared" si="42"/>
        <v>464.38</v>
      </c>
      <c r="AN31" s="387">
        <v>1973.3</v>
      </c>
      <c r="AO31" s="387">
        <v>0</v>
      </c>
      <c r="AP31" s="73"/>
      <c r="AQ31" s="241">
        <v>0</v>
      </c>
      <c r="AR31" s="659">
        <v>113589.53</v>
      </c>
    </row>
    <row r="32" spans="1:44">
      <c r="A32" s="236" t="s">
        <v>198</v>
      </c>
      <c r="B32" s="236" t="s">
        <v>197</v>
      </c>
      <c r="C32" s="236" t="str">
        <f t="shared" si="40"/>
        <v>04222 CASHMERE SCHOOL DISTRICT</v>
      </c>
      <c r="D32" s="387">
        <v>0</v>
      </c>
      <c r="E32" s="387">
        <v>8195.49</v>
      </c>
      <c r="F32" s="387">
        <v>0</v>
      </c>
      <c r="G32" s="387">
        <v>2321040.62</v>
      </c>
      <c r="H32" s="387">
        <v>213730.53</v>
      </c>
      <c r="I32" s="387">
        <v>192737.54</v>
      </c>
      <c r="J32" s="387">
        <v>523977.15</v>
      </c>
      <c r="K32" s="387">
        <v>327914.2</v>
      </c>
      <c r="L32" s="387">
        <v>51770.2</v>
      </c>
      <c r="M32" s="387">
        <v>605450.51</v>
      </c>
      <c r="N32" s="388">
        <v>4.224E-2</v>
      </c>
      <c r="O32" s="389">
        <v>0.16250000000000001</v>
      </c>
      <c r="P32" s="387">
        <v>0</v>
      </c>
      <c r="Q32" s="387">
        <v>0</v>
      </c>
      <c r="R32" s="387">
        <v>0</v>
      </c>
      <c r="S32" s="387">
        <v>0</v>
      </c>
      <c r="T32" s="387">
        <v>0</v>
      </c>
      <c r="U32" s="387">
        <v>0</v>
      </c>
      <c r="V32" s="387">
        <v>0</v>
      </c>
      <c r="W32" s="387">
        <v>0</v>
      </c>
      <c r="X32" s="387">
        <v>0</v>
      </c>
      <c r="Y32" s="387">
        <v>0</v>
      </c>
      <c r="Z32" s="387">
        <v>0</v>
      </c>
      <c r="AA32" s="387">
        <v>108452.94</v>
      </c>
      <c r="AB32" s="387">
        <v>478512.76</v>
      </c>
      <c r="AC32" s="387">
        <v>1355613.41</v>
      </c>
      <c r="AD32" s="525">
        <v>136.47</v>
      </c>
      <c r="AE32" s="387">
        <v>1289841.21</v>
      </c>
      <c r="AF32" s="526">
        <f t="shared" si="43"/>
        <v>9451.4599999999991</v>
      </c>
      <c r="AG32" s="526">
        <f t="shared" si="44"/>
        <v>9933.42</v>
      </c>
      <c r="AH32" s="527">
        <f t="shared" si="41"/>
        <v>481.96</v>
      </c>
      <c r="AI32" s="525">
        <v>49.08</v>
      </c>
      <c r="AJ32" s="387">
        <v>455049.71</v>
      </c>
      <c r="AK32" s="526">
        <f t="shared" si="45"/>
        <v>9271.59</v>
      </c>
      <c r="AL32" s="526">
        <f t="shared" si="46"/>
        <v>9749.65</v>
      </c>
      <c r="AM32" s="527">
        <f t="shared" si="42"/>
        <v>478.06</v>
      </c>
      <c r="AN32" s="387">
        <v>434.55</v>
      </c>
      <c r="AO32" s="387">
        <v>0</v>
      </c>
      <c r="AP32" s="73"/>
      <c r="AQ32" s="241">
        <v>0</v>
      </c>
      <c r="AR32" s="659">
        <v>180199.67999999999</v>
      </c>
    </row>
    <row r="33" spans="1:44">
      <c r="A33" s="236" t="s">
        <v>238</v>
      </c>
      <c r="B33" s="236" t="s">
        <v>237</v>
      </c>
      <c r="C33" s="236" t="str">
        <f t="shared" si="40"/>
        <v>08401 CASTLE ROCK SCHOOL DISTRICT</v>
      </c>
      <c r="D33" s="387">
        <v>0</v>
      </c>
      <c r="E33" s="387">
        <v>0</v>
      </c>
      <c r="F33" s="387">
        <v>0</v>
      </c>
      <c r="G33" s="387">
        <v>2966475.74</v>
      </c>
      <c r="H33" s="387">
        <v>355318.69</v>
      </c>
      <c r="I33" s="387">
        <v>309251.59999999998</v>
      </c>
      <c r="J33" s="387">
        <v>522748.93</v>
      </c>
      <c r="K33" s="387">
        <v>40088.620000000003</v>
      </c>
      <c r="L33" s="387">
        <v>44302.59</v>
      </c>
      <c r="M33" s="387">
        <v>1035113.13</v>
      </c>
      <c r="N33" s="388">
        <v>4.6800000000000001E-2</v>
      </c>
      <c r="O33" s="389">
        <v>0.18909999999999999</v>
      </c>
      <c r="P33" s="387">
        <v>0</v>
      </c>
      <c r="Q33" s="387">
        <v>0</v>
      </c>
      <c r="R33" s="387">
        <v>0</v>
      </c>
      <c r="S33" s="387">
        <v>0</v>
      </c>
      <c r="T33" s="387">
        <v>0</v>
      </c>
      <c r="U33" s="387">
        <v>0</v>
      </c>
      <c r="V33" s="387">
        <v>0</v>
      </c>
      <c r="W33" s="387">
        <v>0</v>
      </c>
      <c r="X33" s="387">
        <v>0</v>
      </c>
      <c r="Y33" s="387">
        <v>1651.1</v>
      </c>
      <c r="Z33" s="387">
        <v>12217.8</v>
      </c>
      <c r="AA33" s="387">
        <v>0</v>
      </c>
      <c r="AB33" s="387">
        <v>95694.26</v>
      </c>
      <c r="AC33" s="387">
        <v>993643.18</v>
      </c>
      <c r="AD33" s="525">
        <v>99.93</v>
      </c>
      <c r="AE33" s="387">
        <v>925924.2</v>
      </c>
      <c r="AF33" s="526">
        <f t="shared" si="43"/>
        <v>9265.73</v>
      </c>
      <c r="AG33" s="526">
        <f t="shared" si="44"/>
        <v>9943.39</v>
      </c>
      <c r="AH33" s="527">
        <f t="shared" si="41"/>
        <v>677.66</v>
      </c>
      <c r="AI33" s="525">
        <v>10.029999999999999</v>
      </c>
      <c r="AJ33" s="387">
        <v>91075.21</v>
      </c>
      <c r="AK33" s="526">
        <f t="shared" si="45"/>
        <v>9080.2800000000007</v>
      </c>
      <c r="AL33" s="526">
        <f t="shared" si="46"/>
        <v>9540.7999999999993</v>
      </c>
      <c r="AM33" s="527">
        <f t="shared" si="42"/>
        <v>460.52</v>
      </c>
      <c r="AN33" s="387">
        <v>0</v>
      </c>
      <c r="AO33" s="387">
        <v>0</v>
      </c>
      <c r="AP33" s="73"/>
      <c r="AQ33" s="241">
        <v>0</v>
      </c>
      <c r="AR33" s="659">
        <v>160403.01999999999</v>
      </c>
    </row>
    <row r="34" spans="1:44">
      <c r="A34" s="236" t="s">
        <v>1630</v>
      </c>
      <c r="B34" s="236" t="s">
        <v>1623</v>
      </c>
      <c r="C34" s="236" t="str">
        <f>CONCATENATE(B34," ",A34," PUBLIC SCHOOLS CHARTER")</f>
        <v>18901 CATALYST PUBLIC SCHOOLS CHARTER</v>
      </c>
      <c r="D34" s="387">
        <v>0</v>
      </c>
      <c r="E34" s="387">
        <v>0</v>
      </c>
      <c r="F34" s="387">
        <v>0</v>
      </c>
      <c r="G34" s="387">
        <v>1065496.74</v>
      </c>
      <c r="H34" s="387">
        <v>81443.539999999994</v>
      </c>
      <c r="I34" s="387">
        <v>176687.39</v>
      </c>
      <c r="J34" s="387">
        <v>197724.6</v>
      </c>
      <c r="K34" s="387">
        <v>18488.310000000001</v>
      </c>
      <c r="L34" s="387">
        <v>0</v>
      </c>
      <c r="M34" s="387">
        <v>423829.22</v>
      </c>
      <c r="N34" s="388">
        <v>3.5000000000000003E-2</v>
      </c>
      <c r="O34" s="389">
        <v>0.14979999999999999</v>
      </c>
      <c r="P34" s="387">
        <v>0</v>
      </c>
      <c r="Q34" s="387">
        <v>0</v>
      </c>
      <c r="R34" s="387">
        <v>0</v>
      </c>
      <c r="S34" s="387">
        <v>0</v>
      </c>
      <c r="T34" s="387">
        <v>0</v>
      </c>
      <c r="U34" s="387">
        <v>0</v>
      </c>
      <c r="V34" s="387">
        <v>0</v>
      </c>
      <c r="W34" s="387">
        <v>0</v>
      </c>
      <c r="X34" s="387">
        <v>0</v>
      </c>
      <c r="Y34" s="387">
        <v>0</v>
      </c>
      <c r="Z34" s="387">
        <v>0</v>
      </c>
      <c r="AA34" s="387">
        <v>0</v>
      </c>
      <c r="AB34" s="387">
        <v>0</v>
      </c>
      <c r="AC34" s="387">
        <v>0</v>
      </c>
      <c r="AD34" s="525">
        <v>0</v>
      </c>
      <c r="AE34" s="387">
        <v>0</v>
      </c>
      <c r="AF34" s="526">
        <f t="shared" si="43"/>
        <v>0</v>
      </c>
      <c r="AG34" s="526">
        <f t="shared" si="44"/>
        <v>0</v>
      </c>
      <c r="AH34" s="527">
        <f t="shared" si="41"/>
        <v>0</v>
      </c>
      <c r="AI34" s="525">
        <v>0</v>
      </c>
      <c r="AJ34" s="387">
        <v>0</v>
      </c>
      <c r="AK34" s="526">
        <f t="shared" si="45"/>
        <v>0</v>
      </c>
      <c r="AL34" s="526">
        <f t="shared" si="46"/>
        <v>0</v>
      </c>
      <c r="AM34" s="527">
        <f t="shared" si="42"/>
        <v>0</v>
      </c>
      <c r="AN34" s="387">
        <v>0</v>
      </c>
      <c r="AO34" s="387">
        <v>0</v>
      </c>
      <c r="AP34" s="73"/>
      <c r="AQ34" s="241">
        <v>48220.890000000007</v>
      </c>
      <c r="AR34" s="659">
        <v>81897.689999999988</v>
      </c>
    </row>
    <row r="35" spans="1:44">
      <c r="A35" s="236" t="s">
        <v>401</v>
      </c>
      <c r="B35" s="236" t="s">
        <v>400</v>
      </c>
      <c r="C35" s="236" t="str">
        <f t="shared" ref="C35:C41" si="47">CONCATENATE(B35," ",A35," SCHOOL DISTRICT")</f>
        <v>20215 CENTERVILLE SCHOOL DISTRICT</v>
      </c>
      <c r="D35" s="387">
        <v>0</v>
      </c>
      <c r="E35" s="387">
        <v>0</v>
      </c>
      <c r="F35" s="387">
        <v>0</v>
      </c>
      <c r="G35" s="387">
        <v>0</v>
      </c>
      <c r="H35" s="387">
        <v>0</v>
      </c>
      <c r="I35" s="387">
        <v>0</v>
      </c>
      <c r="J35" s="387">
        <v>17699.099999999999</v>
      </c>
      <c r="K35" s="387">
        <v>0</v>
      </c>
      <c r="L35" s="387">
        <v>2840.59</v>
      </c>
      <c r="M35" s="387">
        <v>173002.52</v>
      </c>
      <c r="N35" s="388">
        <v>8.6300000000000002E-2</v>
      </c>
      <c r="O35" s="389">
        <v>0.28570000000000001</v>
      </c>
      <c r="P35" s="387">
        <v>0</v>
      </c>
      <c r="Q35" s="387">
        <v>0</v>
      </c>
      <c r="R35" s="387">
        <v>0</v>
      </c>
      <c r="S35" s="387">
        <v>0</v>
      </c>
      <c r="T35" s="387">
        <v>0</v>
      </c>
      <c r="U35" s="387">
        <v>0</v>
      </c>
      <c r="V35" s="387">
        <v>0</v>
      </c>
      <c r="W35" s="387">
        <v>0</v>
      </c>
      <c r="X35" s="387">
        <v>0</v>
      </c>
      <c r="Y35" s="387">
        <v>0</v>
      </c>
      <c r="Z35" s="387">
        <v>0</v>
      </c>
      <c r="AA35" s="387">
        <v>0</v>
      </c>
      <c r="AB35" s="387">
        <v>0</v>
      </c>
      <c r="AC35" s="387">
        <v>0</v>
      </c>
      <c r="AD35" s="525">
        <v>0</v>
      </c>
      <c r="AE35" s="387">
        <v>0</v>
      </c>
      <c r="AF35" s="526">
        <f t="shared" si="43"/>
        <v>0</v>
      </c>
      <c r="AG35" s="526">
        <f t="shared" si="44"/>
        <v>0</v>
      </c>
      <c r="AH35" s="527">
        <f t="shared" si="41"/>
        <v>0</v>
      </c>
      <c r="AI35" s="525">
        <v>0</v>
      </c>
      <c r="AJ35" s="387">
        <v>0</v>
      </c>
      <c r="AK35" s="526">
        <f t="shared" si="45"/>
        <v>0</v>
      </c>
      <c r="AL35" s="526">
        <f t="shared" si="46"/>
        <v>0</v>
      </c>
      <c r="AM35" s="527">
        <f t="shared" si="42"/>
        <v>0</v>
      </c>
      <c r="AN35" s="387">
        <v>0</v>
      </c>
      <c r="AO35" s="387">
        <v>0</v>
      </c>
      <c r="AP35" s="73"/>
      <c r="AQ35" s="241">
        <v>7934.5799999999981</v>
      </c>
      <c r="AR35" s="659">
        <v>9755.6499999999978</v>
      </c>
    </row>
    <row r="36" spans="1:44">
      <c r="A36" s="236" t="s">
        <v>381</v>
      </c>
      <c r="B36" s="236" t="s">
        <v>380</v>
      </c>
      <c r="C36" s="236" t="str">
        <f t="shared" si="47"/>
        <v>18401 CENTRAL KITSAP SCHOOL DISTRICT</v>
      </c>
      <c r="D36" s="387">
        <v>0</v>
      </c>
      <c r="E36" s="387">
        <v>293203.28999999998</v>
      </c>
      <c r="F36" s="387">
        <v>60937.88</v>
      </c>
      <c r="G36" s="387">
        <v>26162845.530000001</v>
      </c>
      <c r="H36" s="387">
        <v>4536799.24</v>
      </c>
      <c r="I36" s="387">
        <v>785230.18</v>
      </c>
      <c r="J36" s="387">
        <v>3510258.74</v>
      </c>
      <c r="K36" s="387">
        <v>1066246.8899999999</v>
      </c>
      <c r="L36" s="387">
        <v>403770.02</v>
      </c>
      <c r="M36" s="387">
        <v>7343063.5099999998</v>
      </c>
      <c r="N36" s="388">
        <v>3.2199999999999999E-2</v>
      </c>
      <c r="O36" s="389">
        <v>0.14460000000000001</v>
      </c>
      <c r="P36" s="387">
        <v>0</v>
      </c>
      <c r="Q36" s="387">
        <v>0</v>
      </c>
      <c r="R36" s="387">
        <v>0</v>
      </c>
      <c r="S36" s="387">
        <v>0</v>
      </c>
      <c r="T36" s="387">
        <v>0</v>
      </c>
      <c r="U36" s="387">
        <v>0</v>
      </c>
      <c r="V36" s="387">
        <v>0</v>
      </c>
      <c r="W36" s="387">
        <v>0</v>
      </c>
      <c r="X36" s="387">
        <v>0</v>
      </c>
      <c r="Y36" s="387">
        <v>11845.54</v>
      </c>
      <c r="Z36" s="387">
        <v>43099.65</v>
      </c>
      <c r="AA36" s="387">
        <v>624604.78</v>
      </c>
      <c r="AB36" s="387">
        <v>1258453.8500000001</v>
      </c>
      <c r="AC36" s="387">
        <v>6991534.5700000003</v>
      </c>
      <c r="AD36" s="525">
        <v>618.32000000000005</v>
      </c>
      <c r="AE36" s="387">
        <v>6553390.7199999997</v>
      </c>
      <c r="AF36" s="526">
        <f t="shared" si="43"/>
        <v>10598.7</v>
      </c>
      <c r="AG36" s="526">
        <f t="shared" si="44"/>
        <v>11307.31</v>
      </c>
      <c r="AH36" s="527">
        <f t="shared" si="41"/>
        <v>708.61</v>
      </c>
      <c r="AI36" s="525">
        <v>114.9</v>
      </c>
      <c r="AJ36" s="387">
        <v>1197477.6100000001</v>
      </c>
      <c r="AK36" s="526">
        <f t="shared" si="45"/>
        <v>10421.91</v>
      </c>
      <c r="AL36" s="526">
        <f t="shared" si="46"/>
        <v>10952.6</v>
      </c>
      <c r="AM36" s="527">
        <f t="shared" si="42"/>
        <v>530.69000000000005</v>
      </c>
      <c r="AN36" s="387">
        <v>17837.23</v>
      </c>
      <c r="AO36" s="387">
        <v>0</v>
      </c>
      <c r="AP36" s="73"/>
      <c r="AQ36" s="241">
        <v>0</v>
      </c>
      <c r="AR36" s="659">
        <v>1387981.52</v>
      </c>
    </row>
    <row r="37" spans="1:44">
      <c r="A37" s="236" t="s">
        <v>605</v>
      </c>
      <c r="B37" s="236" t="s">
        <v>604</v>
      </c>
      <c r="C37" s="236" t="str">
        <f t="shared" si="47"/>
        <v>32356 CENTRAL VALLEY SCHOOL DISTRICT</v>
      </c>
      <c r="D37" s="387">
        <v>0</v>
      </c>
      <c r="E37" s="387">
        <v>0</v>
      </c>
      <c r="F37" s="387">
        <v>54454.51</v>
      </c>
      <c r="G37" s="387">
        <v>28892983.710000001</v>
      </c>
      <c r="H37" s="387">
        <v>7123626.8399999999</v>
      </c>
      <c r="I37" s="387">
        <v>1269826.57</v>
      </c>
      <c r="J37" s="387">
        <v>4499973.09</v>
      </c>
      <c r="K37" s="387">
        <v>1619607.19</v>
      </c>
      <c r="L37" s="387">
        <v>467164.38</v>
      </c>
      <c r="M37" s="387">
        <v>7961404.1200000001</v>
      </c>
      <c r="N37" s="388">
        <v>3.6299999999999999E-2</v>
      </c>
      <c r="O37" s="389">
        <v>0.12970000000000001</v>
      </c>
      <c r="P37" s="387">
        <v>0</v>
      </c>
      <c r="Q37" s="387">
        <v>0</v>
      </c>
      <c r="R37" s="387">
        <v>0</v>
      </c>
      <c r="S37" s="387">
        <v>0</v>
      </c>
      <c r="T37" s="387">
        <v>0</v>
      </c>
      <c r="U37" s="387">
        <v>0</v>
      </c>
      <c r="V37" s="387">
        <v>0</v>
      </c>
      <c r="W37" s="387">
        <v>0</v>
      </c>
      <c r="X37" s="387">
        <v>0</v>
      </c>
      <c r="Y37" s="387">
        <v>16859.099999999999</v>
      </c>
      <c r="Z37" s="387">
        <v>233096.34</v>
      </c>
      <c r="AA37" s="387">
        <v>179624.41</v>
      </c>
      <c r="AB37" s="387">
        <v>3864348.36</v>
      </c>
      <c r="AC37" s="387">
        <v>6826392.2699999996</v>
      </c>
      <c r="AD37" s="525">
        <v>682.05</v>
      </c>
      <c r="AE37" s="387">
        <v>6445597.1200000001</v>
      </c>
      <c r="AF37" s="526">
        <f t="shared" si="43"/>
        <v>9450.33</v>
      </c>
      <c r="AG37" s="526">
        <f t="shared" si="44"/>
        <v>10008.64</v>
      </c>
      <c r="AH37" s="527">
        <f t="shared" si="41"/>
        <v>558.30999999999995</v>
      </c>
      <c r="AI37" s="525">
        <v>396.41</v>
      </c>
      <c r="AJ37" s="387">
        <v>3674502.25</v>
      </c>
      <c r="AK37" s="526">
        <f t="shared" si="45"/>
        <v>9269.4500000000007</v>
      </c>
      <c r="AL37" s="526">
        <f t="shared" si="46"/>
        <v>9748.36</v>
      </c>
      <c r="AM37" s="527">
        <f t="shared" si="42"/>
        <v>478.91</v>
      </c>
      <c r="AN37" s="387">
        <v>0</v>
      </c>
      <c r="AO37" s="387">
        <v>0</v>
      </c>
      <c r="AP37" s="73"/>
      <c r="AQ37" s="241">
        <v>958757.43999999948</v>
      </c>
      <c r="AR37" s="659">
        <v>1616854.8599999996</v>
      </c>
    </row>
    <row r="38" spans="1:44">
      <c r="A38" s="236" t="s">
        <v>441</v>
      </c>
      <c r="B38" s="236" t="s">
        <v>440</v>
      </c>
      <c r="C38" s="236" t="str">
        <f t="shared" si="47"/>
        <v>21401 CENTRALIA SCHOOL DISTRICT</v>
      </c>
      <c r="D38" s="387">
        <v>0</v>
      </c>
      <c r="E38" s="387">
        <v>138003.48000000001</v>
      </c>
      <c r="F38" s="387">
        <v>0</v>
      </c>
      <c r="G38" s="387">
        <v>7247493.29</v>
      </c>
      <c r="H38" s="387">
        <v>1223283.28</v>
      </c>
      <c r="I38" s="387">
        <v>1061312.48</v>
      </c>
      <c r="J38" s="387">
        <v>1640495.78</v>
      </c>
      <c r="K38" s="387">
        <v>924597.25</v>
      </c>
      <c r="L38" s="387">
        <v>102361.74</v>
      </c>
      <c r="M38" s="387">
        <v>3070062.72</v>
      </c>
      <c r="N38" s="388">
        <v>1.49E-2</v>
      </c>
      <c r="O38" s="389">
        <v>0.1351</v>
      </c>
      <c r="P38" s="387">
        <v>0</v>
      </c>
      <c r="Q38" s="387">
        <v>0</v>
      </c>
      <c r="R38" s="387">
        <v>0</v>
      </c>
      <c r="S38" s="387">
        <v>0</v>
      </c>
      <c r="T38" s="387">
        <v>0</v>
      </c>
      <c r="U38" s="387">
        <v>0</v>
      </c>
      <c r="V38" s="387">
        <v>0</v>
      </c>
      <c r="W38" s="387">
        <v>0</v>
      </c>
      <c r="X38" s="387">
        <v>0</v>
      </c>
      <c r="Y38" s="387">
        <v>1085.49</v>
      </c>
      <c r="Z38" s="387">
        <v>46076.75</v>
      </c>
      <c r="AA38" s="387">
        <v>0</v>
      </c>
      <c r="AB38" s="387">
        <v>930731.27</v>
      </c>
      <c r="AC38" s="387">
        <v>2862828.31</v>
      </c>
      <c r="AD38" s="525">
        <v>281.35000000000002</v>
      </c>
      <c r="AE38" s="387">
        <v>2606832.17</v>
      </c>
      <c r="AF38" s="526">
        <f t="shared" si="43"/>
        <v>9265.44</v>
      </c>
      <c r="AG38" s="526">
        <f t="shared" si="44"/>
        <v>10175.33</v>
      </c>
      <c r="AH38" s="527">
        <f t="shared" si="41"/>
        <v>909.89</v>
      </c>
      <c r="AI38" s="525">
        <v>97.46</v>
      </c>
      <c r="AJ38" s="387">
        <v>885372.63</v>
      </c>
      <c r="AK38" s="526">
        <f t="shared" si="45"/>
        <v>9084.4699999999993</v>
      </c>
      <c r="AL38" s="526">
        <f t="shared" si="46"/>
        <v>9549.8799999999992</v>
      </c>
      <c r="AM38" s="527">
        <f t="shared" si="42"/>
        <v>465.41</v>
      </c>
      <c r="AN38" s="387">
        <v>0</v>
      </c>
      <c r="AO38" s="387">
        <v>0</v>
      </c>
      <c r="AP38" s="73"/>
      <c r="AQ38" s="241">
        <v>267879.8400000002</v>
      </c>
      <c r="AR38" s="659">
        <v>382042.49</v>
      </c>
    </row>
    <row r="39" spans="1:44">
      <c r="A39" s="236" t="s">
        <v>437</v>
      </c>
      <c r="B39" s="236" t="s">
        <v>436</v>
      </c>
      <c r="C39" s="236" t="str">
        <f t="shared" si="47"/>
        <v>21302 CHEHALIS SCHOOL DISTRICT</v>
      </c>
      <c r="D39" s="387">
        <v>0</v>
      </c>
      <c r="E39" s="387">
        <v>55469.2</v>
      </c>
      <c r="F39" s="387">
        <v>0</v>
      </c>
      <c r="G39" s="387">
        <v>5315412.12</v>
      </c>
      <c r="H39" s="387">
        <v>910614.42</v>
      </c>
      <c r="I39" s="387">
        <v>229155.96</v>
      </c>
      <c r="J39" s="387">
        <v>1047057.83</v>
      </c>
      <c r="K39" s="387">
        <v>274640.56</v>
      </c>
      <c r="L39" s="387">
        <v>94799.98</v>
      </c>
      <c r="M39" s="387">
        <v>1731403.59</v>
      </c>
      <c r="N39" s="388">
        <v>3.5000000000000003E-2</v>
      </c>
      <c r="O39" s="389">
        <v>0.15570000000000001</v>
      </c>
      <c r="P39" s="387">
        <v>180758.72</v>
      </c>
      <c r="Q39" s="387">
        <v>17067.560000000001</v>
      </c>
      <c r="R39" s="387">
        <v>6948.01</v>
      </c>
      <c r="S39" s="387">
        <v>4121080.38</v>
      </c>
      <c r="T39" s="387">
        <v>216735.8099999993</v>
      </c>
      <c r="U39" s="387">
        <v>127970.12</v>
      </c>
      <c r="V39" s="387">
        <v>0</v>
      </c>
      <c r="W39" s="387">
        <v>0</v>
      </c>
      <c r="X39" s="387">
        <v>0</v>
      </c>
      <c r="Y39" s="387">
        <v>0</v>
      </c>
      <c r="Z39" s="387">
        <v>0</v>
      </c>
      <c r="AA39" s="387">
        <v>0</v>
      </c>
      <c r="AB39" s="387">
        <v>0</v>
      </c>
      <c r="AC39" s="387">
        <v>2347569.62</v>
      </c>
      <c r="AD39" s="525">
        <v>232.67</v>
      </c>
      <c r="AE39" s="387">
        <v>2198840.2999999998</v>
      </c>
      <c r="AF39" s="526">
        <f t="shared" si="43"/>
        <v>9450.4699999999993</v>
      </c>
      <c r="AG39" s="526">
        <f t="shared" si="44"/>
        <v>10089.700000000001</v>
      </c>
      <c r="AH39" s="527">
        <f t="shared" si="41"/>
        <v>639.23</v>
      </c>
      <c r="AI39" s="525">
        <v>0</v>
      </c>
      <c r="AJ39" s="387">
        <v>0</v>
      </c>
      <c r="AK39" s="526">
        <f t="shared" si="45"/>
        <v>0</v>
      </c>
      <c r="AL39" s="526">
        <f t="shared" si="46"/>
        <v>0</v>
      </c>
      <c r="AM39" s="527">
        <f t="shared" si="42"/>
        <v>0</v>
      </c>
      <c r="AN39" s="387">
        <v>0</v>
      </c>
      <c r="AO39" s="387">
        <v>0</v>
      </c>
      <c r="AP39" s="73"/>
      <c r="AQ39" s="241">
        <v>0</v>
      </c>
      <c r="AR39" s="659">
        <v>326847.23999999993</v>
      </c>
    </row>
    <row r="40" spans="1:44">
      <c r="A40" s="236" t="s">
        <v>609</v>
      </c>
      <c r="B40" s="236" t="s">
        <v>608</v>
      </c>
      <c r="C40" s="236" t="str">
        <f t="shared" si="47"/>
        <v>32360 CHENEY SCHOOL DISTRICT</v>
      </c>
      <c r="D40" s="387">
        <v>0</v>
      </c>
      <c r="E40" s="387">
        <v>163536.43</v>
      </c>
      <c r="F40" s="387">
        <v>64060.35</v>
      </c>
      <c r="G40" s="387">
        <v>10728885.859999999</v>
      </c>
      <c r="H40" s="387">
        <v>1468708.8</v>
      </c>
      <c r="I40" s="387">
        <v>880094.3</v>
      </c>
      <c r="J40" s="387">
        <v>1879231.5</v>
      </c>
      <c r="K40" s="387">
        <v>856254.66</v>
      </c>
      <c r="L40" s="387">
        <v>170602.9</v>
      </c>
      <c r="M40" s="387">
        <v>4250671.99</v>
      </c>
      <c r="N40" s="388">
        <v>4.2999999999999997E-2</v>
      </c>
      <c r="O40" s="389">
        <v>0.1615</v>
      </c>
      <c r="P40" s="387">
        <v>0</v>
      </c>
      <c r="Q40" s="387">
        <v>0</v>
      </c>
      <c r="R40" s="387">
        <v>0</v>
      </c>
      <c r="S40" s="387">
        <v>0</v>
      </c>
      <c r="T40" s="387">
        <v>0</v>
      </c>
      <c r="U40" s="387">
        <v>0</v>
      </c>
      <c r="V40" s="387">
        <v>0</v>
      </c>
      <c r="W40" s="387">
        <v>0</v>
      </c>
      <c r="X40" s="387">
        <v>0</v>
      </c>
      <c r="Y40" s="387">
        <v>5688.49</v>
      </c>
      <c r="Z40" s="387">
        <v>0</v>
      </c>
      <c r="AA40" s="387">
        <v>190034.66</v>
      </c>
      <c r="AB40" s="387">
        <v>1020535</v>
      </c>
      <c r="AC40" s="387">
        <v>2697886.17</v>
      </c>
      <c r="AD40" s="525">
        <v>272.16000000000003</v>
      </c>
      <c r="AE40" s="387">
        <v>2521890.5299999998</v>
      </c>
      <c r="AF40" s="526">
        <f t="shared" si="43"/>
        <v>9266.2099999999991</v>
      </c>
      <c r="AG40" s="526">
        <f t="shared" si="44"/>
        <v>9912.8700000000008</v>
      </c>
      <c r="AH40" s="527">
        <f t="shared" si="41"/>
        <v>646.66</v>
      </c>
      <c r="AI40" s="525">
        <v>106.88</v>
      </c>
      <c r="AJ40" s="387">
        <v>970864.27</v>
      </c>
      <c r="AK40" s="526">
        <f t="shared" si="45"/>
        <v>9083.69</v>
      </c>
      <c r="AL40" s="526">
        <f t="shared" si="46"/>
        <v>9548.42</v>
      </c>
      <c r="AM40" s="527">
        <f t="shared" si="42"/>
        <v>464.73</v>
      </c>
      <c r="AN40" s="387">
        <v>0</v>
      </c>
      <c r="AO40" s="387">
        <v>0</v>
      </c>
      <c r="AP40" s="73"/>
      <c r="AQ40" s="241">
        <v>35189.760000000359</v>
      </c>
      <c r="AR40" s="659">
        <v>586686.81999999995</v>
      </c>
    </row>
    <row r="41" spans="1:44">
      <c r="A41" s="236" t="s">
        <v>621</v>
      </c>
      <c r="B41" s="236" t="s">
        <v>620</v>
      </c>
      <c r="C41" s="236" t="str">
        <f t="shared" si="47"/>
        <v>33036 CHEWELAH SCHOOL DISTRICT</v>
      </c>
      <c r="D41" s="387">
        <v>0</v>
      </c>
      <c r="E41" s="387">
        <v>25264.71</v>
      </c>
      <c r="F41" s="387">
        <v>18702.72</v>
      </c>
      <c r="G41" s="387">
        <v>1460293.13</v>
      </c>
      <c r="H41" s="387">
        <v>283332.47999999998</v>
      </c>
      <c r="I41" s="387">
        <v>264407.40000000002</v>
      </c>
      <c r="J41" s="387">
        <v>336331.44</v>
      </c>
      <c r="K41" s="387">
        <v>2665.47</v>
      </c>
      <c r="L41" s="387">
        <v>24046.89</v>
      </c>
      <c r="M41" s="387">
        <v>713309.37</v>
      </c>
      <c r="N41" s="388">
        <v>3.6900000000000002E-2</v>
      </c>
      <c r="O41" s="389">
        <v>0.16569999999999999</v>
      </c>
      <c r="P41" s="387">
        <v>0</v>
      </c>
      <c r="Q41" s="387">
        <v>0</v>
      </c>
      <c r="R41" s="387">
        <v>0</v>
      </c>
      <c r="S41" s="387">
        <v>0</v>
      </c>
      <c r="T41" s="387">
        <v>0</v>
      </c>
      <c r="U41" s="387">
        <v>0</v>
      </c>
      <c r="V41" s="387">
        <v>0</v>
      </c>
      <c r="W41" s="387">
        <v>0</v>
      </c>
      <c r="X41" s="387">
        <v>0</v>
      </c>
      <c r="Y41" s="387">
        <v>0</v>
      </c>
      <c r="Z41" s="387">
        <v>0</v>
      </c>
      <c r="AA41" s="387">
        <v>0</v>
      </c>
      <c r="AB41" s="387">
        <v>112525.61</v>
      </c>
      <c r="AC41" s="387">
        <v>451994.06</v>
      </c>
      <c r="AD41" s="525">
        <v>43.5</v>
      </c>
      <c r="AE41" s="387">
        <v>402941.16</v>
      </c>
      <c r="AF41" s="526">
        <f t="shared" si="43"/>
        <v>9263.02</v>
      </c>
      <c r="AG41" s="526">
        <f t="shared" si="44"/>
        <v>10390.67</v>
      </c>
      <c r="AH41" s="527">
        <f t="shared" si="41"/>
        <v>1127.6500000000001</v>
      </c>
      <c r="AI41" s="525">
        <v>11.78</v>
      </c>
      <c r="AJ41" s="387">
        <v>106980.06</v>
      </c>
      <c r="AK41" s="526">
        <f t="shared" si="45"/>
        <v>9081.5</v>
      </c>
      <c r="AL41" s="526">
        <f t="shared" si="46"/>
        <v>9552.26</v>
      </c>
      <c r="AM41" s="527">
        <f t="shared" si="42"/>
        <v>470.76</v>
      </c>
      <c r="AN41" s="387">
        <v>0</v>
      </c>
      <c r="AO41" s="387">
        <v>0</v>
      </c>
      <c r="AP41" s="73"/>
      <c r="AQ41" s="241">
        <v>1853.140000000014</v>
      </c>
      <c r="AR41" s="659">
        <v>75059.409999999989</v>
      </c>
    </row>
    <row r="42" spans="1:44">
      <c r="A42" s="236" t="s">
        <v>1597</v>
      </c>
      <c r="B42" s="236" t="s">
        <v>1553</v>
      </c>
      <c r="C42" s="236" t="str">
        <f>CONCATENATE(B42," ",A42," TRIBAL COMPACT")</f>
        <v>27901 CHIEF LESCHI TRIBAL COMPACT</v>
      </c>
      <c r="D42" s="387">
        <v>30858.98</v>
      </c>
      <c r="E42" s="387">
        <v>22753.360000000001</v>
      </c>
      <c r="F42" s="387">
        <v>12059.47</v>
      </c>
      <c r="G42" s="387">
        <v>1203143.5900000001</v>
      </c>
      <c r="H42" s="387">
        <v>201338.91</v>
      </c>
      <c r="I42" s="387">
        <v>226259.3</v>
      </c>
      <c r="J42" s="387">
        <v>295978.74</v>
      </c>
      <c r="K42" s="387">
        <v>0</v>
      </c>
      <c r="L42" s="387">
        <v>21525.72</v>
      </c>
      <c r="M42" s="387">
        <v>829373.18</v>
      </c>
      <c r="N42" s="388">
        <v>3.5000000000000003E-2</v>
      </c>
      <c r="O42" s="389">
        <v>0.14979999999999999</v>
      </c>
      <c r="P42" s="387">
        <v>0</v>
      </c>
      <c r="Q42" s="387">
        <v>0</v>
      </c>
      <c r="R42" s="387">
        <v>0</v>
      </c>
      <c r="S42" s="387">
        <v>0</v>
      </c>
      <c r="T42" s="387">
        <v>0</v>
      </c>
      <c r="U42" s="387">
        <v>0</v>
      </c>
      <c r="V42" s="387">
        <v>0</v>
      </c>
      <c r="W42" s="387">
        <v>0</v>
      </c>
      <c r="X42" s="387">
        <v>0</v>
      </c>
      <c r="Y42" s="387">
        <v>0</v>
      </c>
      <c r="Z42" s="387">
        <v>0</v>
      </c>
      <c r="AA42" s="387">
        <v>19005.48</v>
      </c>
      <c r="AB42" s="387">
        <v>78876.179999999993</v>
      </c>
      <c r="AC42" s="387">
        <v>410223.59</v>
      </c>
      <c r="AD42" s="525">
        <v>39.36</v>
      </c>
      <c r="AE42" s="387">
        <v>394785.59</v>
      </c>
      <c r="AF42" s="526">
        <f t="shared" si="43"/>
        <v>10030.120000000001</v>
      </c>
      <c r="AG42" s="526">
        <f t="shared" si="44"/>
        <v>10422.35</v>
      </c>
      <c r="AH42" s="527">
        <f t="shared" si="41"/>
        <v>392.23</v>
      </c>
      <c r="AI42" s="525">
        <v>7.62</v>
      </c>
      <c r="AJ42" s="387">
        <v>75123.72</v>
      </c>
      <c r="AK42" s="526">
        <f t="shared" si="45"/>
        <v>9858.76</v>
      </c>
      <c r="AL42" s="526">
        <f t="shared" si="46"/>
        <v>10351.200000000001</v>
      </c>
      <c r="AM42" s="527">
        <f t="shared" si="42"/>
        <v>492.44</v>
      </c>
      <c r="AN42" s="387">
        <v>0</v>
      </c>
      <c r="AO42" s="387">
        <v>0</v>
      </c>
      <c r="AP42" s="73"/>
      <c r="AQ42" s="241">
        <v>79501.429999999993</v>
      </c>
      <c r="AR42" s="659">
        <v>81219.460000000006</v>
      </c>
    </row>
    <row r="43" spans="1:44">
      <c r="A43" s="236" t="s">
        <v>335</v>
      </c>
      <c r="B43" s="236" t="s">
        <v>334</v>
      </c>
      <c r="C43" s="236" t="str">
        <f t="shared" ref="C43:C80" si="48">CONCATENATE(B43," ",A43," SCHOOL DISTRICT")</f>
        <v>16049 CHIMACUM SCHOOL DISTRICT</v>
      </c>
      <c r="D43" s="387">
        <v>0</v>
      </c>
      <c r="E43" s="387">
        <v>27775.54</v>
      </c>
      <c r="F43" s="387">
        <v>11888.67</v>
      </c>
      <c r="G43" s="387">
        <v>2000350.21</v>
      </c>
      <c r="H43" s="387">
        <v>266280.39</v>
      </c>
      <c r="I43" s="387">
        <v>148168.75</v>
      </c>
      <c r="J43" s="387">
        <v>294184.93</v>
      </c>
      <c r="K43" s="387">
        <v>0</v>
      </c>
      <c r="L43" s="387">
        <v>22243.25</v>
      </c>
      <c r="M43" s="387">
        <v>1287959.6599999999</v>
      </c>
      <c r="N43" s="388">
        <v>4.9799999999999997E-2</v>
      </c>
      <c r="O43" s="389">
        <v>0.2384</v>
      </c>
      <c r="P43" s="387">
        <v>0</v>
      </c>
      <c r="Q43" s="387">
        <v>0</v>
      </c>
      <c r="R43" s="387">
        <v>0</v>
      </c>
      <c r="S43" s="387">
        <v>0</v>
      </c>
      <c r="T43" s="387">
        <v>0</v>
      </c>
      <c r="U43" s="387">
        <v>0</v>
      </c>
      <c r="V43" s="387">
        <v>0</v>
      </c>
      <c r="W43" s="387">
        <v>0</v>
      </c>
      <c r="X43" s="387">
        <v>0</v>
      </c>
      <c r="Y43" s="387">
        <v>794.31</v>
      </c>
      <c r="Z43" s="387">
        <v>0</v>
      </c>
      <c r="AA43" s="387">
        <v>11067.29</v>
      </c>
      <c r="AB43" s="387">
        <v>7847.7</v>
      </c>
      <c r="AC43" s="387">
        <v>244787.06</v>
      </c>
      <c r="AD43" s="525">
        <v>22.5</v>
      </c>
      <c r="AE43" s="387">
        <v>225610.29</v>
      </c>
      <c r="AF43" s="526">
        <f t="shared" si="43"/>
        <v>10027.120000000001</v>
      </c>
      <c r="AG43" s="526">
        <f t="shared" si="44"/>
        <v>10879.42</v>
      </c>
      <c r="AH43" s="527">
        <f t="shared" si="41"/>
        <v>852.3</v>
      </c>
      <c r="AI43" s="525">
        <v>0.76</v>
      </c>
      <c r="AJ43" s="387">
        <v>7487.43</v>
      </c>
      <c r="AK43" s="526">
        <f t="shared" si="45"/>
        <v>9851.8799999999992</v>
      </c>
      <c r="AL43" s="526">
        <f t="shared" si="46"/>
        <v>10325.92</v>
      </c>
      <c r="AM43" s="527">
        <f t="shared" si="42"/>
        <v>474.04</v>
      </c>
      <c r="AN43" s="387">
        <v>0</v>
      </c>
      <c r="AO43" s="387">
        <v>0</v>
      </c>
      <c r="AP43" s="73"/>
      <c r="AQ43" s="241">
        <v>70623.040000000023</v>
      </c>
      <c r="AR43" s="659">
        <v>86877.31</v>
      </c>
    </row>
    <row r="44" spans="1:44">
      <c r="A44" s="236" t="s">
        <v>174</v>
      </c>
      <c r="B44" s="236" t="s">
        <v>173</v>
      </c>
      <c r="C44" s="236" t="str">
        <f t="shared" si="48"/>
        <v>02250 CLARKSTON SCHOOL DISTRICT</v>
      </c>
      <c r="D44" s="387">
        <v>0</v>
      </c>
      <c r="E44" s="387">
        <v>0</v>
      </c>
      <c r="F44" s="387">
        <v>0</v>
      </c>
      <c r="G44" s="387">
        <v>4682517.3</v>
      </c>
      <c r="H44" s="387">
        <v>890877.67</v>
      </c>
      <c r="I44" s="387">
        <v>436201.81</v>
      </c>
      <c r="J44" s="387">
        <v>945952.43</v>
      </c>
      <c r="K44" s="387">
        <v>46805.61</v>
      </c>
      <c r="L44" s="387">
        <v>73115.53</v>
      </c>
      <c r="M44" s="387">
        <v>1460332.32</v>
      </c>
      <c r="N44" s="388">
        <v>6.2799999999999995E-2</v>
      </c>
      <c r="O44" s="389">
        <v>0.19939999999999999</v>
      </c>
      <c r="P44" s="387">
        <v>0</v>
      </c>
      <c r="Q44" s="387">
        <v>0</v>
      </c>
      <c r="R44" s="387">
        <v>0</v>
      </c>
      <c r="S44" s="387">
        <v>0</v>
      </c>
      <c r="T44" s="387">
        <v>0</v>
      </c>
      <c r="U44" s="387">
        <v>0</v>
      </c>
      <c r="V44" s="387">
        <v>0</v>
      </c>
      <c r="W44" s="387">
        <v>0</v>
      </c>
      <c r="X44" s="387">
        <v>0</v>
      </c>
      <c r="Y44" s="387">
        <v>1111.1500000000001</v>
      </c>
      <c r="Z44" s="387">
        <v>0</v>
      </c>
      <c r="AA44" s="387">
        <v>0</v>
      </c>
      <c r="AB44" s="387">
        <v>219421.93</v>
      </c>
      <c r="AC44" s="387">
        <v>1251930.72</v>
      </c>
      <c r="AD44" s="525">
        <v>122.88</v>
      </c>
      <c r="AE44" s="387">
        <v>1138612.04</v>
      </c>
      <c r="AF44" s="526">
        <f t="shared" si="43"/>
        <v>9266.0499999999993</v>
      </c>
      <c r="AG44" s="526">
        <f t="shared" si="44"/>
        <v>10188.24</v>
      </c>
      <c r="AH44" s="527">
        <f t="shared" si="41"/>
        <v>922.19</v>
      </c>
      <c r="AI44" s="525">
        <v>22.97</v>
      </c>
      <c r="AJ44" s="387">
        <v>208670.2</v>
      </c>
      <c r="AK44" s="526">
        <f t="shared" si="45"/>
        <v>9084.4699999999993</v>
      </c>
      <c r="AL44" s="526">
        <f t="shared" si="46"/>
        <v>9552.5400000000009</v>
      </c>
      <c r="AM44" s="527">
        <f t="shared" si="42"/>
        <v>468.07</v>
      </c>
      <c r="AN44" s="387">
        <v>173.96</v>
      </c>
      <c r="AO44" s="387">
        <v>0</v>
      </c>
      <c r="AP44" s="73"/>
      <c r="AQ44" s="241">
        <v>32161.459999999905</v>
      </c>
      <c r="AR44" s="659">
        <v>254598.63999999998</v>
      </c>
    </row>
    <row r="45" spans="1:44">
      <c r="A45" s="236" t="s">
        <v>395</v>
      </c>
      <c r="B45" s="236" t="s">
        <v>394</v>
      </c>
      <c r="C45" s="236" t="str">
        <f t="shared" si="48"/>
        <v>19404 CLE ELUM-ROSLYN SCHOOL DISTRICT</v>
      </c>
      <c r="D45" s="387">
        <v>0</v>
      </c>
      <c r="E45" s="387">
        <v>20510.18</v>
      </c>
      <c r="F45" s="387">
        <v>0</v>
      </c>
      <c r="G45" s="387">
        <v>1852615.7</v>
      </c>
      <c r="H45" s="387">
        <v>217572.79</v>
      </c>
      <c r="I45" s="387">
        <v>0</v>
      </c>
      <c r="J45" s="387">
        <v>245341.52</v>
      </c>
      <c r="K45" s="387">
        <v>34546.6</v>
      </c>
      <c r="L45" s="387">
        <v>30197.64</v>
      </c>
      <c r="M45" s="387">
        <v>686708.87</v>
      </c>
      <c r="N45" s="388">
        <v>3.1099999999999999E-2</v>
      </c>
      <c r="O45" s="389">
        <v>0.20050000000000001</v>
      </c>
      <c r="P45" s="387">
        <v>0</v>
      </c>
      <c r="Q45" s="387">
        <v>0</v>
      </c>
      <c r="R45" s="387">
        <v>0</v>
      </c>
      <c r="S45" s="387">
        <v>0</v>
      </c>
      <c r="T45" s="387">
        <v>0</v>
      </c>
      <c r="U45" s="387">
        <v>0</v>
      </c>
      <c r="V45" s="387">
        <v>0</v>
      </c>
      <c r="W45" s="387">
        <v>0</v>
      </c>
      <c r="X45" s="387">
        <v>0</v>
      </c>
      <c r="Y45" s="387">
        <v>1152.42</v>
      </c>
      <c r="Z45" s="387">
        <v>8248.7000000000007</v>
      </c>
      <c r="AA45" s="387">
        <v>17664.68</v>
      </c>
      <c r="AB45" s="387">
        <v>91169.52</v>
      </c>
      <c r="AC45" s="387">
        <v>692044.37</v>
      </c>
      <c r="AD45" s="525">
        <v>69.56</v>
      </c>
      <c r="AE45" s="387">
        <v>671205.51</v>
      </c>
      <c r="AF45" s="526">
        <f t="shared" si="43"/>
        <v>9649.2999999999993</v>
      </c>
      <c r="AG45" s="526">
        <f t="shared" si="44"/>
        <v>9948.8799999999992</v>
      </c>
      <c r="AH45" s="527">
        <f t="shared" si="41"/>
        <v>299.58</v>
      </c>
      <c r="AI45" s="525">
        <v>9.18</v>
      </c>
      <c r="AJ45" s="387">
        <v>86854.74</v>
      </c>
      <c r="AK45" s="526">
        <f t="shared" si="45"/>
        <v>9461.2999999999993</v>
      </c>
      <c r="AL45" s="526">
        <f t="shared" si="46"/>
        <v>9931.32</v>
      </c>
      <c r="AM45" s="527">
        <f t="shared" si="42"/>
        <v>470.02</v>
      </c>
      <c r="AN45" s="387">
        <v>0</v>
      </c>
      <c r="AO45" s="387">
        <v>53027</v>
      </c>
      <c r="AP45" s="73"/>
      <c r="AQ45" s="241">
        <v>0</v>
      </c>
      <c r="AR45" s="659">
        <v>110135.81000000001</v>
      </c>
    </row>
    <row r="46" spans="1:44">
      <c r="A46" s="236" t="s">
        <v>522</v>
      </c>
      <c r="B46" s="236" t="s">
        <v>521</v>
      </c>
      <c r="C46" s="236" t="str">
        <f t="shared" si="48"/>
        <v>27400 CLOVER PARK SCHOOL DISTRICT</v>
      </c>
      <c r="D46" s="387">
        <v>0</v>
      </c>
      <c r="E46" s="387">
        <v>543007.64</v>
      </c>
      <c r="F46" s="387">
        <v>139894.07999999999</v>
      </c>
      <c r="G46" s="387">
        <v>29766595.68</v>
      </c>
      <c r="H46" s="387">
        <v>6278133.0899999999</v>
      </c>
      <c r="I46" s="387">
        <v>3229779.33</v>
      </c>
      <c r="J46" s="387">
        <v>5882043.1500000004</v>
      </c>
      <c r="K46" s="387">
        <v>3651956.32</v>
      </c>
      <c r="L46" s="387">
        <v>383680.88</v>
      </c>
      <c r="M46" s="387">
        <v>9278653.5500000007</v>
      </c>
      <c r="N46" s="388">
        <v>0.05</v>
      </c>
      <c r="O46" s="389">
        <v>0.16339999999999999</v>
      </c>
      <c r="P46" s="387">
        <v>0</v>
      </c>
      <c r="Q46" s="387">
        <v>0</v>
      </c>
      <c r="R46" s="387">
        <v>0</v>
      </c>
      <c r="S46" s="387">
        <v>154162.22</v>
      </c>
      <c r="T46" s="387">
        <v>15414.74</v>
      </c>
      <c r="U46" s="387">
        <v>5940.74</v>
      </c>
      <c r="V46" s="387">
        <v>2857646.35</v>
      </c>
      <c r="W46" s="387">
        <v>241223.10999999923</v>
      </c>
      <c r="X46" s="387">
        <v>103061.75999999999</v>
      </c>
      <c r="Y46" s="387">
        <v>13653.95</v>
      </c>
      <c r="Z46" s="387">
        <v>287554.96999999997</v>
      </c>
      <c r="AA46" s="387">
        <v>241832.11</v>
      </c>
      <c r="AB46" s="387">
        <v>3761070.26</v>
      </c>
      <c r="AC46" s="387">
        <v>6174230.2999999998</v>
      </c>
      <c r="AD46" s="525">
        <v>590.67999999999995</v>
      </c>
      <c r="AE46" s="387">
        <v>5699244.1100000003</v>
      </c>
      <c r="AF46" s="526">
        <f t="shared" si="43"/>
        <v>9648.6200000000008</v>
      </c>
      <c r="AG46" s="526">
        <f t="shared" si="44"/>
        <v>10452.75</v>
      </c>
      <c r="AH46" s="527">
        <f t="shared" si="41"/>
        <v>804.13</v>
      </c>
      <c r="AI46" s="525">
        <v>377.99</v>
      </c>
      <c r="AJ46" s="387">
        <v>3578922.93</v>
      </c>
      <c r="AK46" s="526">
        <f t="shared" si="45"/>
        <v>9468.2999999999993</v>
      </c>
      <c r="AL46" s="526">
        <f t="shared" si="46"/>
        <v>9950.18</v>
      </c>
      <c r="AM46" s="527">
        <f t="shared" si="42"/>
        <v>481.88</v>
      </c>
      <c r="AN46" s="387">
        <v>0</v>
      </c>
      <c r="AO46" s="387">
        <v>20000</v>
      </c>
      <c r="AP46" s="73"/>
      <c r="AQ46" s="241">
        <v>135757.87000000081</v>
      </c>
      <c r="AR46" s="659">
        <v>1485233.05</v>
      </c>
    </row>
    <row r="47" spans="1:44">
      <c r="A47" s="236" t="s">
        <v>694</v>
      </c>
      <c r="B47" s="236" t="s">
        <v>693</v>
      </c>
      <c r="C47" s="236" t="str">
        <f t="shared" si="48"/>
        <v>38300 COLFAX SCHOOL DISTRICT</v>
      </c>
      <c r="D47" s="387">
        <v>0</v>
      </c>
      <c r="E47" s="387">
        <v>11800.56</v>
      </c>
      <c r="F47" s="387">
        <v>0</v>
      </c>
      <c r="G47" s="387">
        <v>808898.49</v>
      </c>
      <c r="H47" s="387">
        <v>101919.61</v>
      </c>
      <c r="I47" s="387">
        <v>0</v>
      </c>
      <c r="J47" s="387">
        <v>119676.56</v>
      </c>
      <c r="K47" s="387">
        <v>0</v>
      </c>
      <c r="L47" s="387">
        <v>16808.490000000002</v>
      </c>
      <c r="M47" s="387">
        <v>541714.09</v>
      </c>
      <c r="N47" s="388">
        <v>3.7699999999999997E-2</v>
      </c>
      <c r="O47" s="389">
        <v>0.2429</v>
      </c>
      <c r="P47" s="387">
        <v>0</v>
      </c>
      <c r="Q47" s="387">
        <v>0</v>
      </c>
      <c r="R47" s="387">
        <v>0</v>
      </c>
      <c r="S47" s="387">
        <v>0</v>
      </c>
      <c r="T47" s="387">
        <v>0</v>
      </c>
      <c r="U47" s="387">
        <v>0</v>
      </c>
      <c r="V47" s="387">
        <v>0</v>
      </c>
      <c r="W47" s="387">
        <v>0</v>
      </c>
      <c r="X47" s="387">
        <v>0</v>
      </c>
      <c r="Y47" s="387">
        <v>0</v>
      </c>
      <c r="Z47" s="387">
        <v>7510.79</v>
      </c>
      <c r="AA47" s="387">
        <v>0</v>
      </c>
      <c r="AB47" s="387">
        <v>92226.93</v>
      </c>
      <c r="AC47" s="387">
        <v>417183.89</v>
      </c>
      <c r="AD47" s="525">
        <v>42.34</v>
      </c>
      <c r="AE47" s="387">
        <v>400161.18</v>
      </c>
      <c r="AF47" s="526">
        <f t="shared" si="43"/>
        <v>9451.14</v>
      </c>
      <c r="AG47" s="526">
        <f t="shared" si="44"/>
        <v>9853.19</v>
      </c>
      <c r="AH47" s="527">
        <f t="shared" si="41"/>
        <v>402.05</v>
      </c>
      <c r="AI47" s="525">
        <v>9.4700000000000006</v>
      </c>
      <c r="AJ47" s="387">
        <v>87798.85</v>
      </c>
      <c r="AK47" s="526">
        <f t="shared" si="45"/>
        <v>9271.26</v>
      </c>
      <c r="AL47" s="526">
        <f t="shared" si="46"/>
        <v>9738.85</v>
      </c>
      <c r="AM47" s="527">
        <f t="shared" si="42"/>
        <v>467.59</v>
      </c>
      <c r="AN47" s="387">
        <v>0</v>
      </c>
      <c r="AO47" s="387">
        <v>0</v>
      </c>
      <c r="AP47" s="73"/>
      <c r="AQ47" s="241">
        <v>45892.72</v>
      </c>
      <c r="AR47" s="659">
        <v>62788.249999999993</v>
      </c>
    </row>
    <row r="48" spans="1:44">
      <c r="A48" s="236" t="s">
        <v>663</v>
      </c>
      <c r="B48" s="236" t="s">
        <v>662</v>
      </c>
      <c r="C48" s="236" t="str">
        <f t="shared" si="48"/>
        <v>36250 COLLEGE PLACE SCHOOL DISTRICT</v>
      </c>
      <c r="D48" s="387">
        <v>0</v>
      </c>
      <c r="E48" s="387">
        <v>30573.4</v>
      </c>
      <c r="F48" s="387">
        <v>41432.5</v>
      </c>
      <c r="G48" s="387">
        <v>2849192.02</v>
      </c>
      <c r="H48" s="387">
        <v>627585.76</v>
      </c>
      <c r="I48" s="387">
        <v>471405.59</v>
      </c>
      <c r="J48" s="387">
        <v>564235.22</v>
      </c>
      <c r="K48" s="387">
        <v>419331.3</v>
      </c>
      <c r="L48" s="387">
        <v>45494.1</v>
      </c>
      <c r="M48" s="387">
        <v>671510.59</v>
      </c>
      <c r="N48" s="388">
        <v>2.6800000000000001E-2</v>
      </c>
      <c r="O48" s="389">
        <v>0.1646</v>
      </c>
      <c r="P48" s="387">
        <v>0</v>
      </c>
      <c r="Q48" s="387">
        <v>0</v>
      </c>
      <c r="R48" s="387">
        <v>0</v>
      </c>
      <c r="S48" s="387">
        <v>0</v>
      </c>
      <c r="T48" s="387">
        <v>0</v>
      </c>
      <c r="U48" s="387">
        <v>0</v>
      </c>
      <c r="V48" s="387">
        <v>0</v>
      </c>
      <c r="W48" s="387">
        <v>0</v>
      </c>
      <c r="X48" s="387">
        <v>0</v>
      </c>
      <c r="Y48" s="387">
        <v>0</v>
      </c>
      <c r="Z48" s="387">
        <v>5679.59</v>
      </c>
      <c r="AA48" s="387">
        <v>35077.15</v>
      </c>
      <c r="AB48" s="387">
        <v>133609.99</v>
      </c>
      <c r="AC48" s="387">
        <v>1541609.53</v>
      </c>
      <c r="AD48" s="525">
        <v>154.71</v>
      </c>
      <c r="AE48" s="387">
        <v>1433603.54</v>
      </c>
      <c r="AF48" s="526">
        <f t="shared" si="43"/>
        <v>9266.39</v>
      </c>
      <c r="AG48" s="526">
        <f t="shared" si="44"/>
        <v>9964.51</v>
      </c>
      <c r="AH48" s="527">
        <f t="shared" si="41"/>
        <v>698.12</v>
      </c>
      <c r="AI48" s="525">
        <v>13.99</v>
      </c>
      <c r="AJ48" s="387">
        <v>127148.45</v>
      </c>
      <c r="AK48" s="526">
        <f t="shared" si="45"/>
        <v>9088.52</v>
      </c>
      <c r="AL48" s="526">
        <f t="shared" si="46"/>
        <v>9550.39</v>
      </c>
      <c r="AM48" s="527">
        <f t="shared" si="42"/>
        <v>461.87</v>
      </c>
      <c r="AN48" s="387">
        <v>0</v>
      </c>
      <c r="AO48" s="387">
        <v>0</v>
      </c>
      <c r="AP48" s="73"/>
      <c r="AQ48" s="241">
        <v>101139.00999999989</v>
      </c>
      <c r="AR48" s="659">
        <v>172444.55</v>
      </c>
    </row>
    <row r="49" spans="1:44">
      <c r="A49" s="236" t="s">
        <v>702</v>
      </c>
      <c r="B49" s="236" t="s">
        <v>701</v>
      </c>
      <c r="C49" s="236" t="str">
        <f t="shared" si="48"/>
        <v>38306 COLTON SCHOOL DISTRICT</v>
      </c>
      <c r="D49" s="387">
        <v>0</v>
      </c>
      <c r="E49" s="387">
        <v>3218.81</v>
      </c>
      <c r="F49" s="387">
        <v>0</v>
      </c>
      <c r="G49" s="387">
        <v>286740.53999999998</v>
      </c>
      <c r="H49" s="387">
        <v>35286.1</v>
      </c>
      <c r="I49" s="387">
        <v>0</v>
      </c>
      <c r="J49" s="387">
        <v>30263.279999999999</v>
      </c>
      <c r="K49" s="387">
        <v>0</v>
      </c>
      <c r="L49" s="387">
        <v>0</v>
      </c>
      <c r="M49" s="387">
        <v>184644.95</v>
      </c>
      <c r="N49" s="388">
        <v>4.3999999999999997E-2</v>
      </c>
      <c r="O49" s="389">
        <v>0.24479999999999999</v>
      </c>
      <c r="P49" s="387">
        <v>0</v>
      </c>
      <c r="Q49" s="387">
        <v>0</v>
      </c>
      <c r="R49" s="387">
        <v>0</v>
      </c>
      <c r="S49" s="387">
        <v>0</v>
      </c>
      <c r="T49" s="387">
        <v>0</v>
      </c>
      <c r="U49" s="387">
        <v>0</v>
      </c>
      <c r="V49" s="387">
        <v>0</v>
      </c>
      <c r="W49" s="387">
        <v>0</v>
      </c>
      <c r="X49" s="387">
        <v>0</v>
      </c>
      <c r="Y49" s="387">
        <v>0</v>
      </c>
      <c r="Z49" s="387">
        <v>0</v>
      </c>
      <c r="AA49" s="387">
        <v>0</v>
      </c>
      <c r="AB49" s="387">
        <v>8056.63</v>
      </c>
      <c r="AC49" s="387">
        <v>48827.25</v>
      </c>
      <c r="AD49" s="525">
        <v>5.09</v>
      </c>
      <c r="AE49" s="387">
        <v>47546.74</v>
      </c>
      <c r="AF49" s="526">
        <f t="shared" si="43"/>
        <v>9341.2099999999991</v>
      </c>
      <c r="AG49" s="526">
        <f t="shared" si="44"/>
        <v>9592.7800000000007</v>
      </c>
      <c r="AH49" s="527">
        <f t="shared" si="41"/>
        <v>251.57</v>
      </c>
      <c r="AI49" s="525">
        <v>0.84</v>
      </c>
      <c r="AJ49" s="387">
        <v>7631.19</v>
      </c>
      <c r="AK49" s="526">
        <f t="shared" si="45"/>
        <v>9084.75</v>
      </c>
      <c r="AL49" s="526">
        <f t="shared" si="46"/>
        <v>9591.23</v>
      </c>
      <c r="AM49" s="527">
        <f t="shared" si="42"/>
        <v>506.48</v>
      </c>
      <c r="AN49" s="387">
        <v>0</v>
      </c>
      <c r="AO49" s="387">
        <v>0</v>
      </c>
      <c r="AP49" s="73"/>
      <c r="AQ49" s="241">
        <v>14614.340000000007</v>
      </c>
      <c r="AR49" s="659">
        <v>26497.59</v>
      </c>
    </row>
    <row r="50" spans="1:44">
      <c r="A50" s="236" t="s">
        <v>805</v>
      </c>
      <c r="B50" s="236" t="s">
        <v>633</v>
      </c>
      <c r="C50" s="236" t="str">
        <f t="shared" si="48"/>
        <v>33206 COLUMBIA (STEVENS) SCHOOL DISTRICT</v>
      </c>
      <c r="D50" s="387">
        <v>0</v>
      </c>
      <c r="E50" s="387">
        <v>0</v>
      </c>
      <c r="F50" s="387">
        <v>0</v>
      </c>
      <c r="G50" s="387">
        <v>210963.15</v>
      </c>
      <c r="H50" s="387">
        <v>22015.91</v>
      </c>
      <c r="I50" s="387">
        <v>35637.050000000003</v>
      </c>
      <c r="J50" s="387">
        <v>56326.03</v>
      </c>
      <c r="K50" s="387">
        <v>0</v>
      </c>
      <c r="L50" s="387">
        <v>0</v>
      </c>
      <c r="M50" s="387">
        <v>259851.25</v>
      </c>
      <c r="N50" s="388">
        <v>4.6600000000000003E-2</v>
      </c>
      <c r="O50" s="389">
        <v>0.27129999999999999</v>
      </c>
      <c r="P50" s="387">
        <v>0</v>
      </c>
      <c r="Q50" s="387">
        <v>0</v>
      </c>
      <c r="R50" s="387">
        <v>0</v>
      </c>
      <c r="S50" s="387">
        <v>0</v>
      </c>
      <c r="T50" s="387">
        <v>0</v>
      </c>
      <c r="U50" s="387">
        <v>0</v>
      </c>
      <c r="V50" s="387">
        <v>0</v>
      </c>
      <c r="W50" s="387">
        <v>0</v>
      </c>
      <c r="X50" s="387">
        <v>0</v>
      </c>
      <c r="Y50" s="387">
        <v>134.99</v>
      </c>
      <c r="Z50" s="387">
        <v>0</v>
      </c>
      <c r="AA50" s="387">
        <v>0</v>
      </c>
      <c r="AB50" s="387">
        <v>11792.98</v>
      </c>
      <c r="AC50" s="387">
        <v>87344.58</v>
      </c>
      <c r="AD50" s="525">
        <v>7.7</v>
      </c>
      <c r="AE50" s="387">
        <v>71374.73</v>
      </c>
      <c r="AF50" s="526">
        <f t="shared" si="43"/>
        <v>9269.4500000000007</v>
      </c>
      <c r="AG50" s="526">
        <f t="shared" si="44"/>
        <v>11343.45</v>
      </c>
      <c r="AH50" s="527">
        <f t="shared" si="41"/>
        <v>2074</v>
      </c>
      <c r="AI50" s="525">
        <v>1.24</v>
      </c>
      <c r="AJ50" s="387">
        <v>11152.68</v>
      </c>
      <c r="AK50" s="526">
        <f t="shared" si="45"/>
        <v>8994.1</v>
      </c>
      <c r="AL50" s="526">
        <f t="shared" si="46"/>
        <v>9510.4699999999993</v>
      </c>
      <c r="AM50" s="527">
        <f t="shared" si="42"/>
        <v>516.37</v>
      </c>
      <c r="AN50" s="387">
        <v>0</v>
      </c>
      <c r="AO50" s="387">
        <v>0</v>
      </c>
      <c r="AP50" s="73"/>
      <c r="AQ50" s="241">
        <v>0</v>
      </c>
      <c r="AR50" s="659">
        <v>24051.49</v>
      </c>
    </row>
    <row r="51" spans="1:44">
      <c r="A51" s="236" t="s">
        <v>1631</v>
      </c>
      <c r="B51" s="236" t="s">
        <v>666</v>
      </c>
      <c r="C51" s="236" t="str">
        <f t="shared" si="48"/>
        <v>36400 COLUMBIA (WALLA) SCHOOL DISTRICT</v>
      </c>
      <c r="D51" s="387">
        <v>0</v>
      </c>
      <c r="E51" s="387">
        <v>18445.32</v>
      </c>
      <c r="F51" s="387">
        <v>21758.62</v>
      </c>
      <c r="G51" s="387">
        <v>1327589.01</v>
      </c>
      <c r="H51" s="387">
        <v>228803.56</v>
      </c>
      <c r="I51" s="387">
        <v>249644.58</v>
      </c>
      <c r="J51" s="387">
        <v>310280.36</v>
      </c>
      <c r="K51" s="387">
        <v>243897.01</v>
      </c>
      <c r="L51" s="387">
        <v>24035.8</v>
      </c>
      <c r="M51" s="387">
        <v>461361.86</v>
      </c>
      <c r="N51" s="388">
        <v>0</v>
      </c>
      <c r="O51" s="389">
        <v>0.19919999999999999</v>
      </c>
      <c r="P51" s="387">
        <v>0</v>
      </c>
      <c r="Q51" s="387">
        <v>0</v>
      </c>
      <c r="R51" s="387">
        <v>0</v>
      </c>
      <c r="S51" s="387">
        <v>0</v>
      </c>
      <c r="T51" s="387">
        <v>0</v>
      </c>
      <c r="U51" s="387">
        <v>0</v>
      </c>
      <c r="V51" s="387">
        <v>0</v>
      </c>
      <c r="W51" s="387">
        <v>0</v>
      </c>
      <c r="X51" s="387">
        <v>0</v>
      </c>
      <c r="Y51" s="387">
        <v>885.79</v>
      </c>
      <c r="Z51" s="387">
        <v>0</v>
      </c>
      <c r="AA51" s="387">
        <v>0</v>
      </c>
      <c r="AB51" s="387">
        <v>0</v>
      </c>
      <c r="AC51" s="387">
        <v>585632.16</v>
      </c>
      <c r="AD51" s="525">
        <v>58.24</v>
      </c>
      <c r="AE51" s="387">
        <v>542255.79</v>
      </c>
      <c r="AF51" s="526">
        <f t="shared" si="43"/>
        <v>9310.7099999999991</v>
      </c>
      <c r="AG51" s="526">
        <f t="shared" si="44"/>
        <v>10055.5</v>
      </c>
      <c r="AH51" s="527">
        <f t="shared" si="41"/>
        <v>744.79</v>
      </c>
      <c r="AI51" s="525">
        <v>0</v>
      </c>
      <c r="AJ51" s="387">
        <v>0</v>
      </c>
      <c r="AK51" s="526">
        <f t="shared" si="45"/>
        <v>0</v>
      </c>
      <c r="AL51" s="526">
        <f t="shared" si="46"/>
        <v>0</v>
      </c>
      <c r="AM51" s="527">
        <f t="shared" si="42"/>
        <v>0</v>
      </c>
      <c r="AN51" s="387">
        <v>0</v>
      </c>
      <c r="AO51" s="387">
        <v>0</v>
      </c>
      <c r="AP51" s="73"/>
      <c r="AQ51" s="241">
        <v>16824.78</v>
      </c>
      <c r="AR51" s="659">
        <v>94260.68</v>
      </c>
    </row>
    <row r="52" spans="1:44">
      <c r="A52" s="236" t="s">
        <v>627</v>
      </c>
      <c r="B52" s="236" t="s">
        <v>626</v>
      </c>
      <c r="C52" s="236" t="str">
        <f t="shared" si="48"/>
        <v>33115 COLVILLE SCHOOL DISTRICT</v>
      </c>
      <c r="D52" s="387">
        <v>0</v>
      </c>
      <c r="E52" s="387">
        <v>0</v>
      </c>
      <c r="F52" s="387">
        <v>0</v>
      </c>
      <c r="G52" s="387">
        <v>3348526.43</v>
      </c>
      <c r="H52" s="387">
        <v>584485.18999999994</v>
      </c>
      <c r="I52" s="387">
        <v>551655.15</v>
      </c>
      <c r="J52" s="387">
        <v>777561.48</v>
      </c>
      <c r="K52" s="387">
        <v>18419.669999999998</v>
      </c>
      <c r="L52" s="387">
        <v>53451.040000000001</v>
      </c>
      <c r="M52" s="387">
        <v>1620932.06</v>
      </c>
      <c r="N52" s="388">
        <v>4.1700000000000001E-2</v>
      </c>
      <c r="O52" s="389">
        <v>0.1409</v>
      </c>
      <c r="P52" s="387">
        <v>0</v>
      </c>
      <c r="Q52" s="387">
        <v>0</v>
      </c>
      <c r="R52" s="387">
        <v>0</v>
      </c>
      <c r="S52" s="387">
        <v>0</v>
      </c>
      <c r="T52" s="387">
        <v>0</v>
      </c>
      <c r="U52" s="387">
        <v>0</v>
      </c>
      <c r="V52" s="387">
        <v>0</v>
      </c>
      <c r="W52" s="387">
        <v>0</v>
      </c>
      <c r="X52" s="387">
        <v>0</v>
      </c>
      <c r="Y52" s="387">
        <v>1953.43</v>
      </c>
      <c r="Z52" s="387">
        <v>0</v>
      </c>
      <c r="AA52" s="387">
        <v>0</v>
      </c>
      <c r="AB52" s="387">
        <v>251510.68</v>
      </c>
      <c r="AC52" s="387">
        <v>1116997.3500000001</v>
      </c>
      <c r="AD52" s="525">
        <v>108.45</v>
      </c>
      <c r="AE52" s="387">
        <v>1025014.18</v>
      </c>
      <c r="AF52" s="526">
        <f t="shared" si="43"/>
        <v>9451.49</v>
      </c>
      <c r="AG52" s="526">
        <f t="shared" si="44"/>
        <v>10299.65</v>
      </c>
      <c r="AH52" s="527">
        <f t="shared" si="41"/>
        <v>848.16</v>
      </c>
      <c r="AI52" s="525">
        <v>25.8</v>
      </c>
      <c r="AJ52" s="387">
        <v>239257.1</v>
      </c>
      <c r="AK52" s="526">
        <f t="shared" si="45"/>
        <v>9273.5300000000007</v>
      </c>
      <c r="AL52" s="526">
        <f t="shared" si="46"/>
        <v>9748.48</v>
      </c>
      <c r="AM52" s="527">
        <f t="shared" si="42"/>
        <v>474.95</v>
      </c>
      <c r="AN52" s="387">
        <v>0</v>
      </c>
      <c r="AO52" s="387">
        <v>0</v>
      </c>
      <c r="AP52" s="73"/>
      <c r="AQ52" s="241">
        <v>0</v>
      </c>
      <c r="AR52" s="659">
        <v>202147.71999999997</v>
      </c>
    </row>
    <row r="53" spans="1:44">
      <c r="A53" s="236" t="s">
        <v>544</v>
      </c>
      <c r="B53" s="236" t="s">
        <v>543</v>
      </c>
      <c r="C53" s="236" t="str">
        <f t="shared" si="48"/>
        <v>29011 CONCRETE SCHOOL DISTRICT</v>
      </c>
      <c r="D53" s="387">
        <v>0</v>
      </c>
      <c r="E53" s="387">
        <v>6429.65</v>
      </c>
      <c r="F53" s="387">
        <v>1746.61</v>
      </c>
      <c r="G53" s="387">
        <v>1397805.63</v>
      </c>
      <c r="H53" s="387">
        <v>173717.13</v>
      </c>
      <c r="I53" s="387">
        <v>177083.48</v>
      </c>
      <c r="J53" s="387">
        <v>277248.48</v>
      </c>
      <c r="K53" s="387">
        <v>26919.41</v>
      </c>
      <c r="L53" s="387">
        <v>15953.47</v>
      </c>
      <c r="M53" s="387">
        <v>804060.59</v>
      </c>
      <c r="N53" s="388">
        <v>6.1199999999999997E-2</v>
      </c>
      <c r="O53" s="389">
        <v>0.2306</v>
      </c>
      <c r="P53" s="387">
        <v>0</v>
      </c>
      <c r="Q53" s="387">
        <v>0</v>
      </c>
      <c r="R53" s="387">
        <v>0</v>
      </c>
      <c r="S53" s="387">
        <v>0</v>
      </c>
      <c r="T53" s="387">
        <v>0</v>
      </c>
      <c r="U53" s="387">
        <v>0</v>
      </c>
      <c r="V53" s="387">
        <v>0</v>
      </c>
      <c r="W53" s="387">
        <v>0</v>
      </c>
      <c r="X53" s="387">
        <v>0</v>
      </c>
      <c r="Y53" s="387">
        <v>0</v>
      </c>
      <c r="Z53" s="387">
        <v>0</v>
      </c>
      <c r="AA53" s="387">
        <v>0</v>
      </c>
      <c r="AB53" s="387">
        <v>26991.77</v>
      </c>
      <c r="AC53" s="387">
        <v>272958.2</v>
      </c>
      <c r="AD53" s="525">
        <v>27.33</v>
      </c>
      <c r="AE53" s="387">
        <v>263707.64</v>
      </c>
      <c r="AF53" s="526">
        <f t="shared" si="43"/>
        <v>9649.02</v>
      </c>
      <c r="AG53" s="526">
        <f t="shared" si="44"/>
        <v>9987.49</v>
      </c>
      <c r="AH53" s="527">
        <f t="shared" si="41"/>
        <v>338.47</v>
      </c>
      <c r="AI53" s="525">
        <v>2.7</v>
      </c>
      <c r="AJ53" s="387">
        <v>25419.52</v>
      </c>
      <c r="AK53" s="526">
        <f t="shared" si="45"/>
        <v>9414.64</v>
      </c>
      <c r="AL53" s="526">
        <f t="shared" si="46"/>
        <v>9996.9500000000007</v>
      </c>
      <c r="AM53" s="527">
        <f t="shared" si="42"/>
        <v>582.30999999999995</v>
      </c>
      <c r="AN53" s="387">
        <v>3015.79</v>
      </c>
      <c r="AO53" s="387">
        <v>0</v>
      </c>
      <c r="AP53" s="73"/>
      <c r="AQ53" s="241">
        <v>0</v>
      </c>
      <c r="AR53" s="659">
        <v>70982.69</v>
      </c>
    </row>
    <row r="54" spans="1:44">
      <c r="A54" s="236" t="s">
        <v>553</v>
      </c>
      <c r="B54" s="236" t="s">
        <v>552</v>
      </c>
      <c r="C54" s="236" t="str">
        <f t="shared" si="48"/>
        <v>29317 CONWAY SCHOOL DISTRICT</v>
      </c>
      <c r="D54" s="387">
        <v>0</v>
      </c>
      <c r="E54" s="387">
        <v>8826.64</v>
      </c>
      <c r="F54" s="387">
        <v>0</v>
      </c>
      <c r="G54" s="387">
        <v>631859.72</v>
      </c>
      <c r="H54" s="387">
        <v>51929.89</v>
      </c>
      <c r="I54" s="387">
        <v>0</v>
      </c>
      <c r="J54" s="387">
        <v>98659.82</v>
      </c>
      <c r="K54" s="387">
        <v>46977.36</v>
      </c>
      <c r="L54" s="387">
        <v>14798.97</v>
      </c>
      <c r="M54" s="387">
        <v>260498.16</v>
      </c>
      <c r="N54" s="388">
        <v>2.1600000000000001E-2</v>
      </c>
      <c r="O54" s="389">
        <v>0.18310000000000001</v>
      </c>
      <c r="P54" s="387">
        <v>0</v>
      </c>
      <c r="Q54" s="387">
        <v>0</v>
      </c>
      <c r="R54" s="387">
        <v>0</v>
      </c>
      <c r="S54" s="387">
        <v>0</v>
      </c>
      <c r="T54" s="387">
        <v>0</v>
      </c>
      <c r="U54" s="387">
        <v>0</v>
      </c>
      <c r="V54" s="387">
        <v>0</v>
      </c>
      <c r="W54" s="387">
        <v>0</v>
      </c>
      <c r="X54" s="387">
        <v>0</v>
      </c>
      <c r="Y54" s="387">
        <v>493.1</v>
      </c>
      <c r="Z54" s="387">
        <v>0</v>
      </c>
      <c r="AA54" s="387">
        <v>0</v>
      </c>
      <c r="AB54" s="387">
        <v>0</v>
      </c>
      <c r="AC54" s="387">
        <v>0</v>
      </c>
      <c r="AD54" s="525">
        <v>0</v>
      </c>
      <c r="AE54" s="387">
        <v>0</v>
      </c>
      <c r="AF54" s="526">
        <f t="shared" si="43"/>
        <v>0</v>
      </c>
      <c r="AG54" s="526">
        <f t="shared" si="44"/>
        <v>0</v>
      </c>
      <c r="AH54" s="527">
        <f t="shared" si="41"/>
        <v>0</v>
      </c>
      <c r="AI54" s="525">
        <v>0</v>
      </c>
      <c r="AJ54" s="387">
        <v>0</v>
      </c>
      <c r="AK54" s="526">
        <f t="shared" si="45"/>
        <v>0</v>
      </c>
      <c r="AL54" s="526">
        <f t="shared" si="46"/>
        <v>0</v>
      </c>
      <c r="AM54" s="527">
        <f t="shared" si="42"/>
        <v>0</v>
      </c>
      <c r="AN54" s="387">
        <v>0</v>
      </c>
      <c r="AO54" s="387">
        <v>0</v>
      </c>
      <c r="AP54" s="73"/>
      <c r="AQ54" s="241">
        <v>0</v>
      </c>
      <c r="AR54" s="659">
        <v>52353.020000000004</v>
      </c>
    </row>
    <row r="55" spans="1:44">
      <c r="A55" s="236" t="s">
        <v>313</v>
      </c>
      <c r="B55" s="236" t="s">
        <v>312</v>
      </c>
      <c r="C55" s="236" t="str">
        <f t="shared" si="48"/>
        <v>14099 COSMOPOLIS SCHOOL DISTRICT</v>
      </c>
      <c r="D55" s="387">
        <v>0</v>
      </c>
      <c r="E55" s="387">
        <v>0</v>
      </c>
      <c r="F55" s="387">
        <v>0</v>
      </c>
      <c r="G55" s="387">
        <v>385854.35</v>
      </c>
      <c r="H55" s="387">
        <v>73061.22</v>
      </c>
      <c r="I55" s="387">
        <v>57625.86</v>
      </c>
      <c r="J55" s="387">
        <v>67049.649999999994</v>
      </c>
      <c r="K55" s="387">
        <v>2558.85</v>
      </c>
      <c r="L55" s="387">
        <v>5307.65</v>
      </c>
      <c r="M55" s="387">
        <v>89220.3</v>
      </c>
      <c r="N55" s="388">
        <v>2.9700000000000001E-2</v>
      </c>
      <c r="O55" s="389">
        <v>0.25059999999999999</v>
      </c>
      <c r="P55" s="387">
        <v>0</v>
      </c>
      <c r="Q55" s="387">
        <v>0</v>
      </c>
      <c r="R55" s="387">
        <v>0</v>
      </c>
      <c r="S55" s="387">
        <v>0</v>
      </c>
      <c r="T55" s="387">
        <v>0</v>
      </c>
      <c r="U55" s="387">
        <v>0</v>
      </c>
      <c r="V55" s="387">
        <v>0</v>
      </c>
      <c r="W55" s="387">
        <v>0</v>
      </c>
      <c r="X55" s="387">
        <v>0</v>
      </c>
      <c r="Y55" s="387">
        <v>0</v>
      </c>
      <c r="Z55" s="387">
        <v>0</v>
      </c>
      <c r="AA55" s="387">
        <v>0</v>
      </c>
      <c r="AB55" s="387">
        <v>0</v>
      </c>
      <c r="AC55" s="387">
        <v>0</v>
      </c>
      <c r="AD55" s="525">
        <v>0</v>
      </c>
      <c r="AE55" s="387">
        <v>0</v>
      </c>
      <c r="AF55" s="526">
        <f t="shared" si="43"/>
        <v>0</v>
      </c>
      <c r="AG55" s="526">
        <f t="shared" si="44"/>
        <v>0</v>
      </c>
      <c r="AH55" s="527">
        <f t="shared" si="41"/>
        <v>0</v>
      </c>
      <c r="AI55" s="525">
        <v>0</v>
      </c>
      <c r="AJ55" s="387">
        <v>0</v>
      </c>
      <c r="AK55" s="526">
        <f t="shared" si="45"/>
        <v>0</v>
      </c>
      <c r="AL55" s="526">
        <f t="shared" si="46"/>
        <v>0</v>
      </c>
      <c r="AM55" s="527">
        <f t="shared" si="42"/>
        <v>0</v>
      </c>
      <c r="AN55" s="387">
        <v>3545.16</v>
      </c>
      <c r="AO55" s="387">
        <v>0</v>
      </c>
      <c r="AP55" s="73"/>
      <c r="AQ55" s="241">
        <v>22840.09</v>
      </c>
      <c r="AR55" s="659">
        <v>24246.109999999997</v>
      </c>
    </row>
    <row r="56" spans="1:44">
      <c r="A56" s="236" t="s">
        <v>1632</v>
      </c>
      <c r="B56" s="236" t="s">
        <v>283</v>
      </c>
      <c r="C56" s="236" t="str">
        <f t="shared" si="48"/>
        <v>13151 COULEE/HARTLINE SCHOOL DISTRICT</v>
      </c>
      <c r="D56" s="387">
        <v>13814.12</v>
      </c>
      <c r="E56" s="387">
        <v>6025.82</v>
      </c>
      <c r="F56" s="387">
        <v>0</v>
      </c>
      <c r="G56" s="387">
        <v>271054.59999999998</v>
      </c>
      <c r="H56" s="387">
        <v>42383.03</v>
      </c>
      <c r="I56" s="387">
        <v>0</v>
      </c>
      <c r="J56" s="387">
        <v>55134.52</v>
      </c>
      <c r="K56" s="387">
        <v>0</v>
      </c>
      <c r="L56" s="387">
        <v>6065.88</v>
      </c>
      <c r="M56" s="387">
        <v>496702.05</v>
      </c>
      <c r="N56" s="388">
        <v>3.2500000000000001E-2</v>
      </c>
      <c r="O56" s="389">
        <v>0.20180000000000001</v>
      </c>
      <c r="P56" s="387">
        <v>0</v>
      </c>
      <c r="Q56" s="387">
        <v>0</v>
      </c>
      <c r="R56" s="387">
        <v>0</v>
      </c>
      <c r="S56" s="387">
        <v>0</v>
      </c>
      <c r="T56" s="387">
        <v>0</v>
      </c>
      <c r="U56" s="387">
        <v>0</v>
      </c>
      <c r="V56" s="387">
        <v>0</v>
      </c>
      <c r="W56" s="387">
        <v>0</v>
      </c>
      <c r="X56" s="387">
        <v>0</v>
      </c>
      <c r="Y56" s="387">
        <v>207.5</v>
      </c>
      <c r="Z56" s="387">
        <v>0</v>
      </c>
      <c r="AA56" s="387">
        <v>0</v>
      </c>
      <c r="AB56" s="387">
        <v>6147.04</v>
      </c>
      <c r="AC56" s="387">
        <v>188089.66</v>
      </c>
      <c r="AD56" s="525">
        <v>18.989999999999998</v>
      </c>
      <c r="AE56" s="387">
        <v>175958.16</v>
      </c>
      <c r="AF56" s="526">
        <f t="shared" si="43"/>
        <v>9265.83</v>
      </c>
      <c r="AG56" s="526">
        <f t="shared" si="44"/>
        <v>9904.67</v>
      </c>
      <c r="AH56" s="527">
        <f t="shared" si="41"/>
        <v>638.84</v>
      </c>
      <c r="AI56" s="525">
        <v>0.64</v>
      </c>
      <c r="AJ56" s="387">
        <v>5890.03</v>
      </c>
      <c r="AK56" s="526">
        <f t="shared" si="45"/>
        <v>9203.17</v>
      </c>
      <c r="AL56" s="526">
        <f t="shared" si="46"/>
        <v>9604.75</v>
      </c>
      <c r="AM56" s="527">
        <f t="shared" si="42"/>
        <v>401.58</v>
      </c>
      <c r="AN56" s="387">
        <v>535.82000000000005</v>
      </c>
      <c r="AO56" s="387">
        <v>0</v>
      </c>
      <c r="AP56" s="73"/>
      <c r="AQ56" s="241">
        <v>0</v>
      </c>
      <c r="AR56" s="659">
        <v>28206.48</v>
      </c>
    </row>
    <row r="57" spans="1:44">
      <c r="A57" s="236" t="s">
        <v>325</v>
      </c>
      <c r="B57" s="236" t="s">
        <v>324</v>
      </c>
      <c r="C57" s="236" t="str">
        <f t="shared" si="48"/>
        <v>15204 COUPEVILLE SCHOOL DISTRICT</v>
      </c>
      <c r="D57" s="387">
        <v>0</v>
      </c>
      <c r="E57" s="387">
        <v>14109.04</v>
      </c>
      <c r="F57" s="387">
        <v>0</v>
      </c>
      <c r="G57" s="387">
        <v>2471568.39</v>
      </c>
      <c r="H57" s="387">
        <v>363004.34</v>
      </c>
      <c r="I57" s="387">
        <v>161258.07</v>
      </c>
      <c r="J57" s="387">
        <v>328903.77</v>
      </c>
      <c r="K57" s="387">
        <v>59552.02</v>
      </c>
      <c r="L57" s="387">
        <v>35192.339999999997</v>
      </c>
      <c r="M57" s="387">
        <v>703342.19</v>
      </c>
      <c r="N57" s="388">
        <v>5.0900000000000001E-2</v>
      </c>
      <c r="O57" s="389">
        <v>0.19839999999999999</v>
      </c>
      <c r="P57" s="387">
        <v>0</v>
      </c>
      <c r="Q57" s="387">
        <v>0</v>
      </c>
      <c r="R57" s="387">
        <v>0</v>
      </c>
      <c r="S57" s="387">
        <v>153762.28</v>
      </c>
      <c r="T57" s="387">
        <v>0</v>
      </c>
      <c r="U57" s="387">
        <v>6228.72</v>
      </c>
      <c r="V57" s="387">
        <v>0</v>
      </c>
      <c r="W57" s="387">
        <v>0</v>
      </c>
      <c r="X57" s="387">
        <v>0</v>
      </c>
      <c r="Y57" s="387">
        <v>1064.29</v>
      </c>
      <c r="Z57" s="387">
        <v>0</v>
      </c>
      <c r="AA57" s="387">
        <v>0</v>
      </c>
      <c r="AB57" s="387">
        <v>41147.74</v>
      </c>
      <c r="AC57" s="387">
        <v>339902.2</v>
      </c>
      <c r="AD57" s="525">
        <v>32.57</v>
      </c>
      <c r="AE57" s="387">
        <v>328191.33</v>
      </c>
      <c r="AF57" s="526">
        <f t="shared" si="43"/>
        <v>10076.49</v>
      </c>
      <c r="AG57" s="526">
        <f t="shared" si="44"/>
        <v>10436.049999999999</v>
      </c>
      <c r="AH57" s="527">
        <f t="shared" si="41"/>
        <v>359.56</v>
      </c>
      <c r="AI57" s="525">
        <v>3.95</v>
      </c>
      <c r="AJ57" s="387">
        <v>39221.839999999997</v>
      </c>
      <c r="AK57" s="526">
        <f t="shared" si="45"/>
        <v>9929.58</v>
      </c>
      <c r="AL57" s="526">
        <f t="shared" si="46"/>
        <v>10417.15</v>
      </c>
      <c r="AM57" s="527">
        <f t="shared" si="42"/>
        <v>487.57</v>
      </c>
      <c r="AN57" s="387">
        <v>0</v>
      </c>
      <c r="AO57" s="387">
        <v>0</v>
      </c>
      <c r="AP57" s="73"/>
      <c r="AQ57" s="241">
        <v>80528.989999999932</v>
      </c>
      <c r="AR57" s="659">
        <v>123083.48000000001</v>
      </c>
    </row>
    <row r="58" spans="1:44">
      <c r="A58" s="236" t="s">
        <v>206</v>
      </c>
      <c r="B58" s="236" t="s">
        <v>205</v>
      </c>
      <c r="C58" s="236" t="str">
        <f t="shared" si="48"/>
        <v>05313 CRESCENT SCHOOL DISTRICT</v>
      </c>
      <c r="D58" s="387">
        <v>0</v>
      </c>
      <c r="E58" s="387">
        <v>0</v>
      </c>
      <c r="F58" s="387">
        <v>0</v>
      </c>
      <c r="G58" s="387">
        <v>560860.31999999995</v>
      </c>
      <c r="H58" s="387">
        <v>72392.03</v>
      </c>
      <c r="I58" s="387">
        <v>69107.7</v>
      </c>
      <c r="J58" s="387">
        <v>147314.25</v>
      </c>
      <c r="K58" s="387">
        <v>0</v>
      </c>
      <c r="L58" s="387">
        <v>11915.12</v>
      </c>
      <c r="M58" s="387">
        <v>179352.14</v>
      </c>
      <c r="N58" s="388">
        <v>0.1305</v>
      </c>
      <c r="O58" s="389">
        <v>0.21110000000000001</v>
      </c>
      <c r="P58" s="387">
        <v>0</v>
      </c>
      <c r="Q58" s="387">
        <v>0</v>
      </c>
      <c r="R58" s="387">
        <v>0</v>
      </c>
      <c r="S58" s="387">
        <v>0</v>
      </c>
      <c r="T58" s="387">
        <v>0</v>
      </c>
      <c r="U58" s="387">
        <v>0</v>
      </c>
      <c r="V58" s="387">
        <v>0</v>
      </c>
      <c r="W58" s="387">
        <v>0</v>
      </c>
      <c r="X58" s="387">
        <v>0</v>
      </c>
      <c r="Y58" s="387">
        <v>418.35</v>
      </c>
      <c r="Z58" s="387">
        <v>0</v>
      </c>
      <c r="AA58" s="387">
        <v>5285.61</v>
      </c>
      <c r="AB58" s="387">
        <v>0</v>
      </c>
      <c r="AC58" s="387">
        <v>61496.07</v>
      </c>
      <c r="AD58" s="525">
        <v>2.38</v>
      </c>
      <c r="AE58" s="387">
        <v>21853.15</v>
      </c>
      <c r="AF58" s="526">
        <f t="shared" si="43"/>
        <v>9182</v>
      </c>
      <c r="AG58" s="526">
        <f t="shared" si="44"/>
        <v>25838.68</v>
      </c>
      <c r="AH58" s="527">
        <f t="shared" si="41"/>
        <v>16656.68</v>
      </c>
      <c r="AI58" s="525">
        <v>0</v>
      </c>
      <c r="AJ58" s="387">
        <v>0</v>
      </c>
      <c r="AK58" s="526">
        <f t="shared" si="45"/>
        <v>0</v>
      </c>
      <c r="AL58" s="526">
        <f t="shared" si="46"/>
        <v>0</v>
      </c>
      <c r="AM58" s="527">
        <f t="shared" si="42"/>
        <v>0</v>
      </c>
      <c r="AN58" s="387">
        <v>0</v>
      </c>
      <c r="AO58" s="387">
        <v>0</v>
      </c>
      <c r="AP58" s="73"/>
      <c r="AQ58" s="241">
        <v>0</v>
      </c>
      <c r="AR58" s="659">
        <v>36115.64</v>
      </c>
    </row>
    <row r="59" spans="1:44">
      <c r="A59" s="236" t="s">
        <v>449</v>
      </c>
      <c r="B59" s="236" t="s">
        <v>448</v>
      </c>
      <c r="C59" s="236" t="str">
        <f t="shared" si="48"/>
        <v>22073 CRESTON SCHOOL DISTRICT</v>
      </c>
      <c r="D59" s="387">
        <v>0</v>
      </c>
      <c r="E59" s="387">
        <v>0</v>
      </c>
      <c r="F59" s="387">
        <v>0</v>
      </c>
      <c r="G59" s="387">
        <v>131670.28</v>
      </c>
      <c r="H59" s="387">
        <v>19788.23</v>
      </c>
      <c r="I59" s="387">
        <v>13438.19</v>
      </c>
      <c r="J59" s="387">
        <v>35725.94</v>
      </c>
      <c r="K59" s="387">
        <v>0</v>
      </c>
      <c r="L59" s="387">
        <v>2294.3200000000002</v>
      </c>
      <c r="M59" s="387">
        <v>699671.86</v>
      </c>
      <c r="N59" s="388">
        <v>5.96E-2</v>
      </c>
      <c r="O59" s="389">
        <v>0.2482</v>
      </c>
      <c r="P59" s="387">
        <v>0</v>
      </c>
      <c r="Q59" s="387">
        <v>0</v>
      </c>
      <c r="R59" s="387">
        <v>0</v>
      </c>
      <c r="S59" s="387">
        <v>0</v>
      </c>
      <c r="T59" s="387">
        <v>0</v>
      </c>
      <c r="U59" s="387">
        <v>0</v>
      </c>
      <c r="V59" s="387">
        <v>0</v>
      </c>
      <c r="W59" s="387">
        <v>0</v>
      </c>
      <c r="X59" s="387">
        <v>0</v>
      </c>
      <c r="Y59" s="387">
        <v>0</v>
      </c>
      <c r="Z59" s="387">
        <v>0</v>
      </c>
      <c r="AA59" s="387">
        <v>6032</v>
      </c>
      <c r="AB59" s="387">
        <v>8657.64</v>
      </c>
      <c r="AC59" s="387">
        <v>46455</v>
      </c>
      <c r="AD59" s="525">
        <v>3.57</v>
      </c>
      <c r="AE59" s="387">
        <v>33206.9</v>
      </c>
      <c r="AF59" s="526">
        <f t="shared" si="43"/>
        <v>9301.65</v>
      </c>
      <c r="AG59" s="526">
        <f t="shared" si="44"/>
        <v>13012.61</v>
      </c>
      <c r="AH59" s="527">
        <f t="shared" si="41"/>
        <v>3710.96</v>
      </c>
      <c r="AI59" s="525">
        <v>0.9</v>
      </c>
      <c r="AJ59" s="387">
        <v>8250.35</v>
      </c>
      <c r="AK59" s="526">
        <f t="shared" si="45"/>
        <v>9167.06</v>
      </c>
      <c r="AL59" s="526">
        <f t="shared" si="46"/>
        <v>9619.6</v>
      </c>
      <c r="AM59" s="527">
        <f t="shared" si="42"/>
        <v>452.54</v>
      </c>
      <c r="AN59" s="387">
        <v>1416.91</v>
      </c>
      <c r="AO59" s="387">
        <v>0</v>
      </c>
      <c r="AP59" s="73"/>
      <c r="AQ59" s="241">
        <v>25373.379999999997</v>
      </c>
      <c r="AR59" s="659">
        <v>21566.49</v>
      </c>
    </row>
    <row r="60" spans="1:44">
      <c r="A60" s="236" t="s">
        <v>260</v>
      </c>
      <c r="B60" s="236" t="s">
        <v>259</v>
      </c>
      <c r="C60" s="236" t="str">
        <f t="shared" si="48"/>
        <v>10050 CURLEW SCHOOL DISTRICT</v>
      </c>
      <c r="D60" s="387">
        <v>0</v>
      </c>
      <c r="E60" s="387">
        <v>0</v>
      </c>
      <c r="F60" s="387">
        <v>0</v>
      </c>
      <c r="G60" s="387">
        <v>530182.57999999996</v>
      </c>
      <c r="H60" s="387">
        <v>50517.57</v>
      </c>
      <c r="I60" s="387">
        <v>68720.539999999994</v>
      </c>
      <c r="J60" s="387">
        <v>100950.37</v>
      </c>
      <c r="K60" s="387">
        <v>0</v>
      </c>
      <c r="L60" s="387">
        <v>0</v>
      </c>
      <c r="M60" s="387">
        <v>323745.18</v>
      </c>
      <c r="N60" s="388">
        <v>5.9700000000000003E-2</v>
      </c>
      <c r="O60" s="389">
        <v>0.34189999999999998</v>
      </c>
      <c r="P60" s="387">
        <v>0</v>
      </c>
      <c r="Q60" s="387">
        <v>0</v>
      </c>
      <c r="R60" s="387">
        <v>0</v>
      </c>
      <c r="S60" s="387">
        <v>0</v>
      </c>
      <c r="T60" s="387">
        <v>0</v>
      </c>
      <c r="U60" s="387">
        <v>0</v>
      </c>
      <c r="V60" s="387">
        <v>0</v>
      </c>
      <c r="W60" s="387">
        <v>0</v>
      </c>
      <c r="X60" s="387">
        <v>0</v>
      </c>
      <c r="Y60" s="387">
        <v>325.76</v>
      </c>
      <c r="Z60" s="387">
        <v>0</v>
      </c>
      <c r="AA60" s="387">
        <v>0</v>
      </c>
      <c r="AB60" s="387">
        <v>0</v>
      </c>
      <c r="AC60" s="387">
        <v>57270.69</v>
      </c>
      <c r="AD60" s="525">
        <v>5.0999999999999996</v>
      </c>
      <c r="AE60" s="387">
        <v>47564.12</v>
      </c>
      <c r="AF60" s="526">
        <f t="shared" si="43"/>
        <v>9326.2999999999993</v>
      </c>
      <c r="AG60" s="526">
        <f t="shared" si="44"/>
        <v>11229.55</v>
      </c>
      <c r="AH60" s="527">
        <f t="shared" si="41"/>
        <v>1903.25</v>
      </c>
      <c r="AI60" s="525">
        <v>0</v>
      </c>
      <c r="AJ60" s="387">
        <v>0</v>
      </c>
      <c r="AK60" s="526">
        <f t="shared" si="45"/>
        <v>0</v>
      </c>
      <c r="AL60" s="526">
        <f t="shared" si="46"/>
        <v>0</v>
      </c>
      <c r="AM60" s="527">
        <f t="shared" si="42"/>
        <v>0</v>
      </c>
      <c r="AN60" s="387">
        <v>1353.21</v>
      </c>
      <c r="AO60" s="387">
        <v>0</v>
      </c>
      <c r="AP60" s="73"/>
      <c r="AQ60" s="241">
        <v>7245.5399999999936</v>
      </c>
      <c r="AR60" s="659">
        <v>30856.16</v>
      </c>
    </row>
    <row r="61" spans="1:44">
      <c r="A61" s="236" t="s">
        <v>502</v>
      </c>
      <c r="B61" s="236" t="s">
        <v>501</v>
      </c>
      <c r="C61" s="236" t="str">
        <f t="shared" si="48"/>
        <v>26059 CUSICK SCHOOL DISTRICT</v>
      </c>
      <c r="D61" s="387">
        <v>0</v>
      </c>
      <c r="E61" s="387">
        <v>16809.95</v>
      </c>
      <c r="F61" s="387">
        <v>7636.17</v>
      </c>
      <c r="G61" s="387">
        <v>565531.62</v>
      </c>
      <c r="H61" s="387">
        <v>74711.67</v>
      </c>
      <c r="I61" s="387">
        <v>80047.960000000006</v>
      </c>
      <c r="J61" s="387">
        <v>180243.32</v>
      </c>
      <c r="K61" s="387">
        <v>0</v>
      </c>
      <c r="L61" s="387">
        <v>11590.15</v>
      </c>
      <c r="M61" s="387">
        <v>322409.39</v>
      </c>
      <c r="N61" s="388">
        <v>4.0399999999999998E-2</v>
      </c>
      <c r="O61" s="389">
        <v>0.28389999999999999</v>
      </c>
      <c r="P61" s="387">
        <v>0</v>
      </c>
      <c r="Q61" s="387">
        <v>0</v>
      </c>
      <c r="R61" s="387">
        <v>0</v>
      </c>
      <c r="S61" s="387">
        <v>0</v>
      </c>
      <c r="T61" s="387">
        <v>0</v>
      </c>
      <c r="U61" s="387">
        <v>0</v>
      </c>
      <c r="V61" s="387">
        <v>0</v>
      </c>
      <c r="W61" s="387">
        <v>0</v>
      </c>
      <c r="X61" s="387">
        <v>0</v>
      </c>
      <c r="Y61" s="387">
        <v>0</v>
      </c>
      <c r="Z61" s="387">
        <v>0</v>
      </c>
      <c r="AA61" s="387">
        <v>0</v>
      </c>
      <c r="AB61" s="387">
        <v>0</v>
      </c>
      <c r="AC61" s="387">
        <v>105543.6</v>
      </c>
      <c r="AD61" s="525">
        <v>10.94</v>
      </c>
      <c r="AE61" s="387">
        <v>101312.49</v>
      </c>
      <c r="AF61" s="526">
        <f t="shared" si="43"/>
        <v>9260.74</v>
      </c>
      <c r="AG61" s="526">
        <f t="shared" si="44"/>
        <v>9647.5</v>
      </c>
      <c r="AH61" s="527">
        <f t="shared" si="41"/>
        <v>386.76</v>
      </c>
      <c r="AI61" s="525">
        <v>0</v>
      </c>
      <c r="AJ61" s="387">
        <v>0</v>
      </c>
      <c r="AK61" s="526">
        <f t="shared" si="45"/>
        <v>0</v>
      </c>
      <c r="AL61" s="526">
        <f t="shared" si="46"/>
        <v>0</v>
      </c>
      <c r="AM61" s="527">
        <f t="shared" si="42"/>
        <v>0</v>
      </c>
      <c r="AN61" s="387">
        <v>774.64</v>
      </c>
      <c r="AO61" s="387">
        <v>0</v>
      </c>
      <c r="AP61" s="73"/>
      <c r="AQ61" s="241">
        <v>34810.870000000003</v>
      </c>
      <c r="AR61" s="659">
        <v>39892.550000000003</v>
      </c>
    </row>
    <row r="62" spans="1:44">
      <c r="A62" s="236" t="s">
        <v>385</v>
      </c>
      <c r="B62" s="236" t="s">
        <v>384</v>
      </c>
      <c r="C62" s="236" t="str">
        <f t="shared" si="48"/>
        <v>19007 DAMMAN SCHOOL DISTRICT</v>
      </c>
      <c r="D62" s="387">
        <v>0</v>
      </c>
      <c r="E62" s="387">
        <v>0</v>
      </c>
      <c r="F62" s="387">
        <v>0</v>
      </c>
      <c r="G62" s="387">
        <v>86926.62</v>
      </c>
      <c r="H62" s="387">
        <v>5853.29</v>
      </c>
      <c r="I62" s="387">
        <v>0</v>
      </c>
      <c r="J62" s="387">
        <v>0</v>
      </c>
      <c r="K62" s="387">
        <v>0</v>
      </c>
      <c r="L62" s="387">
        <v>0</v>
      </c>
      <c r="M62" s="387">
        <v>0</v>
      </c>
      <c r="N62" s="388">
        <v>1.11E-2</v>
      </c>
      <c r="O62" s="389">
        <v>0.34279999999999999</v>
      </c>
      <c r="P62" s="387">
        <v>0</v>
      </c>
      <c r="Q62" s="387">
        <v>0</v>
      </c>
      <c r="R62" s="387">
        <v>0</v>
      </c>
      <c r="S62" s="387">
        <v>0</v>
      </c>
      <c r="T62" s="387">
        <v>0</v>
      </c>
      <c r="U62" s="387">
        <v>0</v>
      </c>
      <c r="V62" s="387">
        <v>0</v>
      </c>
      <c r="W62" s="387">
        <v>0</v>
      </c>
      <c r="X62" s="387">
        <v>0</v>
      </c>
      <c r="Y62" s="387">
        <v>53.55</v>
      </c>
      <c r="Z62" s="387">
        <v>0</v>
      </c>
      <c r="AA62" s="387">
        <v>0</v>
      </c>
      <c r="AB62" s="387">
        <v>0</v>
      </c>
      <c r="AC62" s="387">
        <v>0</v>
      </c>
      <c r="AD62" s="525">
        <v>0</v>
      </c>
      <c r="AE62" s="387">
        <v>0</v>
      </c>
      <c r="AF62" s="526">
        <f t="shared" si="43"/>
        <v>0</v>
      </c>
      <c r="AG62" s="526">
        <f t="shared" si="44"/>
        <v>0</v>
      </c>
      <c r="AH62" s="527">
        <f t="shared" si="41"/>
        <v>0</v>
      </c>
      <c r="AI62" s="525">
        <v>0</v>
      </c>
      <c r="AJ62" s="387">
        <v>0</v>
      </c>
      <c r="AK62" s="526">
        <f t="shared" si="45"/>
        <v>0</v>
      </c>
      <c r="AL62" s="526">
        <f t="shared" si="46"/>
        <v>0</v>
      </c>
      <c r="AM62" s="527">
        <f t="shared" si="42"/>
        <v>0</v>
      </c>
      <c r="AN62" s="387">
        <v>0</v>
      </c>
      <c r="AO62" s="387">
        <v>0</v>
      </c>
      <c r="AP62" s="73"/>
      <c r="AQ62" s="241">
        <v>7421.6899999999987</v>
      </c>
      <c r="AR62" s="659">
        <v>4890.8</v>
      </c>
    </row>
    <row r="63" spans="1:44">
      <c r="A63" s="236" t="s">
        <v>587</v>
      </c>
      <c r="B63" s="236" t="s">
        <v>586</v>
      </c>
      <c r="C63" s="236" t="str">
        <f t="shared" si="48"/>
        <v>31330 DARRINGTON SCHOOL DISTRICT</v>
      </c>
      <c r="D63" s="387">
        <v>0</v>
      </c>
      <c r="E63" s="387">
        <v>15426.52</v>
      </c>
      <c r="F63" s="387">
        <v>7275.32</v>
      </c>
      <c r="G63" s="387">
        <v>902478.98</v>
      </c>
      <c r="H63" s="387">
        <v>135946.82</v>
      </c>
      <c r="I63" s="387">
        <v>117076.03</v>
      </c>
      <c r="J63" s="387">
        <v>170412</v>
      </c>
      <c r="K63" s="387">
        <v>0</v>
      </c>
      <c r="L63" s="387">
        <v>14230.9</v>
      </c>
      <c r="M63" s="387">
        <v>429769.57</v>
      </c>
      <c r="N63" s="388">
        <v>4.9700000000000001E-2</v>
      </c>
      <c r="O63" s="389">
        <v>0.20880000000000001</v>
      </c>
      <c r="P63" s="387">
        <v>0</v>
      </c>
      <c r="Q63" s="387">
        <v>0</v>
      </c>
      <c r="R63" s="387">
        <v>0</v>
      </c>
      <c r="S63" s="387">
        <v>0</v>
      </c>
      <c r="T63" s="387">
        <v>0</v>
      </c>
      <c r="U63" s="387">
        <v>0</v>
      </c>
      <c r="V63" s="387">
        <v>0</v>
      </c>
      <c r="W63" s="387">
        <v>0</v>
      </c>
      <c r="X63" s="387">
        <v>0</v>
      </c>
      <c r="Y63" s="387">
        <v>517.64</v>
      </c>
      <c r="Z63" s="387">
        <v>0</v>
      </c>
      <c r="AA63" s="387">
        <v>0</v>
      </c>
      <c r="AB63" s="387">
        <v>0</v>
      </c>
      <c r="AC63" s="387">
        <v>157555.84</v>
      </c>
      <c r="AD63" s="525">
        <v>15.18</v>
      </c>
      <c r="AE63" s="387">
        <v>152314.18</v>
      </c>
      <c r="AF63" s="526">
        <f t="shared" si="43"/>
        <v>10033.870000000001</v>
      </c>
      <c r="AG63" s="526">
        <f t="shared" si="44"/>
        <v>10379.17</v>
      </c>
      <c r="AH63" s="527">
        <f t="shared" si="41"/>
        <v>345.3</v>
      </c>
      <c r="AI63" s="525">
        <v>0</v>
      </c>
      <c r="AJ63" s="387">
        <v>0</v>
      </c>
      <c r="AK63" s="526">
        <f t="shared" si="45"/>
        <v>0</v>
      </c>
      <c r="AL63" s="526">
        <f t="shared" si="46"/>
        <v>0</v>
      </c>
      <c r="AM63" s="527">
        <f t="shared" si="42"/>
        <v>0</v>
      </c>
      <c r="AN63" s="387">
        <v>0</v>
      </c>
      <c r="AO63" s="387">
        <v>0</v>
      </c>
      <c r="AP63" s="73"/>
      <c r="AQ63" s="241">
        <v>0</v>
      </c>
      <c r="AR63" s="659">
        <v>63788.88</v>
      </c>
    </row>
    <row r="64" spans="1:44">
      <c r="A64" s="236" t="s">
        <v>457</v>
      </c>
      <c r="B64" s="236" t="s">
        <v>456</v>
      </c>
      <c r="C64" s="236" t="str">
        <f t="shared" si="48"/>
        <v>22207 DAVENPORT SCHOOL DISTRICT</v>
      </c>
      <c r="D64" s="387">
        <v>0</v>
      </c>
      <c r="E64" s="387">
        <v>0</v>
      </c>
      <c r="F64" s="387">
        <v>0</v>
      </c>
      <c r="G64" s="387">
        <v>1091612.8999999999</v>
      </c>
      <c r="H64" s="387">
        <v>122302.84</v>
      </c>
      <c r="I64" s="387">
        <v>195732.97</v>
      </c>
      <c r="J64" s="387">
        <v>244368.33</v>
      </c>
      <c r="K64" s="387">
        <v>0</v>
      </c>
      <c r="L64" s="387">
        <v>20472.349999999999</v>
      </c>
      <c r="M64" s="387">
        <v>594534.04</v>
      </c>
      <c r="N64" s="388">
        <v>3.1399999999999997E-2</v>
      </c>
      <c r="O64" s="389">
        <v>0.20610000000000001</v>
      </c>
      <c r="P64" s="387">
        <v>0</v>
      </c>
      <c r="Q64" s="387">
        <v>0</v>
      </c>
      <c r="R64" s="387">
        <v>0</v>
      </c>
      <c r="S64" s="387">
        <v>0</v>
      </c>
      <c r="T64" s="387">
        <v>0</v>
      </c>
      <c r="U64" s="387">
        <v>0</v>
      </c>
      <c r="V64" s="387">
        <v>0</v>
      </c>
      <c r="W64" s="387">
        <v>0</v>
      </c>
      <c r="X64" s="387">
        <v>0</v>
      </c>
      <c r="Y64" s="387">
        <v>0</v>
      </c>
      <c r="Z64" s="387">
        <v>3279.5</v>
      </c>
      <c r="AA64" s="387">
        <v>0</v>
      </c>
      <c r="AB64" s="387">
        <v>128835.75</v>
      </c>
      <c r="AC64" s="387">
        <v>465981.88</v>
      </c>
      <c r="AD64" s="525">
        <v>48.42</v>
      </c>
      <c r="AE64" s="387">
        <v>448801.34</v>
      </c>
      <c r="AF64" s="526">
        <f t="shared" si="43"/>
        <v>9268.92</v>
      </c>
      <c r="AG64" s="526">
        <f t="shared" si="44"/>
        <v>9623.75</v>
      </c>
      <c r="AH64" s="527">
        <f t="shared" si="41"/>
        <v>354.83</v>
      </c>
      <c r="AI64" s="525">
        <v>13.49</v>
      </c>
      <c r="AJ64" s="387">
        <v>122411.61</v>
      </c>
      <c r="AK64" s="526">
        <f t="shared" si="45"/>
        <v>9074.25</v>
      </c>
      <c r="AL64" s="526">
        <f t="shared" si="46"/>
        <v>9550.4599999999991</v>
      </c>
      <c r="AM64" s="527">
        <f t="shared" si="42"/>
        <v>476.21</v>
      </c>
      <c r="AN64" s="387">
        <v>0</v>
      </c>
      <c r="AO64" s="387">
        <v>0</v>
      </c>
      <c r="AP64" s="73"/>
      <c r="AQ64" s="241">
        <v>0</v>
      </c>
      <c r="AR64" s="659">
        <v>76519.520000000004</v>
      </c>
    </row>
    <row r="65" spans="1:44">
      <c r="A65" s="236" t="s">
        <v>230</v>
      </c>
      <c r="B65" s="236" t="s">
        <v>229</v>
      </c>
      <c r="C65" s="236" t="str">
        <f t="shared" si="48"/>
        <v>07002 DAYTON SCHOOL DISTRICT</v>
      </c>
      <c r="D65" s="387">
        <v>0</v>
      </c>
      <c r="E65" s="387">
        <v>0</v>
      </c>
      <c r="F65" s="387">
        <v>0</v>
      </c>
      <c r="G65" s="387">
        <v>0</v>
      </c>
      <c r="H65" s="387">
        <v>0</v>
      </c>
      <c r="I65" s="387">
        <v>111496.41</v>
      </c>
      <c r="J65" s="387">
        <v>131778.69</v>
      </c>
      <c r="K65" s="387">
        <v>1433.87</v>
      </c>
      <c r="L65" s="387">
        <v>11317.72</v>
      </c>
      <c r="M65" s="387">
        <v>371472.12</v>
      </c>
      <c r="N65" s="388">
        <v>4.4299999999999999E-2</v>
      </c>
      <c r="O65" s="389">
        <v>0.2051</v>
      </c>
      <c r="P65" s="387">
        <v>0</v>
      </c>
      <c r="Q65" s="387">
        <v>0</v>
      </c>
      <c r="R65" s="387">
        <v>0</v>
      </c>
      <c r="S65" s="387">
        <v>0</v>
      </c>
      <c r="T65" s="387">
        <v>0</v>
      </c>
      <c r="U65" s="387">
        <v>0</v>
      </c>
      <c r="V65" s="387">
        <v>0</v>
      </c>
      <c r="W65" s="387">
        <v>0</v>
      </c>
      <c r="X65" s="387">
        <v>0</v>
      </c>
      <c r="Y65" s="387">
        <v>0</v>
      </c>
      <c r="Z65" s="387">
        <v>0</v>
      </c>
      <c r="AA65" s="387">
        <v>0</v>
      </c>
      <c r="AB65" s="387">
        <v>33339.51</v>
      </c>
      <c r="AC65" s="387">
        <v>250656.95</v>
      </c>
      <c r="AD65" s="525">
        <v>23.7</v>
      </c>
      <c r="AE65" s="387">
        <v>223904.64000000001</v>
      </c>
      <c r="AF65" s="526">
        <f t="shared" si="43"/>
        <v>9447.4500000000007</v>
      </c>
      <c r="AG65" s="526">
        <f t="shared" si="44"/>
        <v>10576.24</v>
      </c>
      <c r="AH65" s="527">
        <f t="shared" si="41"/>
        <v>1128.79</v>
      </c>
      <c r="AI65" s="525">
        <v>3.42</v>
      </c>
      <c r="AJ65" s="387">
        <v>31801.5</v>
      </c>
      <c r="AK65" s="526">
        <f t="shared" si="45"/>
        <v>9298.68</v>
      </c>
      <c r="AL65" s="526">
        <f t="shared" si="46"/>
        <v>9748.39</v>
      </c>
      <c r="AM65" s="527">
        <f t="shared" si="42"/>
        <v>449.71</v>
      </c>
      <c r="AN65" s="387">
        <v>2799</v>
      </c>
      <c r="AO65" s="387">
        <v>0</v>
      </c>
      <c r="AP65" s="73"/>
      <c r="AQ65" s="241">
        <v>6437.5099999999948</v>
      </c>
      <c r="AR65" s="659">
        <v>43088.84</v>
      </c>
    </row>
    <row r="66" spans="1:44">
      <c r="A66" s="236" t="s">
        <v>615</v>
      </c>
      <c r="B66" s="236" t="s">
        <v>614</v>
      </c>
      <c r="C66" s="236" t="str">
        <f t="shared" si="48"/>
        <v>32414 DEER PARK SCHOOL DISTRICT</v>
      </c>
      <c r="D66" s="387">
        <v>0</v>
      </c>
      <c r="E66" s="387">
        <v>90449.58</v>
      </c>
      <c r="F66" s="387">
        <v>0</v>
      </c>
      <c r="G66" s="387">
        <v>4423209.57</v>
      </c>
      <c r="H66" s="387">
        <v>730596.85</v>
      </c>
      <c r="I66" s="387">
        <v>470105.75</v>
      </c>
      <c r="J66" s="387">
        <v>941944.61</v>
      </c>
      <c r="K66" s="387">
        <v>53096.09</v>
      </c>
      <c r="L66" s="387">
        <v>82214.34</v>
      </c>
      <c r="M66" s="387">
        <v>1771763.42</v>
      </c>
      <c r="N66" s="388">
        <v>2.5999999999999999E-2</v>
      </c>
      <c r="O66" s="389">
        <v>0.16569999999999999</v>
      </c>
      <c r="P66" s="387">
        <v>0</v>
      </c>
      <c r="Q66" s="387">
        <v>0</v>
      </c>
      <c r="R66" s="387">
        <v>0</v>
      </c>
      <c r="S66" s="387">
        <v>0</v>
      </c>
      <c r="T66" s="387">
        <v>0</v>
      </c>
      <c r="U66" s="387">
        <v>0</v>
      </c>
      <c r="V66" s="387">
        <v>0</v>
      </c>
      <c r="W66" s="387">
        <v>0</v>
      </c>
      <c r="X66" s="387">
        <v>0</v>
      </c>
      <c r="Y66" s="387">
        <v>3003.22</v>
      </c>
      <c r="Z66" s="387">
        <v>0</v>
      </c>
      <c r="AA66" s="387">
        <v>1985.4</v>
      </c>
      <c r="AB66" s="387">
        <v>0</v>
      </c>
      <c r="AC66" s="387">
        <v>1257553.27</v>
      </c>
      <c r="AD66" s="525">
        <v>114.84</v>
      </c>
      <c r="AE66" s="387">
        <v>1064223.55</v>
      </c>
      <c r="AF66" s="526">
        <f t="shared" si="43"/>
        <v>9267.01</v>
      </c>
      <c r="AG66" s="526">
        <f t="shared" si="44"/>
        <v>10950.48</v>
      </c>
      <c r="AH66" s="527">
        <f t="shared" si="41"/>
        <v>1683.47</v>
      </c>
      <c r="AI66" s="525">
        <v>0</v>
      </c>
      <c r="AJ66" s="387">
        <v>0</v>
      </c>
      <c r="AK66" s="526">
        <f t="shared" si="45"/>
        <v>0</v>
      </c>
      <c r="AL66" s="526">
        <f t="shared" si="46"/>
        <v>0</v>
      </c>
      <c r="AM66" s="527">
        <f t="shared" si="42"/>
        <v>0</v>
      </c>
      <c r="AN66" s="387">
        <v>0</v>
      </c>
      <c r="AO66" s="387">
        <v>0</v>
      </c>
      <c r="AP66" s="73"/>
      <c r="AQ66" s="241">
        <v>163634.36999999991</v>
      </c>
      <c r="AR66" s="659">
        <v>227686.83</v>
      </c>
    </row>
    <row r="67" spans="1:44">
      <c r="A67" s="236" t="s">
        <v>518</v>
      </c>
      <c r="B67" s="236" t="s">
        <v>517</v>
      </c>
      <c r="C67" s="236" t="str">
        <f t="shared" si="48"/>
        <v>27343 DIERINGER SCHOOL DISTRICT</v>
      </c>
      <c r="D67" s="387">
        <v>0</v>
      </c>
      <c r="E67" s="387">
        <v>0</v>
      </c>
      <c r="F67" s="387">
        <v>0</v>
      </c>
      <c r="G67" s="387">
        <v>2528145.85</v>
      </c>
      <c r="H67" s="387">
        <v>510728.66</v>
      </c>
      <c r="I67" s="387">
        <v>0</v>
      </c>
      <c r="J67" s="387">
        <v>204965.77</v>
      </c>
      <c r="K67" s="387">
        <v>233066.06</v>
      </c>
      <c r="L67" s="387">
        <v>50069.85</v>
      </c>
      <c r="M67" s="387">
        <v>1460597.49</v>
      </c>
      <c r="N67" s="388">
        <v>4.3099999999999999E-2</v>
      </c>
      <c r="O67" s="389">
        <v>0.18729999999999999</v>
      </c>
      <c r="P67" s="387">
        <v>0</v>
      </c>
      <c r="Q67" s="387">
        <v>0</v>
      </c>
      <c r="R67" s="387">
        <v>0</v>
      </c>
      <c r="S67" s="387">
        <v>0</v>
      </c>
      <c r="T67" s="387">
        <v>0</v>
      </c>
      <c r="U67" s="387">
        <v>0</v>
      </c>
      <c r="V67" s="387">
        <v>0</v>
      </c>
      <c r="W67" s="387">
        <v>0</v>
      </c>
      <c r="X67" s="387">
        <v>0</v>
      </c>
      <c r="Y67" s="387">
        <v>1637.72</v>
      </c>
      <c r="Z67" s="387">
        <v>71986.78</v>
      </c>
      <c r="AA67" s="387">
        <v>0</v>
      </c>
      <c r="AB67" s="387">
        <v>869583.42</v>
      </c>
      <c r="AC67" s="387">
        <v>0</v>
      </c>
      <c r="AD67" s="525">
        <v>0</v>
      </c>
      <c r="AE67" s="387">
        <v>0</v>
      </c>
      <c r="AF67" s="526">
        <f t="shared" si="43"/>
        <v>0</v>
      </c>
      <c r="AG67" s="526">
        <f t="shared" si="44"/>
        <v>0</v>
      </c>
      <c r="AH67" s="527">
        <f t="shared" si="41"/>
        <v>0</v>
      </c>
      <c r="AI67" s="525">
        <v>82.42</v>
      </c>
      <c r="AJ67" s="387">
        <v>827315.93</v>
      </c>
      <c r="AK67" s="526">
        <f t="shared" si="45"/>
        <v>10037.81</v>
      </c>
      <c r="AL67" s="526">
        <f t="shared" si="46"/>
        <v>10550.64</v>
      </c>
      <c r="AM67" s="527">
        <f t="shared" si="42"/>
        <v>512.83000000000004</v>
      </c>
      <c r="AN67" s="387">
        <v>0</v>
      </c>
      <c r="AO67" s="387">
        <v>0</v>
      </c>
      <c r="AP67" s="73"/>
      <c r="AQ67" s="241">
        <v>0</v>
      </c>
      <c r="AR67" s="659">
        <v>182130.29</v>
      </c>
    </row>
    <row r="68" spans="1:44">
      <c r="A68" s="236" t="s">
        <v>659</v>
      </c>
      <c r="B68" s="236" t="s">
        <v>658</v>
      </c>
      <c r="C68" s="236" t="str">
        <f t="shared" si="48"/>
        <v>36101 DIXIE SCHOOL DISTRICT</v>
      </c>
      <c r="D68" s="387">
        <v>0</v>
      </c>
      <c r="E68" s="387">
        <v>0</v>
      </c>
      <c r="F68" s="387">
        <v>234.5</v>
      </c>
      <c r="G68" s="387">
        <v>0</v>
      </c>
      <c r="H68" s="387">
        <v>0</v>
      </c>
      <c r="I68" s="387">
        <v>6275.17</v>
      </c>
      <c r="J68" s="387">
        <v>13558.87</v>
      </c>
      <c r="K68" s="387">
        <v>0</v>
      </c>
      <c r="L68" s="387">
        <v>0</v>
      </c>
      <c r="M68" s="387">
        <v>119995.04</v>
      </c>
      <c r="N68" s="388">
        <v>0.1056</v>
      </c>
      <c r="O68" s="389">
        <v>0.36070000000000002</v>
      </c>
      <c r="P68" s="387">
        <v>0</v>
      </c>
      <c r="Q68" s="387">
        <v>0</v>
      </c>
      <c r="R68" s="387">
        <v>0</v>
      </c>
      <c r="S68" s="387">
        <v>0</v>
      </c>
      <c r="T68" s="387">
        <v>0</v>
      </c>
      <c r="U68" s="387">
        <v>0</v>
      </c>
      <c r="V68" s="387">
        <v>0</v>
      </c>
      <c r="W68" s="387">
        <v>0</v>
      </c>
      <c r="X68" s="387">
        <v>0</v>
      </c>
      <c r="Y68" s="387">
        <v>15.62</v>
      </c>
      <c r="Z68" s="387">
        <v>0</v>
      </c>
      <c r="AA68" s="387">
        <v>0</v>
      </c>
      <c r="AB68" s="387">
        <v>0</v>
      </c>
      <c r="AC68" s="387">
        <v>0</v>
      </c>
      <c r="AD68" s="525">
        <v>0</v>
      </c>
      <c r="AE68" s="387">
        <v>0</v>
      </c>
      <c r="AF68" s="526">
        <f t="shared" si="43"/>
        <v>0</v>
      </c>
      <c r="AG68" s="526">
        <f t="shared" si="44"/>
        <v>0</v>
      </c>
      <c r="AH68" s="527">
        <f t="shared" si="41"/>
        <v>0</v>
      </c>
      <c r="AI68" s="525">
        <v>0</v>
      </c>
      <c r="AJ68" s="387">
        <v>0</v>
      </c>
      <c r="AK68" s="526">
        <f t="shared" si="45"/>
        <v>0</v>
      </c>
      <c r="AL68" s="526">
        <f t="shared" si="46"/>
        <v>0</v>
      </c>
      <c r="AM68" s="527">
        <f t="shared" si="42"/>
        <v>0</v>
      </c>
      <c r="AN68" s="387">
        <v>0</v>
      </c>
      <c r="AO68" s="387">
        <v>0</v>
      </c>
      <c r="AP68" s="73"/>
      <c r="AQ68" s="241">
        <v>8292.2999999999993</v>
      </c>
      <c r="AR68" s="659">
        <v>3710.0699999999997</v>
      </c>
    </row>
    <row r="69" spans="1:44">
      <c r="A69" s="236" t="s">
        <v>1198</v>
      </c>
      <c r="B69" s="236" t="s">
        <v>610</v>
      </c>
      <c r="C69" s="236" t="str">
        <f t="shared" si="48"/>
        <v>32361 EAST VALLEY SCHOOL DISTRICT</v>
      </c>
      <c r="D69" s="387">
        <v>0</v>
      </c>
      <c r="E69" s="387">
        <v>128202.07</v>
      </c>
      <c r="F69" s="387">
        <v>17324.150000000001</v>
      </c>
      <c r="G69" s="387">
        <v>7371534.3700000001</v>
      </c>
      <c r="H69" s="387">
        <v>1589056.77</v>
      </c>
      <c r="I69" s="387">
        <v>1001226.64</v>
      </c>
      <c r="J69" s="387">
        <v>1537081.8</v>
      </c>
      <c r="K69" s="387">
        <v>322950.83</v>
      </c>
      <c r="L69" s="387">
        <v>109367.34</v>
      </c>
      <c r="M69" s="387">
        <v>2750929.79</v>
      </c>
      <c r="N69" s="388">
        <v>3.2899999999999999E-2</v>
      </c>
      <c r="O69" s="389">
        <v>0.18809999999999999</v>
      </c>
      <c r="P69" s="387">
        <v>0</v>
      </c>
      <c r="Q69" s="387">
        <v>0</v>
      </c>
      <c r="R69" s="387">
        <v>0</v>
      </c>
      <c r="S69" s="387">
        <v>0</v>
      </c>
      <c r="T69" s="387">
        <v>0</v>
      </c>
      <c r="U69" s="387">
        <v>0</v>
      </c>
      <c r="V69" s="387">
        <v>0</v>
      </c>
      <c r="W69" s="387">
        <v>0</v>
      </c>
      <c r="X69" s="387">
        <v>0</v>
      </c>
      <c r="Y69" s="387">
        <v>4073.09</v>
      </c>
      <c r="Z69" s="387">
        <v>0</v>
      </c>
      <c r="AA69" s="387">
        <v>0</v>
      </c>
      <c r="AB69" s="387">
        <v>470628.53</v>
      </c>
      <c r="AC69" s="387">
        <v>2067874.81</v>
      </c>
      <c r="AD69" s="525">
        <v>200.35</v>
      </c>
      <c r="AE69" s="387">
        <v>1893365.5</v>
      </c>
      <c r="AF69" s="526">
        <f t="shared" si="43"/>
        <v>9450.2900000000009</v>
      </c>
      <c r="AG69" s="526">
        <f t="shared" si="44"/>
        <v>10321.31</v>
      </c>
      <c r="AH69" s="527">
        <f t="shared" si="41"/>
        <v>871.02</v>
      </c>
      <c r="AI69" s="525">
        <v>48.29</v>
      </c>
      <c r="AJ69" s="387">
        <v>447605.58</v>
      </c>
      <c r="AK69" s="526">
        <f t="shared" si="45"/>
        <v>9269.1200000000008</v>
      </c>
      <c r="AL69" s="526">
        <f t="shared" si="46"/>
        <v>9745.8799999999992</v>
      </c>
      <c r="AM69" s="527">
        <f t="shared" si="42"/>
        <v>476.76</v>
      </c>
      <c r="AN69" s="387">
        <v>0</v>
      </c>
      <c r="AO69" s="387">
        <v>0</v>
      </c>
      <c r="AP69" s="73"/>
      <c r="AQ69" s="241">
        <v>0</v>
      </c>
      <c r="AR69" s="659">
        <v>390000.44000000006</v>
      </c>
    </row>
    <row r="70" spans="1:44">
      <c r="A70" s="236" t="s">
        <v>807</v>
      </c>
      <c r="B70" s="236" t="s">
        <v>717</v>
      </c>
      <c r="C70" s="236" t="str">
        <f t="shared" si="48"/>
        <v>39090 EAST VALLEY (YAKIMA) SCHOOL DISTRICT</v>
      </c>
      <c r="D70" s="387">
        <v>0</v>
      </c>
      <c r="E70" s="387">
        <v>98590.54</v>
      </c>
      <c r="F70" s="387">
        <v>69176.710000000006</v>
      </c>
      <c r="G70" s="387">
        <v>5273478.78</v>
      </c>
      <c r="H70" s="387">
        <v>829044.92</v>
      </c>
      <c r="I70" s="387">
        <v>1075069.04</v>
      </c>
      <c r="J70" s="387">
        <v>1497730.93</v>
      </c>
      <c r="K70" s="387">
        <v>817232.23</v>
      </c>
      <c r="L70" s="387">
        <v>102036.78</v>
      </c>
      <c r="M70" s="387">
        <v>2154727.67</v>
      </c>
      <c r="N70" s="388">
        <v>4.1799999999999997E-2</v>
      </c>
      <c r="O70" s="389">
        <v>0.15459999999999999</v>
      </c>
      <c r="P70" s="387">
        <v>0</v>
      </c>
      <c r="Q70" s="387">
        <v>0</v>
      </c>
      <c r="R70" s="387">
        <v>0</v>
      </c>
      <c r="S70" s="387">
        <v>0</v>
      </c>
      <c r="T70" s="387">
        <v>0</v>
      </c>
      <c r="U70" s="387">
        <v>0</v>
      </c>
      <c r="V70" s="387">
        <v>0</v>
      </c>
      <c r="W70" s="387">
        <v>0</v>
      </c>
      <c r="X70" s="387">
        <v>0</v>
      </c>
      <c r="Y70" s="387">
        <v>3802</v>
      </c>
      <c r="Z70" s="387">
        <v>14755.63</v>
      </c>
      <c r="AA70" s="387">
        <v>182701.02</v>
      </c>
      <c r="AB70" s="387">
        <v>161473.35</v>
      </c>
      <c r="AC70" s="387">
        <v>1822683.1</v>
      </c>
      <c r="AD70" s="525">
        <v>182.04</v>
      </c>
      <c r="AE70" s="387">
        <v>1686696.58</v>
      </c>
      <c r="AF70" s="526">
        <f t="shared" si="43"/>
        <v>9265.5300000000007</v>
      </c>
      <c r="AG70" s="526">
        <f t="shared" si="44"/>
        <v>10012.540000000001</v>
      </c>
      <c r="AH70" s="527">
        <f t="shared" si="41"/>
        <v>747.01</v>
      </c>
      <c r="AI70" s="525">
        <v>16.920000000000002</v>
      </c>
      <c r="AJ70" s="387">
        <v>153702.01</v>
      </c>
      <c r="AK70" s="526">
        <f t="shared" si="45"/>
        <v>9084.0400000000009</v>
      </c>
      <c r="AL70" s="526">
        <f t="shared" si="46"/>
        <v>9543.34</v>
      </c>
      <c r="AM70" s="527">
        <f t="shared" si="42"/>
        <v>459.3</v>
      </c>
      <c r="AN70" s="387">
        <v>0</v>
      </c>
      <c r="AO70" s="387">
        <v>0</v>
      </c>
      <c r="AP70" s="73"/>
      <c r="AQ70" s="241">
        <v>79791.479999999749</v>
      </c>
      <c r="AR70" s="659">
        <v>378955.55</v>
      </c>
    </row>
    <row r="71" spans="1:44">
      <c r="A71" s="236" t="s">
        <v>252</v>
      </c>
      <c r="B71" s="236" t="s">
        <v>251</v>
      </c>
      <c r="C71" s="236" t="str">
        <f t="shared" si="48"/>
        <v>09206 EASTMONT SCHOOL DISTRICT</v>
      </c>
      <c r="D71" s="387">
        <v>0</v>
      </c>
      <c r="E71" s="387">
        <v>220738.44</v>
      </c>
      <c r="F71" s="387">
        <v>87593.3</v>
      </c>
      <c r="G71" s="387">
        <v>9526158.9700000007</v>
      </c>
      <c r="H71" s="387">
        <v>1387942.1</v>
      </c>
      <c r="I71" s="387">
        <v>1879773.12</v>
      </c>
      <c r="J71" s="387">
        <v>2629126.0099999998</v>
      </c>
      <c r="K71" s="387">
        <v>1988758.34</v>
      </c>
      <c r="L71" s="387">
        <v>180026.67</v>
      </c>
      <c r="M71" s="387">
        <v>2584600.35</v>
      </c>
      <c r="N71" s="388">
        <v>2.5899999999999999E-2</v>
      </c>
      <c r="O71" s="389">
        <v>0.1368</v>
      </c>
      <c r="P71" s="387">
        <v>0</v>
      </c>
      <c r="Q71" s="387">
        <v>0</v>
      </c>
      <c r="R71" s="387">
        <v>0</v>
      </c>
      <c r="S71" s="387">
        <v>171077.71</v>
      </c>
      <c r="T71" s="387">
        <v>13609.730000000012</v>
      </c>
      <c r="U71" s="387">
        <v>5741.53</v>
      </c>
      <c r="V71" s="387">
        <v>0</v>
      </c>
      <c r="W71" s="387">
        <v>0</v>
      </c>
      <c r="X71" s="387">
        <v>0</v>
      </c>
      <c r="Y71" s="387">
        <v>6689.2</v>
      </c>
      <c r="Z71" s="387">
        <v>0</v>
      </c>
      <c r="AA71" s="387">
        <v>36082.46</v>
      </c>
      <c r="AB71" s="387">
        <v>1209902.57</v>
      </c>
      <c r="AC71" s="387">
        <v>3885597.72</v>
      </c>
      <c r="AD71" s="525">
        <v>396.74</v>
      </c>
      <c r="AE71" s="387">
        <v>3676047.76</v>
      </c>
      <c r="AF71" s="526">
        <f t="shared" si="43"/>
        <v>9265.6299999999992</v>
      </c>
      <c r="AG71" s="526">
        <f t="shared" si="44"/>
        <v>9793.81</v>
      </c>
      <c r="AH71" s="527">
        <f t="shared" ref="AH71:AH134" si="49">ROUND(AG71-AF71,2)</f>
        <v>528.17999999999995</v>
      </c>
      <c r="AI71" s="525">
        <v>126.7</v>
      </c>
      <c r="AJ71" s="387">
        <v>1151007.52</v>
      </c>
      <c r="AK71" s="526">
        <f t="shared" si="45"/>
        <v>9084.51</v>
      </c>
      <c r="AL71" s="526">
        <f t="shared" si="46"/>
        <v>9549.35</v>
      </c>
      <c r="AM71" s="527">
        <f t="shared" ref="AM71:AM134" si="50">ROUND(AL71-AK71,2)</f>
        <v>464.84</v>
      </c>
      <c r="AN71" s="387">
        <v>0</v>
      </c>
      <c r="AO71" s="387">
        <v>0</v>
      </c>
      <c r="AP71" s="73"/>
      <c r="AQ71" s="241">
        <v>0</v>
      </c>
      <c r="AR71" s="659">
        <v>660542.49999999988</v>
      </c>
    </row>
    <row r="72" spans="1:44">
      <c r="A72" s="236" t="s">
        <v>387</v>
      </c>
      <c r="B72" s="236" t="s">
        <v>386</v>
      </c>
      <c r="C72" s="236" t="str">
        <f t="shared" si="48"/>
        <v>19028 EASTON SCHOOL DISTRICT</v>
      </c>
      <c r="D72" s="387">
        <v>0</v>
      </c>
      <c r="E72" s="387">
        <v>0</v>
      </c>
      <c r="F72" s="387">
        <v>935.76</v>
      </c>
      <c r="G72" s="387">
        <v>184964.7</v>
      </c>
      <c r="H72" s="387">
        <v>17706.689999999999</v>
      </c>
      <c r="I72" s="387">
        <v>26907.16</v>
      </c>
      <c r="J72" s="387">
        <v>50465.87</v>
      </c>
      <c r="K72" s="387">
        <v>7886.56</v>
      </c>
      <c r="L72" s="387">
        <v>0</v>
      </c>
      <c r="M72" s="387">
        <v>156927.99</v>
      </c>
      <c r="N72" s="388">
        <v>0</v>
      </c>
      <c r="O72" s="389">
        <v>0.40179999999999999</v>
      </c>
      <c r="P72" s="387">
        <v>0</v>
      </c>
      <c r="Q72" s="387">
        <v>0</v>
      </c>
      <c r="R72" s="387">
        <v>0</v>
      </c>
      <c r="S72" s="387">
        <v>0</v>
      </c>
      <c r="T72" s="387">
        <v>0</v>
      </c>
      <c r="U72" s="387">
        <v>0</v>
      </c>
      <c r="V72" s="387">
        <v>0</v>
      </c>
      <c r="W72" s="387">
        <v>0</v>
      </c>
      <c r="X72" s="387">
        <v>0</v>
      </c>
      <c r="Y72" s="387">
        <v>97.06</v>
      </c>
      <c r="Z72" s="387">
        <v>0</v>
      </c>
      <c r="AA72" s="387">
        <v>0</v>
      </c>
      <c r="AB72" s="387">
        <v>0</v>
      </c>
      <c r="AC72" s="387">
        <v>0</v>
      </c>
      <c r="AD72" s="525">
        <v>0</v>
      </c>
      <c r="AE72" s="387">
        <v>0</v>
      </c>
      <c r="AF72" s="526">
        <f t="shared" ref="AF72:AF135" si="51">IFERROR(ROUND(AE72/AD72,2),0)</f>
        <v>0</v>
      </c>
      <c r="AG72" s="526">
        <f t="shared" ref="AG72:AG135" si="52">IFERROR(ROUND(AC72/AD72,2),0)</f>
        <v>0</v>
      </c>
      <c r="AH72" s="527">
        <f t="shared" si="49"/>
        <v>0</v>
      </c>
      <c r="AI72" s="525">
        <v>0</v>
      </c>
      <c r="AJ72" s="387">
        <v>0</v>
      </c>
      <c r="AK72" s="526">
        <f t="shared" ref="AK72:AK135" si="53">IFERROR(ROUND(AJ72/AI72,2),0)</f>
        <v>0</v>
      </c>
      <c r="AL72" s="526">
        <f t="shared" ref="AL72:AL135" si="54">IFERROR(ROUND(AB72/AI72,2),0)</f>
        <v>0</v>
      </c>
      <c r="AM72" s="527">
        <f t="shared" si="50"/>
        <v>0</v>
      </c>
      <c r="AN72" s="387">
        <v>0</v>
      </c>
      <c r="AO72" s="387">
        <v>540.97</v>
      </c>
      <c r="AP72" s="73"/>
      <c r="AQ72" s="241">
        <v>46986.74</v>
      </c>
      <c r="AR72" s="659">
        <v>24627.439999999995</v>
      </c>
    </row>
    <row r="73" spans="1:44">
      <c r="A73" s="236" t="s">
        <v>530</v>
      </c>
      <c r="B73" s="236" t="s">
        <v>529</v>
      </c>
      <c r="C73" s="236" t="str">
        <f t="shared" si="48"/>
        <v>27404 EATONVILLE SCHOOL DISTRICT</v>
      </c>
      <c r="D73" s="387">
        <v>0</v>
      </c>
      <c r="E73" s="387">
        <v>54574.26</v>
      </c>
      <c r="F73" s="387">
        <v>1487.67</v>
      </c>
      <c r="G73" s="387">
        <v>3115315.11</v>
      </c>
      <c r="H73" s="387">
        <v>609583.23</v>
      </c>
      <c r="I73" s="387">
        <v>59900.58</v>
      </c>
      <c r="J73" s="387">
        <v>571817.57999999996</v>
      </c>
      <c r="K73" s="387">
        <v>35077.550000000003</v>
      </c>
      <c r="L73" s="387">
        <v>60983.77</v>
      </c>
      <c r="M73" s="387">
        <v>1541068</v>
      </c>
      <c r="N73" s="388">
        <v>3.0499999999999999E-2</v>
      </c>
      <c r="O73" s="389">
        <v>0.19009999999999999</v>
      </c>
      <c r="P73" s="387">
        <v>0</v>
      </c>
      <c r="Q73" s="387">
        <v>0</v>
      </c>
      <c r="R73" s="387">
        <v>0</v>
      </c>
      <c r="S73" s="387">
        <v>0</v>
      </c>
      <c r="T73" s="387">
        <v>0</v>
      </c>
      <c r="U73" s="387">
        <v>0</v>
      </c>
      <c r="V73" s="387">
        <v>0</v>
      </c>
      <c r="W73" s="387">
        <v>0</v>
      </c>
      <c r="X73" s="387">
        <v>0</v>
      </c>
      <c r="Y73" s="387">
        <v>635.9</v>
      </c>
      <c r="Z73" s="387">
        <v>10639.21</v>
      </c>
      <c r="AA73" s="387">
        <v>58907.59</v>
      </c>
      <c r="AB73" s="387">
        <v>612057.18000000005</v>
      </c>
      <c r="AC73" s="387">
        <v>1268441.43</v>
      </c>
      <c r="AD73" s="525">
        <v>127.67</v>
      </c>
      <c r="AE73" s="387">
        <v>1183024.81</v>
      </c>
      <c r="AF73" s="526">
        <f t="shared" si="51"/>
        <v>9266.27</v>
      </c>
      <c r="AG73" s="526">
        <f t="shared" si="52"/>
        <v>9935.31</v>
      </c>
      <c r="AH73" s="527">
        <f t="shared" si="49"/>
        <v>669.04</v>
      </c>
      <c r="AI73" s="525">
        <v>64.08</v>
      </c>
      <c r="AJ73" s="387">
        <v>582143.81000000006</v>
      </c>
      <c r="AK73" s="526">
        <f t="shared" si="53"/>
        <v>9084.64</v>
      </c>
      <c r="AL73" s="526">
        <f t="shared" si="54"/>
        <v>9551.4500000000007</v>
      </c>
      <c r="AM73" s="527">
        <f t="shared" si="50"/>
        <v>466.81</v>
      </c>
      <c r="AN73" s="387">
        <v>7000</v>
      </c>
      <c r="AO73" s="387">
        <v>0</v>
      </c>
      <c r="AP73" s="73"/>
      <c r="AQ73" s="241">
        <v>0</v>
      </c>
      <c r="AR73" s="659">
        <v>205770.52999999997</v>
      </c>
    </row>
    <row r="74" spans="1:44">
      <c r="A74" s="236" t="s">
        <v>571</v>
      </c>
      <c r="B74" s="236" t="s">
        <v>570</v>
      </c>
      <c r="C74" s="236" t="str">
        <f t="shared" si="48"/>
        <v>31015 EDMONDS SCHOOL DISTRICT</v>
      </c>
      <c r="D74" s="387">
        <v>0</v>
      </c>
      <c r="E74" s="387">
        <v>45168.05</v>
      </c>
      <c r="F74" s="387">
        <v>44313.99</v>
      </c>
      <c r="G74" s="387">
        <v>49002306.609999999</v>
      </c>
      <c r="H74" s="387">
        <v>9231678.1199999992</v>
      </c>
      <c r="I74" s="387">
        <v>1353142.49</v>
      </c>
      <c r="J74" s="387">
        <v>6578130.7000000002</v>
      </c>
      <c r="K74" s="387">
        <v>8006056.2300000004</v>
      </c>
      <c r="L74" s="387">
        <v>727661.57</v>
      </c>
      <c r="M74" s="387">
        <v>18679036.359999999</v>
      </c>
      <c r="N74" s="388">
        <v>3.4200000000000001E-2</v>
      </c>
      <c r="O74" s="389">
        <v>0.12989999999999999</v>
      </c>
      <c r="P74" s="387">
        <v>0</v>
      </c>
      <c r="Q74" s="387">
        <v>0</v>
      </c>
      <c r="R74" s="387">
        <v>0</v>
      </c>
      <c r="S74" s="387">
        <v>0</v>
      </c>
      <c r="T74" s="387">
        <v>0</v>
      </c>
      <c r="U74" s="387">
        <v>0</v>
      </c>
      <c r="V74" s="387">
        <v>0</v>
      </c>
      <c r="W74" s="387">
        <v>0</v>
      </c>
      <c r="X74" s="387">
        <v>0</v>
      </c>
      <c r="Y74" s="387">
        <v>22624.57</v>
      </c>
      <c r="Z74" s="387">
        <v>42702.879999999997</v>
      </c>
      <c r="AA74" s="387">
        <v>0</v>
      </c>
      <c r="AB74" s="387">
        <v>1056471.26</v>
      </c>
      <c r="AC74" s="387">
        <v>11010952.16</v>
      </c>
      <c r="AD74" s="525">
        <v>951.43</v>
      </c>
      <c r="AE74" s="387">
        <v>9908575.3399999999</v>
      </c>
      <c r="AF74" s="526">
        <f t="shared" si="51"/>
        <v>10414.4</v>
      </c>
      <c r="AG74" s="526">
        <f t="shared" si="52"/>
        <v>11573.06</v>
      </c>
      <c r="AH74" s="527">
        <f t="shared" si="49"/>
        <v>1158.6600000000001</v>
      </c>
      <c r="AI74" s="525">
        <v>98.25</v>
      </c>
      <c r="AJ74" s="387">
        <v>1005862.94</v>
      </c>
      <c r="AK74" s="526">
        <f t="shared" si="53"/>
        <v>10237.790000000001</v>
      </c>
      <c r="AL74" s="526">
        <f t="shared" si="54"/>
        <v>10752.89</v>
      </c>
      <c r="AM74" s="527">
        <f t="shared" si="50"/>
        <v>515.1</v>
      </c>
      <c r="AN74" s="387">
        <v>0</v>
      </c>
      <c r="AO74" s="387">
        <v>0</v>
      </c>
      <c r="AP74" s="73"/>
      <c r="AQ74" s="241">
        <v>0</v>
      </c>
      <c r="AR74" s="659">
        <v>2559362.1699999995</v>
      </c>
    </row>
    <row r="75" spans="1:44">
      <c r="A75" s="236" t="s">
        <v>391</v>
      </c>
      <c r="B75" s="236" t="s">
        <v>390</v>
      </c>
      <c r="C75" s="236" t="str">
        <f t="shared" si="48"/>
        <v>19401 ELLENSBURG SCHOOL DISTRICT</v>
      </c>
      <c r="D75" s="387">
        <v>0</v>
      </c>
      <c r="E75" s="387">
        <v>79552.62</v>
      </c>
      <c r="F75" s="387">
        <v>21309.14</v>
      </c>
      <c r="G75" s="387">
        <v>5448896.9000000004</v>
      </c>
      <c r="H75" s="387">
        <v>909740.55</v>
      </c>
      <c r="I75" s="387">
        <v>265707.23</v>
      </c>
      <c r="J75" s="387">
        <v>991229.91</v>
      </c>
      <c r="K75" s="387">
        <v>414746.68</v>
      </c>
      <c r="L75" s="387">
        <v>101495.17</v>
      </c>
      <c r="M75" s="387">
        <v>2208571.73</v>
      </c>
      <c r="N75" s="388">
        <v>3.7900000000000003E-2</v>
      </c>
      <c r="O75" s="389">
        <v>0.15870000000000001</v>
      </c>
      <c r="P75" s="387">
        <v>0</v>
      </c>
      <c r="Q75" s="387">
        <v>0</v>
      </c>
      <c r="R75" s="387">
        <v>0</v>
      </c>
      <c r="S75" s="387">
        <v>0</v>
      </c>
      <c r="T75" s="387">
        <v>0</v>
      </c>
      <c r="U75" s="387">
        <v>0</v>
      </c>
      <c r="V75" s="387">
        <v>0</v>
      </c>
      <c r="W75" s="387">
        <v>0</v>
      </c>
      <c r="X75" s="387">
        <v>0</v>
      </c>
      <c r="Y75" s="387">
        <v>3437.19</v>
      </c>
      <c r="Z75" s="387">
        <v>25931.5</v>
      </c>
      <c r="AA75" s="387">
        <v>174911.26</v>
      </c>
      <c r="AB75" s="387">
        <v>230737.64</v>
      </c>
      <c r="AC75" s="387">
        <v>1727616.63</v>
      </c>
      <c r="AD75" s="525">
        <v>180.39</v>
      </c>
      <c r="AE75" s="387">
        <v>1671480.63</v>
      </c>
      <c r="AF75" s="526">
        <f t="shared" si="51"/>
        <v>9265.93</v>
      </c>
      <c r="AG75" s="526">
        <f t="shared" si="52"/>
        <v>9577.1200000000008</v>
      </c>
      <c r="AH75" s="527">
        <f t="shared" si="49"/>
        <v>311.19</v>
      </c>
      <c r="AI75" s="525">
        <v>24.16</v>
      </c>
      <c r="AJ75" s="387">
        <v>219440.02</v>
      </c>
      <c r="AK75" s="526">
        <f t="shared" si="53"/>
        <v>9082.7800000000007</v>
      </c>
      <c r="AL75" s="526">
        <f t="shared" si="54"/>
        <v>9550.4</v>
      </c>
      <c r="AM75" s="527">
        <f t="shared" si="50"/>
        <v>467.62</v>
      </c>
      <c r="AN75" s="387">
        <v>0</v>
      </c>
      <c r="AO75" s="387">
        <v>0</v>
      </c>
      <c r="AP75" s="73"/>
      <c r="AQ75" s="241">
        <v>0</v>
      </c>
      <c r="AR75" s="659">
        <v>342136.51</v>
      </c>
    </row>
    <row r="76" spans="1:44">
      <c r="A76" s="236" t="s">
        <v>308</v>
      </c>
      <c r="B76" s="236" t="s">
        <v>307</v>
      </c>
      <c r="C76" s="236" t="str">
        <f t="shared" si="48"/>
        <v>14068 ELMA SCHOOL DISTRICT</v>
      </c>
      <c r="D76" s="387">
        <v>0</v>
      </c>
      <c r="E76" s="387">
        <v>43215.21</v>
      </c>
      <c r="F76" s="387">
        <v>52423.56</v>
      </c>
      <c r="G76" s="387">
        <v>3105483.13</v>
      </c>
      <c r="H76" s="387">
        <v>573731.05000000005</v>
      </c>
      <c r="I76" s="387">
        <v>514584.68</v>
      </c>
      <c r="J76" s="387">
        <v>822242.97</v>
      </c>
      <c r="K76" s="387">
        <v>228626.57</v>
      </c>
      <c r="L76" s="387">
        <v>50802.94</v>
      </c>
      <c r="M76" s="387">
        <v>1238796.82</v>
      </c>
      <c r="N76" s="388">
        <v>0</v>
      </c>
      <c r="O76" s="389">
        <v>0.15359999999999999</v>
      </c>
      <c r="P76" s="387">
        <v>0</v>
      </c>
      <c r="Q76" s="387">
        <v>0</v>
      </c>
      <c r="R76" s="387">
        <v>0</v>
      </c>
      <c r="S76" s="387">
        <v>0</v>
      </c>
      <c r="T76" s="387">
        <v>0</v>
      </c>
      <c r="U76" s="387">
        <v>0</v>
      </c>
      <c r="V76" s="387">
        <v>0</v>
      </c>
      <c r="W76" s="387">
        <v>0</v>
      </c>
      <c r="X76" s="387">
        <v>0</v>
      </c>
      <c r="Y76" s="387">
        <v>0</v>
      </c>
      <c r="Z76" s="387">
        <v>41847.370000000003</v>
      </c>
      <c r="AA76" s="387">
        <v>17840.419999999998</v>
      </c>
      <c r="AB76" s="387">
        <v>654476.48</v>
      </c>
      <c r="AC76" s="387">
        <v>3244502.15</v>
      </c>
      <c r="AD76" s="525">
        <v>332.14</v>
      </c>
      <c r="AE76" s="387">
        <v>3092849.3</v>
      </c>
      <c r="AF76" s="526">
        <f t="shared" si="51"/>
        <v>9311.8799999999992</v>
      </c>
      <c r="AG76" s="526">
        <f t="shared" si="52"/>
        <v>9768.48</v>
      </c>
      <c r="AH76" s="527">
        <f t="shared" si="49"/>
        <v>456.6</v>
      </c>
      <c r="AI76" s="525">
        <v>68.17</v>
      </c>
      <c r="AJ76" s="387">
        <v>622401.86</v>
      </c>
      <c r="AK76" s="526">
        <f t="shared" si="53"/>
        <v>9130.14</v>
      </c>
      <c r="AL76" s="526">
        <f t="shared" si="54"/>
        <v>9600.65</v>
      </c>
      <c r="AM76" s="527">
        <f t="shared" si="50"/>
        <v>470.51</v>
      </c>
      <c r="AN76" s="387">
        <v>2389.69</v>
      </c>
      <c r="AO76" s="387">
        <v>0</v>
      </c>
      <c r="AP76" s="73"/>
      <c r="AQ76" s="241">
        <v>49475.390000000072</v>
      </c>
      <c r="AR76" s="659">
        <v>183791.69000000003</v>
      </c>
    </row>
    <row r="77" spans="1:44">
      <c r="A77" s="236" t="s">
        <v>704</v>
      </c>
      <c r="B77" s="236" t="s">
        <v>703</v>
      </c>
      <c r="C77" s="236" t="str">
        <f t="shared" si="48"/>
        <v>38308 ENDICOTT SCHOOL DISTRICT</v>
      </c>
      <c r="D77" s="387">
        <v>0</v>
      </c>
      <c r="E77" s="387">
        <v>0</v>
      </c>
      <c r="F77" s="387">
        <v>0</v>
      </c>
      <c r="G77" s="387">
        <v>169119.72</v>
      </c>
      <c r="H77" s="387">
        <v>19356.169999999998</v>
      </c>
      <c r="I77" s="387">
        <v>24588.48</v>
      </c>
      <c r="J77" s="387">
        <v>35203.769999999997</v>
      </c>
      <c r="K77" s="387">
        <v>0</v>
      </c>
      <c r="L77" s="387">
        <v>0</v>
      </c>
      <c r="M77" s="387">
        <v>201395.57</v>
      </c>
      <c r="N77" s="388">
        <v>9.2200000000000004E-2</v>
      </c>
      <c r="O77" s="389">
        <v>0.29249999999999998</v>
      </c>
      <c r="P77" s="387">
        <v>0</v>
      </c>
      <c r="Q77" s="387">
        <v>0</v>
      </c>
      <c r="R77" s="387">
        <v>0</v>
      </c>
      <c r="S77" s="387">
        <v>0</v>
      </c>
      <c r="T77" s="387">
        <v>0</v>
      </c>
      <c r="U77" s="387">
        <v>0</v>
      </c>
      <c r="V77" s="387">
        <v>0</v>
      </c>
      <c r="W77" s="387">
        <v>0</v>
      </c>
      <c r="X77" s="387">
        <v>0</v>
      </c>
      <c r="Y77" s="387">
        <v>92.6</v>
      </c>
      <c r="Z77" s="387">
        <v>0</v>
      </c>
      <c r="AA77" s="387">
        <v>0</v>
      </c>
      <c r="AB77" s="387">
        <v>0</v>
      </c>
      <c r="AC77" s="387">
        <v>0</v>
      </c>
      <c r="AD77" s="525">
        <v>0</v>
      </c>
      <c r="AE77" s="387">
        <v>0</v>
      </c>
      <c r="AF77" s="526">
        <f t="shared" si="51"/>
        <v>0</v>
      </c>
      <c r="AG77" s="526">
        <f t="shared" si="52"/>
        <v>0</v>
      </c>
      <c r="AH77" s="527">
        <f t="shared" si="49"/>
        <v>0</v>
      </c>
      <c r="AI77" s="525">
        <v>0</v>
      </c>
      <c r="AJ77" s="387">
        <v>0</v>
      </c>
      <c r="AK77" s="526">
        <f t="shared" si="53"/>
        <v>0</v>
      </c>
      <c r="AL77" s="526">
        <f t="shared" si="54"/>
        <v>0</v>
      </c>
      <c r="AM77" s="527">
        <f t="shared" si="50"/>
        <v>0</v>
      </c>
      <c r="AN77" s="387">
        <v>0</v>
      </c>
      <c r="AO77" s="387">
        <v>0</v>
      </c>
      <c r="AP77" s="73"/>
      <c r="AQ77" s="241">
        <v>22969.969999999998</v>
      </c>
      <c r="AR77" s="659">
        <v>21451.88</v>
      </c>
    </row>
    <row r="78" spans="1:44">
      <c r="A78" s="236" t="s">
        <v>194</v>
      </c>
      <c r="B78" s="236" t="s">
        <v>193</v>
      </c>
      <c r="C78" s="236" t="str">
        <f t="shared" si="48"/>
        <v>04127 ENTIAT SCHOOL DISTRICT</v>
      </c>
      <c r="D78" s="387">
        <v>0</v>
      </c>
      <c r="E78" s="387">
        <v>0</v>
      </c>
      <c r="F78" s="387">
        <v>0</v>
      </c>
      <c r="G78" s="387">
        <v>0</v>
      </c>
      <c r="H78" s="387">
        <v>0</v>
      </c>
      <c r="I78" s="387">
        <v>125055.27</v>
      </c>
      <c r="J78" s="387">
        <v>191168.74</v>
      </c>
      <c r="K78" s="387">
        <v>210116.57</v>
      </c>
      <c r="L78" s="387">
        <v>12998.57</v>
      </c>
      <c r="M78" s="387">
        <v>291698.15000000002</v>
      </c>
      <c r="N78" s="388">
        <v>7.8299999999999995E-2</v>
      </c>
      <c r="O78" s="389">
        <v>0.2185</v>
      </c>
      <c r="P78" s="387">
        <v>0</v>
      </c>
      <c r="Q78" s="387">
        <v>0</v>
      </c>
      <c r="R78" s="387">
        <v>0</v>
      </c>
      <c r="S78" s="387">
        <v>0</v>
      </c>
      <c r="T78" s="387">
        <v>0</v>
      </c>
      <c r="U78" s="387">
        <v>0</v>
      </c>
      <c r="V78" s="387">
        <v>0</v>
      </c>
      <c r="W78" s="387">
        <v>0</v>
      </c>
      <c r="X78" s="387">
        <v>0</v>
      </c>
      <c r="Y78" s="387">
        <v>0</v>
      </c>
      <c r="Z78" s="387">
        <v>0</v>
      </c>
      <c r="AA78" s="387">
        <v>0</v>
      </c>
      <c r="AB78" s="387">
        <v>143070.71</v>
      </c>
      <c r="AC78" s="387">
        <v>162650.94</v>
      </c>
      <c r="AD78" s="525">
        <v>15.92</v>
      </c>
      <c r="AE78" s="387">
        <v>150540.67000000001</v>
      </c>
      <c r="AF78" s="526">
        <f t="shared" si="51"/>
        <v>9456.07</v>
      </c>
      <c r="AG78" s="526">
        <f t="shared" si="52"/>
        <v>10216.77</v>
      </c>
      <c r="AH78" s="527">
        <f t="shared" si="49"/>
        <v>760.7</v>
      </c>
      <c r="AI78" s="525">
        <v>14.69</v>
      </c>
      <c r="AJ78" s="387">
        <v>136114.85</v>
      </c>
      <c r="AK78" s="526">
        <f t="shared" si="53"/>
        <v>9265.82</v>
      </c>
      <c r="AL78" s="526">
        <f t="shared" si="54"/>
        <v>9739.33</v>
      </c>
      <c r="AM78" s="527">
        <f t="shared" si="50"/>
        <v>473.51</v>
      </c>
      <c r="AN78" s="387">
        <v>2539.85</v>
      </c>
      <c r="AO78" s="387">
        <v>0</v>
      </c>
      <c r="AP78" s="73"/>
      <c r="AQ78" s="241">
        <v>7676.9300000000076</v>
      </c>
      <c r="AR78" s="659">
        <v>53072.119999999995</v>
      </c>
    </row>
    <row r="79" spans="1:44">
      <c r="A79" s="236" t="s">
        <v>343</v>
      </c>
      <c r="B79" s="236" t="s">
        <v>342</v>
      </c>
      <c r="C79" s="236" t="str">
        <f t="shared" si="48"/>
        <v>17216 ENUMCLAW SCHOOL DISTRICT</v>
      </c>
      <c r="D79" s="387">
        <v>0</v>
      </c>
      <c r="E79" s="387">
        <v>89589.54</v>
      </c>
      <c r="F79" s="387">
        <v>0</v>
      </c>
      <c r="G79" s="387">
        <v>10916759.4</v>
      </c>
      <c r="H79" s="387">
        <v>1622061.12</v>
      </c>
      <c r="I79" s="387">
        <v>0</v>
      </c>
      <c r="J79" s="387">
        <v>973092.37</v>
      </c>
      <c r="K79" s="387">
        <v>656851.68999999994</v>
      </c>
      <c r="L79" s="387">
        <v>150049.54</v>
      </c>
      <c r="M79" s="387">
        <v>3598336.98</v>
      </c>
      <c r="N79" s="388">
        <v>3.9699999999999999E-2</v>
      </c>
      <c r="O79" s="389">
        <v>0.1709</v>
      </c>
      <c r="P79" s="387">
        <v>0</v>
      </c>
      <c r="Q79" s="387">
        <v>0</v>
      </c>
      <c r="R79" s="387">
        <v>0</v>
      </c>
      <c r="S79" s="387">
        <v>0</v>
      </c>
      <c r="T79" s="387">
        <v>0</v>
      </c>
      <c r="U79" s="387">
        <v>0</v>
      </c>
      <c r="V79" s="387">
        <v>0</v>
      </c>
      <c r="W79" s="387">
        <v>0</v>
      </c>
      <c r="X79" s="387">
        <v>0</v>
      </c>
      <c r="Y79" s="387">
        <v>5086.07</v>
      </c>
      <c r="Z79" s="387">
        <v>0</v>
      </c>
      <c r="AA79" s="387">
        <v>177131.03</v>
      </c>
      <c r="AB79" s="387">
        <v>1576776.49</v>
      </c>
      <c r="AC79" s="387">
        <v>4857887.8099999996</v>
      </c>
      <c r="AD79" s="525">
        <v>453.27</v>
      </c>
      <c r="AE79" s="387">
        <v>4567896.26</v>
      </c>
      <c r="AF79" s="526">
        <f t="shared" si="51"/>
        <v>10077.65</v>
      </c>
      <c r="AG79" s="526">
        <f t="shared" si="52"/>
        <v>10717.43</v>
      </c>
      <c r="AH79" s="527">
        <f t="shared" si="49"/>
        <v>639.78</v>
      </c>
      <c r="AI79" s="525">
        <v>151.59</v>
      </c>
      <c r="AJ79" s="387">
        <v>1500512.75</v>
      </c>
      <c r="AK79" s="526">
        <f t="shared" si="53"/>
        <v>9898.49</v>
      </c>
      <c r="AL79" s="526">
        <f t="shared" si="54"/>
        <v>10401.59</v>
      </c>
      <c r="AM79" s="527">
        <f t="shared" si="50"/>
        <v>503.1</v>
      </c>
      <c r="AN79" s="387">
        <v>6354.6</v>
      </c>
      <c r="AO79" s="387">
        <v>0</v>
      </c>
      <c r="AP79" s="73"/>
      <c r="AQ79" s="241">
        <v>382258.87999999995</v>
      </c>
      <c r="AR79" s="659">
        <v>539815.40999999992</v>
      </c>
    </row>
    <row r="80" spans="1:44">
      <c r="A80" s="236" t="s">
        <v>292</v>
      </c>
      <c r="B80" s="236" t="s">
        <v>291</v>
      </c>
      <c r="C80" s="236" t="str">
        <f t="shared" si="48"/>
        <v>13165 EPHRATA SCHOOL DISTRICT</v>
      </c>
      <c r="D80" s="387">
        <v>318019.90999999997</v>
      </c>
      <c r="E80" s="387">
        <v>72280.55</v>
      </c>
      <c r="F80" s="387">
        <v>26346.15</v>
      </c>
      <c r="G80" s="387">
        <v>4412427.24</v>
      </c>
      <c r="H80" s="387">
        <v>734920.57</v>
      </c>
      <c r="I80" s="387">
        <v>888273.48</v>
      </c>
      <c r="J80" s="387">
        <v>1149925.8899999999</v>
      </c>
      <c r="K80" s="387">
        <v>815208.19</v>
      </c>
      <c r="L80" s="387">
        <v>87292.160000000003</v>
      </c>
      <c r="M80" s="387">
        <v>2079132.19</v>
      </c>
      <c r="N80" s="388">
        <v>3.7600000000000001E-2</v>
      </c>
      <c r="O80" s="389">
        <v>0.15110000000000001</v>
      </c>
      <c r="P80" s="387">
        <v>0</v>
      </c>
      <c r="Q80" s="387">
        <v>0</v>
      </c>
      <c r="R80" s="387">
        <v>0</v>
      </c>
      <c r="S80" s="387">
        <v>0</v>
      </c>
      <c r="T80" s="387">
        <v>0</v>
      </c>
      <c r="U80" s="387">
        <v>0</v>
      </c>
      <c r="V80" s="387">
        <v>0</v>
      </c>
      <c r="W80" s="387">
        <v>0</v>
      </c>
      <c r="X80" s="387">
        <v>0</v>
      </c>
      <c r="Y80" s="387">
        <v>0</v>
      </c>
      <c r="Z80" s="387">
        <v>44734.41</v>
      </c>
      <c r="AA80" s="387">
        <v>124385.83</v>
      </c>
      <c r="AB80" s="387">
        <v>496297.88</v>
      </c>
      <c r="AC80" s="387">
        <v>2172658.41</v>
      </c>
      <c r="AD80" s="525">
        <v>219.22</v>
      </c>
      <c r="AE80" s="387">
        <v>2071637.31</v>
      </c>
      <c r="AF80" s="526">
        <f t="shared" si="51"/>
        <v>9450.0400000000009</v>
      </c>
      <c r="AG80" s="526">
        <f t="shared" si="52"/>
        <v>9910.86</v>
      </c>
      <c r="AH80" s="527">
        <f t="shared" si="49"/>
        <v>460.82</v>
      </c>
      <c r="AI80" s="525">
        <v>50.92</v>
      </c>
      <c r="AJ80" s="387">
        <v>471850.88</v>
      </c>
      <c r="AK80" s="526">
        <f t="shared" si="53"/>
        <v>9266.51</v>
      </c>
      <c r="AL80" s="526">
        <f t="shared" si="54"/>
        <v>9746.6200000000008</v>
      </c>
      <c r="AM80" s="527">
        <f t="shared" si="50"/>
        <v>480.11</v>
      </c>
      <c r="AN80" s="387">
        <v>3533.21</v>
      </c>
      <c r="AO80" s="387">
        <v>0</v>
      </c>
      <c r="AP80" s="73"/>
      <c r="AQ80" s="241">
        <v>5.8207660913467407E-11</v>
      </c>
      <c r="AR80" s="659">
        <v>318891.71999999997</v>
      </c>
    </row>
    <row r="81" spans="1:44">
      <c r="A81" s="236" t="s">
        <v>1633</v>
      </c>
      <c r="B81" s="238" t="s">
        <v>1542</v>
      </c>
      <c r="C81" s="236" t="str">
        <f>CONCATENATE(B81," ",A81)</f>
        <v>06701 ESA 112</v>
      </c>
      <c r="D81" s="387">
        <v>0</v>
      </c>
      <c r="E81" s="387">
        <v>0</v>
      </c>
      <c r="F81" s="387">
        <v>0</v>
      </c>
      <c r="G81" s="387">
        <v>24460412.23</v>
      </c>
      <c r="H81" s="387">
        <v>3368523.9</v>
      </c>
      <c r="I81" s="387">
        <v>0</v>
      </c>
      <c r="J81" s="387">
        <v>0</v>
      </c>
      <c r="K81" s="387">
        <v>0</v>
      </c>
      <c r="L81" s="387">
        <v>0</v>
      </c>
      <c r="M81" s="387">
        <v>0</v>
      </c>
      <c r="N81" s="388">
        <v>0</v>
      </c>
      <c r="O81" s="389">
        <v>0</v>
      </c>
      <c r="P81" s="387">
        <v>0</v>
      </c>
      <c r="Q81" s="387">
        <v>0</v>
      </c>
      <c r="R81" s="387">
        <v>0</v>
      </c>
      <c r="S81" s="387">
        <v>0</v>
      </c>
      <c r="T81" s="387">
        <v>0</v>
      </c>
      <c r="U81" s="387">
        <v>0</v>
      </c>
      <c r="V81" s="387">
        <v>0</v>
      </c>
      <c r="W81" s="387">
        <v>0</v>
      </c>
      <c r="X81" s="387">
        <v>0</v>
      </c>
      <c r="Y81" s="387">
        <v>0</v>
      </c>
      <c r="Z81" s="387">
        <v>0</v>
      </c>
      <c r="AA81" s="387">
        <v>0</v>
      </c>
      <c r="AB81" s="387">
        <v>0</v>
      </c>
      <c r="AC81" s="387">
        <v>0</v>
      </c>
      <c r="AD81" s="525">
        <v>0</v>
      </c>
      <c r="AE81" s="387">
        <v>0</v>
      </c>
      <c r="AF81" s="526">
        <f t="shared" si="51"/>
        <v>0</v>
      </c>
      <c r="AG81" s="526">
        <f t="shared" si="52"/>
        <v>0</v>
      </c>
      <c r="AH81" s="527">
        <f t="shared" si="49"/>
        <v>0</v>
      </c>
      <c r="AI81" s="525">
        <v>0</v>
      </c>
      <c r="AJ81" s="387">
        <v>0</v>
      </c>
      <c r="AK81" s="526">
        <f t="shared" si="53"/>
        <v>0</v>
      </c>
      <c r="AL81" s="526">
        <f t="shared" si="54"/>
        <v>0</v>
      </c>
      <c r="AM81" s="527">
        <f t="shared" si="50"/>
        <v>0</v>
      </c>
      <c r="AN81" s="387">
        <v>0</v>
      </c>
      <c r="AO81" s="387">
        <v>0</v>
      </c>
      <c r="AP81" s="73"/>
      <c r="AQ81" s="241">
        <v>0</v>
      </c>
      <c r="AR81" s="659">
        <v>0</v>
      </c>
    </row>
    <row r="82" spans="1:44">
      <c r="A82" s="236" t="s">
        <v>1634</v>
      </c>
      <c r="B82" s="236" t="s">
        <v>766</v>
      </c>
      <c r="C82" s="236" t="str">
        <f>CONCATENATE(B82," ",A82)</f>
        <v>32801 ESD 101</v>
      </c>
      <c r="D82" s="387">
        <v>0</v>
      </c>
      <c r="E82" s="387">
        <v>0</v>
      </c>
      <c r="F82" s="387">
        <v>0</v>
      </c>
      <c r="G82" s="387">
        <v>0</v>
      </c>
      <c r="H82" s="387">
        <v>0</v>
      </c>
      <c r="I82" s="387">
        <v>0</v>
      </c>
      <c r="J82" s="387">
        <v>0</v>
      </c>
      <c r="K82" s="387">
        <v>0</v>
      </c>
      <c r="L82" s="387">
        <v>0</v>
      </c>
      <c r="M82" s="387">
        <v>0</v>
      </c>
      <c r="N82" s="388">
        <v>0</v>
      </c>
      <c r="O82" s="389">
        <v>0.11</v>
      </c>
      <c r="P82" s="387">
        <v>0</v>
      </c>
      <c r="Q82" s="387">
        <v>0</v>
      </c>
      <c r="R82" s="387">
        <v>0</v>
      </c>
      <c r="S82" s="387">
        <v>1021332.51</v>
      </c>
      <c r="T82" s="387">
        <v>88211.540000000197</v>
      </c>
      <c r="U82" s="387">
        <v>28843.84</v>
      </c>
      <c r="V82" s="387">
        <v>0</v>
      </c>
      <c r="W82" s="387">
        <v>0</v>
      </c>
      <c r="X82" s="387">
        <v>0</v>
      </c>
      <c r="Y82" s="387">
        <v>0</v>
      </c>
      <c r="Z82" s="387">
        <v>0</v>
      </c>
      <c r="AA82" s="387">
        <v>0</v>
      </c>
      <c r="AB82" s="387">
        <v>0</v>
      </c>
      <c r="AC82" s="387">
        <v>0</v>
      </c>
      <c r="AD82" s="525">
        <v>0</v>
      </c>
      <c r="AE82" s="387">
        <v>0</v>
      </c>
      <c r="AF82" s="526">
        <f t="shared" si="51"/>
        <v>0</v>
      </c>
      <c r="AG82" s="526">
        <f t="shared" si="52"/>
        <v>0</v>
      </c>
      <c r="AH82" s="527">
        <f t="shared" si="49"/>
        <v>0</v>
      </c>
      <c r="AI82" s="525">
        <v>0</v>
      </c>
      <c r="AJ82" s="387">
        <v>0</v>
      </c>
      <c r="AK82" s="526">
        <f t="shared" si="53"/>
        <v>0</v>
      </c>
      <c r="AL82" s="526">
        <f t="shared" si="54"/>
        <v>0</v>
      </c>
      <c r="AM82" s="527">
        <f t="shared" si="50"/>
        <v>0</v>
      </c>
      <c r="AN82" s="387">
        <v>0</v>
      </c>
      <c r="AO82" s="387">
        <v>0</v>
      </c>
      <c r="AP82" s="73"/>
      <c r="AQ82" s="241">
        <v>0</v>
      </c>
      <c r="AR82" s="659">
        <v>0</v>
      </c>
    </row>
    <row r="83" spans="1:44">
      <c r="A83" s="236" t="s">
        <v>1635</v>
      </c>
      <c r="B83" s="238" t="s">
        <v>768</v>
      </c>
      <c r="C83" s="236" t="str">
        <f>CONCATENATE(B83," ",A83)</f>
        <v>39801 ESD 105</v>
      </c>
      <c r="D83" s="387">
        <v>0</v>
      </c>
      <c r="E83" s="387">
        <v>0</v>
      </c>
      <c r="F83" s="387">
        <v>0</v>
      </c>
      <c r="G83" s="387">
        <v>0</v>
      </c>
      <c r="H83" s="387">
        <v>0</v>
      </c>
      <c r="I83" s="387">
        <v>0</v>
      </c>
      <c r="J83" s="387">
        <v>0</v>
      </c>
      <c r="K83" s="387">
        <v>0</v>
      </c>
      <c r="L83" s="387">
        <v>0</v>
      </c>
      <c r="M83" s="387">
        <v>1874661.93</v>
      </c>
      <c r="N83" s="388">
        <v>0</v>
      </c>
      <c r="O83" s="389">
        <v>0.11</v>
      </c>
      <c r="P83" s="387">
        <v>0</v>
      </c>
      <c r="Q83" s="387">
        <v>0</v>
      </c>
      <c r="R83" s="387">
        <v>0</v>
      </c>
      <c r="S83" s="387">
        <v>0</v>
      </c>
      <c r="T83" s="387">
        <v>0</v>
      </c>
      <c r="U83" s="387">
        <v>0</v>
      </c>
      <c r="V83" s="387">
        <v>0</v>
      </c>
      <c r="W83" s="387">
        <v>0</v>
      </c>
      <c r="X83" s="387">
        <v>0</v>
      </c>
      <c r="Y83" s="387">
        <v>0</v>
      </c>
      <c r="Z83" s="387">
        <v>0</v>
      </c>
      <c r="AA83" s="387">
        <v>0</v>
      </c>
      <c r="AB83" s="387">
        <v>0</v>
      </c>
      <c r="AC83" s="387">
        <v>0</v>
      </c>
      <c r="AD83" s="525">
        <v>0</v>
      </c>
      <c r="AE83" s="387">
        <v>0</v>
      </c>
      <c r="AF83" s="526">
        <f t="shared" si="51"/>
        <v>0</v>
      </c>
      <c r="AG83" s="526">
        <f t="shared" si="52"/>
        <v>0</v>
      </c>
      <c r="AH83" s="527">
        <f t="shared" si="49"/>
        <v>0</v>
      </c>
      <c r="AI83" s="525">
        <v>0</v>
      </c>
      <c r="AJ83" s="387">
        <v>0</v>
      </c>
      <c r="AK83" s="526">
        <f t="shared" si="53"/>
        <v>0</v>
      </c>
      <c r="AL83" s="526">
        <f t="shared" si="54"/>
        <v>0</v>
      </c>
      <c r="AM83" s="527">
        <f t="shared" si="50"/>
        <v>0</v>
      </c>
      <c r="AN83" s="387">
        <v>0</v>
      </c>
      <c r="AO83" s="387">
        <v>0</v>
      </c>
      <c r="AP83" s="73"/>
      <c r="AQ83" s="241">
        <v>0</v>
      </c>
      <c r="AR83" s="659">
        <v>0</v>
      </c>
    </row>
    <row r="84" spans="1:44">
      <c r="A84" s="236" t="s">
        <v>1636</v>
      </c>
      <c r="B84" s="238" t="s">
        <v>761</v>
      </c>
      <c r="C84" s="236" t="str">
        <f>CONCATENATE(B84," ",A84)</f>
        <v>06801 ESD 112</v>
      </c>
      <c r="D84" s="387">
        <v>0</v>
      </c>
      <c r="E84" s="387">
        <v>0</v>
      </c>
      <c r="F84" s="387">
        <v>0</v>
      </c>
      <c r="G84" s="387">
        <v>5157603</v>
      </c>
      <c r="H84" s="387">
        <v>0</v>
      </c>
      <c r="I84" s="387">
        <v>0</v>
      </c>
      <c r="J84" s="387">
        <v>0</v>
      </c>
      <c r="K84" s="387">
        <v>0</v>
      </c>
      <c r="L84" s="387">
        <v>0</v>
      </c>
      <c r="M84" s="387">
        <v>5539850.6399999997</v>
      </c>
      <c r="N84" s="388">
        <v>0</v>
      </c>
      <c r="O84" s="389">
        <v>0.11</v>
      </c>
      <c r="P84" s="387">
        <v>0</v>
      </c>
      <c r="Q84" s="387">
        <v>0</v>
      </c>
      <c r="R84" s="387">
        <v>0</v>
      </c>
      <c r="S84" s="387">
        <v>635495.78</v>
      </c>
      <c r="T84" s="387">
        <v>52205.039999999921</v>
      </c>
      <c r="U84" s="387">
        <v>18893.449999999997</v>
      </c>
      <c r="V84" s="387">
        <v>0</v>
      </c>
      <c r="W84" s="387">
        <v>0</v>
      </c>
      <c r="X84" s="387">
        <v>0</v>
      </c>
      <c r="Y84" s="387">
        <v>0</v>
      </c>
      <c r="Z84" s="387">
        <v>0</v>
      </c>
      <c r="AA84" s="387">
        <v>0</v>
      </c>
      <c r="AB84" s="387">
        <v>0</v>
      </c>
      <c r="AC84" s="387">
        <v>0</v>
      </c>
      <c r="AD84" s="525">
        <v>0</v>
      </c>
      <c r="AE84" s="387">
        <v>0</v>
      </c>
      <c r="AF84" s="526">
        <f t="shared" si="51"/>
        <v>0</v>
      </c>
      <c r="AG84" s="526">
        <f t="shared" si="52"/>
        <v>0</v>
      </c>
      <c r="AH84" s="527">
        <f t="shared" si="49"/>
        <v>0</v>
      </c>
      <c r="AI84" s="525">
        <v>0</v>
      </c>
      <c r="AJ84" s="387">
        <v>0</v>
      </c>
      <c r="AK84" s="526">
        <f t="shared" si="53"/>
        <v>0</v>
      </c>
      <c r="AL84" s="526">
        <f t="shared" si="54"/>
        <v>0</v>
      </c>
      <c r="AM84" s="527">
        <f t="shared" si="50"/>
        <v>0</v>
      </c>
      <c r="AN84" s="387">
        <v>0</v>
      </c>
      <c r="AO84" s="387">
        <v>0</v>
      </c>
      <c r="AP84" s="73"/>
      <c r="AQ84" s="241">
        <v>0</v>
      </c>
      <c r="AR84" s="659">
        <v>0</v>
      </c>
    </row>
    <row r="85" spans="1:44">
      <c r="A85" s="236" t="s">
        <v>1637</v>
      </c>
      <c r="B85" s="236" t="s">
        <v>767</v>
      </c>
      <c r="C85" s="236" t="str">
        <f>CONCATENATE(B85," CAPITAL REGION ",A85)</f>
        <v>34801 CAPITAL REGION ESD 113</v>
      </c>
      <c r="D85" s="387">
        <v>0</v>
      </c>
      <c r="E85" s="387">
        <v>0</v>
      </c>
      <c r="F85" s="387">
        <v>0</v>
      </c>
      <c r="G85" s="387">
        <v>0</v>
      </c>
      <c r="H85" s="387">
        <v>0</v>
      </c>
      <c r="I85" s="387">
        <v>0</v>
      </c>
      <c r="J85" s="387">
        <v>0</v>
      </c>
      <c r="K85" s="387">
        <v>0</v>
      </c>
      <c r="L85" s="387">
        <v>0</v>
      </c>
      <c r="M85" s="387">
        <v>787625.88</v>
      </c>
      <c r="N85" s="388">
        <v>0</v>
      </c>
      <c r="O85" s="389">
        <v>0.11</v>
      </c>
      <c r="P85" s="387">
        <v>0</v>
      </c>
      <c r="Q85" s="387">
        <v>0</v>
      </c>
      <c r="R85" s="387">
        <v>0</v>
      </c>
      <c r="S85" s="387">
        <v>0</v>
      </c>
      <c r="T85" s="387">
        <v>0</v>
      </c>
      <c r="U85" s="387">
        <v>0</v>
      </c>
      <c r="V85" s="387">
        <v>0</v>
      </c>
      <c r="W85" s="387">
        <v>0</v>
      </c>
      <c r="X85" s="387">
        <v>0</v>
      </c>
      <c r="Y85" s="387">
        <v>0</v>
      </c>
      <c r="Z85" s="387">
        <v>0</v>
      </c>
      <c r="AA85" s="387">
        <v>0</v>
      </c>
      <c r="AB85" s="387">
        <v>0</v>
      </c>
      <c r="AC85" s="387">
        <v>0</v>
      </c>
      <c r="AD85" s="525">
        <v>0</v>
      </c>
      <c r="AE85" s="387">
        <v>0</v>
      </c>
      <c r="AF85" s="526">
        <f t="shared" si="51"/>
        <v>0</v>
      </c>
      <c r="AG85" s="526">
        <f t="shared" si="52"/>
        <v>0</v>
      </c>
      <c r="AH85" s="527">
        <f t="shared" si="49"/>
        <v>0</v>
      </c>
      <c r="AI85" s="525">
        <v>0</v>
      </c>
      <c r="AJ85" s="387">
        <v>0</v>
      </c>
      <c r="AK85" s="526">
        <f t="shared" si="53"/>
        <v>0</v>
      </c>
      <c r="AL85" s="526">
        <f t="shared" si="54"/>
        <v>0</v>
      </c>
      <c r="AM85" s="527">
        <f t="shared" si="50"/>
        <v>0</v>
      </c>
      <c r="AN85" s="387">
        <v>0</v>
      </c>
      <c r="AO85" s="387">
        <v>0</v>
      </c>
      <c r="AP85" s="73"/>
      <c r="AQ85" s="241">
        <v>0</v>
      </c>
      <c r="AR85" s="659">
        <v>0</v>
      </c>
    </row>
    <row r="86" spans="1:44">
      <c r="A86" s="236" t="s">
        <v>1653</v>
      </c>
      <c r="B86" s="238" t="s">
        <v>764</v>
      </c>
      <c r="C86" s="236" t="str">
        <f>CONCATENATE(B86," OLYMPIC ",A86)</f>
        <v>18801 OLYMPIC ESD 114</v>
      </c>
      <c r="D86" s="387">
        <v>0</v>
      </c>
      <c r="E86" s="387">
        <v>0</v>
      </c>
      <c r="F86" s="387">
        <v>0</v>
      </c>
      <c r="G86" s="387">
        <v>0</v>
      </c>
      <c r="H86" s="387">
        <v>0</v>
      </c>
      <c r="I86" s="387">
        <v>0</v>
      </c>
      <c r="J86" s="387">
        <v>0</v>
      </c>
      <c r="K86" s="387">
        <v>0</v>
      </c>
      <c r="L86" s="387">
        <v>0</v>
      </c>
      <c r="M86" s="387">
        <v>0</v>
      </c>
      <c r="N86" s="388">
        <v>0</v>
      </c>
      <c r="O86" s="389">
        <v>0.11</v>
      </c>
      <c r="P86" s="387">
        <v>0</v>
      </c>
      <c r="Q86" s="387">
        <v>0</v>
      </c>
      <c r="R86" s="387">
        <v>0</v>
      </c>
      <c r="S86" s="387">
        <v>350910.78</v>
      </c>
      <c r="T86" s="387">
        <v>32594.058000000005</v>
      </c>
      <c r="U86" s="387">
        <v>11465.23</v>
      </c>
      <c r="V86" s="387">
        <v>0</v>
      </c>
      <c r="W86" s="387">
        <v>0</v>
      </c>
      <c r="X86" s="387">
        <v>0</v>
      </c>
      <c r="Y86" s="387">
        <v>0</v>
      </c>
      <c r="Z86" s="387">
        <v>0</v>
      </c>
      <c r="AA86" s="387">
        <v>0</v>
      </c>
      <c r="AB86" s="387">
        <v>0</v>
      </c>
      <c r="AC86" s="387">
        <v>0</v>
      </c>
      <c r="AD86" s="525">
        <v>0</v>
      </c>
      <c r="AE86" s="387">
        <v>0</v>
      </c>
      <c r="AF86" s="526">
        <f t="shared" si="51"/>
        <v>0</v>
      </c>
      <c r="AG86" s="526">
        <f t="shared" si="52"/>
        <v>0</v>
      </c>
      <c r="AH86" s="527">
        <f t="shared" si="49"/>
        <v>0</v>
      </c>
      <c r="AI86" s="525">
        <v>0</v>
      </c>
      <c r="AJ86" s="387">
        <v>0</v>
      </c>
      <c r="AK86" s="526">
        <f t="shared" si="53"/>
        <v>0</v>
      </c>
      <c r="AL86" s="526">
        <f t="shared" si="54"/>
        <v>0</v>
      </c>
      <c r="AM86" s="527">
        <f t="shared" si="50"/>
        <v>0</v>
      </c>
      <c r="AN86" s="387">
        <v>0</v>
      </c>
      <c r="AO86" s="387">
        <v>0</v>
      </c>
      <c r="AP86" s="73"/>
      <c r="AQ86" s="241">
        <v>0</v>
      </c>
      <c r="AR86" s="659">
        <v>0</v>
      </c>
    </row>
    <row r="87" spans="1:44">
      <c r="A87" s="236" t="s">
        <v>1654</v>
      </c>
      <c r="B87" s="238" t="s">
        <v>763</v>
      </c>
      <c r="C87" s="236" t="str">
        <f>CONCATENATE(B87," PUGET SOUND ",A87)</f>
        <v>17801 PUGET SOUND ESD 121</v>
      </c>
      <c r="D87" s="387">
        <v>0</v>
      </c>
      <c r="E87" s="387">
        <v>0</v>
      </c>
      <c r="F87" s="387">
        <v>0</v>
      </c>
      <c r="G87" s="387">
        <v>0</v>
      </c>
      <c r="H87" s="387">
        <v>0</v>
      </c>
      <c r="I87" s="387">
        <v>0</v>
      </c>
      <c r="J87" s="387">
        <v>0</v>
      </c>
      <c r="K87" s="387">
        <v>0</v>
      </c>
      <c r="L87" s="387">
        <v>0</v>
      </c>
      <c r="M87" s="387">
        <v>1919782.27</v>
      </c>
      <c r="N87" s="388">
        <v>0</v>
      </c>
      <c r="O87" s="389">
        <v>0.11</v>
      </c>
      <c r="P87" s="387">
        <v>0</v>
      </c>
      <c r="Q87" s="387">
        <v>0</v>
      </c>
      <c r="R87" s="387">
        <v>0</v>
      </c>
      <c r="S87" s="387">
        <v>0</v>
      </c>
      <c r="T87" s="387">
        <v>0</v>
      </c>
      <c r="U87" s="387">
        <v>0</v>
      </c>
      <c r="V87" s="387">
        <v>0</v>
      </c>
      <c r="W87" s="387">
        <v>0</v>
      </c>
      <c r="X87" s="387">
        <v>0</v>
      </c>
      <c r="Y87" s="387">
        <v>0</v>
      </c>
      <c r="Z87" s="387">
        <v>0</v>
      </c>
      <c r="AA87" s="387">
        <v>0</v>
      </c>
      <c r="AB87" s="387">
        <v>0</v>
      </c>
      <c r="AC87" s="387">
        <v>0</v>
      </c>
      <c r="AD87" s="525">
        <v>0</v>
      </c>
      <c r="AE87" s="387">
        <v>0</v>
      </c>
      <c r="AF87" s="526">
        <f t="shared" si="51"/>
        <v>0</v>
      </c>
      <c r="AG87" s="526">
        <f t="shared" si="52"/>
        <v>0</v>
      </c>
      <c r="AH87" s="527">
        <f t="shared" si="49"/>
        <v>0</v>
      </c>
      <c r="AI87" s="525">
        <v>0</v>
      </c>
      <c r="AJ87" s="387">
        <v>0</v>
      </c>
      <c r="AK87" s="526">
        <f t="shared" si="53"/>
        <v>0</v>
      </c>
      <c r="AL87" s="526">
        <f t="shared" si="54"/>
        <v>0</v>
      </c>
      <c r="AM87" s="527">
        <f t="shared" si="50"/>
        <v>0</v>
      </c>
      <c r="AN87" s="387">
        <v>0</v>
      </c>
      <c r="AO87" s="387">
        <v>0</v>
      </c>
      <c r="AP87" s="73"/>
      <c r="AQ87" s="241">
        <v>0</v>
      </c>
      <c r="AR87" s="659">
        <v>0</v>
      </c>
    </row>
    <row r="88" spans="1:44">
      <c r="A88" s="236" t="s">
        <v>1638</v>
      </c>
      <c r="B88" s="238" t="s">
        <v>762</v>
      </c>
      <c r="C88" s="236" t="str">
        <f>CONCATENATE(B88," ",A88)</f>
        <v>11801 ESD 123</v>
      </c>
      <c r="D88" s="387">
        <v>0</v>
      </c>
      <c r="E88" s="387">
        <v>0</v>
      </c>
      <c r="F88" s="387">
        <v>0</v>
      </c>
      <c r="G88" s="387">
        <v>0</v>
      </c>
      <c r="H88" s="387">
        <v>0</v>
      </c>
      <c r="I88" s="387">
        <v>0</v>
      </c>
      <c r="J88" s="387">
        <v>0</v>
      </c>
      <c r="K88" s="387">
        <v>0</v>
      </c>
      <c r="L88" s="387">
        <v>0</v>
      </c>
      <c r="M88" s="387">
        <v>0</v>
      </c>
      <c r="N88" s="388">
        <v>0</v>
      </c>
      <c r="O88" s="389">
        <v>0.11</v>
      </c>
      <c r="P88" s="387">
        <v>0</v>
      </c>
      <c r="Q88" s="387">
        <v>0</v>
      </c>
      <c r="R88" s="387">
        <v>0</v>
      </c>
      <c r="S88" s="387">
        <v>0</v>
      </c>
      <c r="T88" s="387">
        <v>0</v>
      </c>
      <c r="U88" s="387">
        <v>0</v>
      </c>
      <c r="V88" s="387">
        <v>0</v>
      </c>
      <c r="W88" s="387">
        <v>0</v>
      </c>
      <c r="X88" s="387">
        <v>0</v>
      </c>
      <c r="Y88" s="387">
        <v>0</v>
      </c>
      <c r="Z88" s="387">
        <v>0</v>
      </c>
      <c r="AA88" s="387">
        <v>0</v>
      </c>
      <c r="AB88" s="387">
        <v>0</v>
      </c>
      <c r="AC88" s="387">
        <v>0</v>
      </c>
      <c r="AD88" s="525">
        <v>0</v>
      </c>
      <c r="AE88" s="387">
        <v>0</v>
      </c>
      <c r="AF88" s="526">
        <f t="shared" si="51"/>
        <v>0</v>
      </c>
      <c r="AG88" s="526">
        <f t="shared" si="52"/>
        <v>0</v>
      </c>
      <c r="AH88" s="527">
        <f t="shared" si="49"/>
        <v>0</v>
      </c>
      <c r="AI88" s="525">
        <v>0</v>
      </c>
      <c r="AJ88" s="387">
        <v>0</v>
      </c>
      <c r="AK88" s="526">
        <f t="shared" si="53"/>
        <v>0</v>
      </c>
      <c r="AL88" s="526">
        <f t="shared" si="54"/>
        <v>0</v>
      </c>
      <c r="AM88" s="527">
        <f t="shared" si="50"/>
        <v>0</v>
      </c>
      <c r="AN88" s="387">
        <v>0</v>
      </c>
      <c r="AO88" s="387">
        <v>0</v>
      </c>
      <c r="AP88" s="73"/>
      <c r="AQ88" s="241">
        <v>0</v>
      </c>
      <c r="AR88" s="659">
        <v>0</v>
      </c>
    </row>
    <row r="89" spans="1:44">
      <c r="A89" s="236" t="s">
        <v>1651</v>
      </c>
      <c r="B89" s="238" t="s">
        <v>760</v>
      </c>
      <c r="C89" s="236" t="str">
        <f>CONCATENATE(B89," ",A89)</f>
        <v>04801 ESD 171</v>
      </c>
      <c r="D89" s="387">
        <v>0</v>
      </c>
      <c r="E89" s="387">
        <v>0</v>
      </c>
      <c r="F89" s="387">
        <v>0</v>
      </c>
      <c r="G89" s="387">
        <v>0</v>
      </c>
      <c r="H89" s="387">
        <v>0</v>
      </c>
      <c r="I89" s="387">
        <v>0</v>
      </c>
      <c r="J89" s="387">
        <v>0</v>
      </c>
      <c r="K89" s="387">
        <v>0</v>
      </c>
      <c r="L89" s="387">
        <v>0</v>
      </c>
      <c r="M89" s="387">
        <v>0</v>
      </c>
      <c r="N89" s="388">
        <v>0</v>
      </c>
      <c r="O89" s="389">
        <v>0.11</v>
      </c>
      <c r="P89" s="387">
        <v>0</v>
      </c>
      <c r="Q89" s="387">
        <v>0</v>
      </c>
      <c r="R89" s="387">
        <v>0</v>
      </c>
      <c r="S89" s="387">
        <v>0</v>
      </c>
      <c r="T89" s="387">
        <v>0</v>
      </c>
      <c r="U89" s="387">
        <v>0</v>
      </c>
      <c r="V89" s="387">
        <v>0</v>
      </c>
      <c r="W89" s="387">
        <v>0</v>
      </c>
      <c r="X89" s="387">
        <v>0</v>
      </c>
      <c r="Y89" s="387">
        <v>0</v>
      </c>
      <c r="Z89" s="387">
        <v>0</v>
      </c>
      <c r="AA89" s="387">
        <v>0</v>
      </c>
      <c r="AB89" s="387">
        <v>0</v>
      </c>
      <c r="AC89" s="387">
        <v>0</v>
      </c>
      <c r="AD89" s="525">
        <v>0</v>
      </c>
      <c r="AE89" s="387">
        <v>0</v>
      </c>
      <c r="AF89" s="526">
        <f t="shared" si="51"/>
        <v>0</v>
      </c>
      <c r="AG89" s="526">
        <f t="shared" si="52"/>
        <v>0</v>
      </c>
      <c r="AH89" s="527">
        <f t="shared" si="49"/>
        <v>0</v>
      </c>
      <c r="AI89" s="525">
        <v>0</v>
      </c>
      <c r="AJ89" s="387">
        <v>0</v>
      </c>
      <c r="AK89" s="526">
        <f t="shared" si="53"/>
        <v>0</v>
      </c>
      <c r="AL89" s="526">
        <f t="shared" si="54"/>
        <v>0</v>
      </c>
      <c r="AM89" s="527">
        <f t="shared" si="50"/>
        <v>0</v>
      </c>
      <c r="AN89" s="387">
        <v>0</v>
      </c>
      <c r="AO89" s="387">
        <v>0</v>
      </c>
      <c r="AP89" s="73"/>
      <c r="AQ89" s="241">
        <v>0</v>
      </c>
      <c r="AR89" s="659">
        <v>0</v>
      </c>
    </row>
    <row r="90" spans="1:44">
      <c r="A90" s="236" t="s">
        <v>1652</v>
      </c>
      <c r="B90" s="236" t="s">
        <v>765</v>
      </c>
      <c r="C90" s="236" t="str">
        <f>CONCATENATE(B90," NORTHWEST ",A90)</f>
        <v>29801 NORTHWEST ESD 189</v>
      </c>
      <c r="D90" s="387">
        <v>0</v>
      </c>
      <c r="E90" s="387">
        <v>0</v>
      </c>
      <c r="F90" s="387">
        <v>0</v>
      </c>
      <c r="G90" s="387">
        <v>0</v>
      </c>
      <c r="H90" s="387">
        <v>0</v>
      </c>
      <c r="I90" s="387">
        <v>0</v>
      </c>
      <c r="J90" s="387">
        <v>0</v>
      </c>
      <c r="K90" s="387">
        <v>0</v>
      </c>
      <c r="L90" s="387">
        <v>0</v>
      </c>
      <c r="M90" s="387">
        <v>0</v>
      </c>
      <c r="N90" s="388">
        <v>0</v>
      </c>
      <c r="O90" s="389">
        <v>0.11</v>
      </c>
      <c r="P90" s="387">
        <v>0</v>
      </c>
      <c r="Q90" s="387">
        <v>0</v>
      </c>
      <c r="R90" s="387">
        <v>0</v>
      </c>
      <c r="S90" s="387">
        <v>587888.48</v>
      </c>
      <c r="T90" s="387">
        <v>7664.2999999999629</v>
      </c>
      <c r="U90" s="387">
        <v>18482.23</v>
      </c>
      <c r="V90" s="387">
        <v>0</v>
      </c>
      <c r="W90" s="387">
        <v>0</v>
      </c>
      <c r="X90" s="387">
        <v>0</v>
      </c>
      <c r="Y90" s="387">
        <v>0</v>
      </c>
      <c r="Z90" s="387">
        <v>0</v>
      </c>
      <c r="AA90" s="387">
        <v>0</v>
      </c>
      <c r="AB90" s="387">
        <v>0</v>
      </c>
      <c r="AC90" s="387">
        <v>0</v>
      </c>
      <c r="AD90" s="525">
        <v>0</v>
      </c>
      <c r="AE90" s="387">
        <v>0</v>
      </c>
      <c r="AF90" s="526">
        <f t="shared" si="51"/>
        <v>0</v>
      </c>
      <c r="AG90" s="526">
        <f t="shared" si="52"/>
        <v>0</v>
      </c>
      <c r="AH90" s="527">
        <f t="shared" si="49"/>
        <v>0</v>
      </c>
      <c r="AI90" s="525">
        <v>0</v>
      </c>
      <c r="AJ90" s="387">
        <v>0</v>
      </c>
      <c r="AK90" s="526">
        <f t="shared" si="53"/>
        <v>0</v>
      </c>
      <c r="AL90" s="526">
        <f t="shared" si="54"/>
        <v>0</v>
      </c>
      <c r="AM90" s="527">
        <f t="shared" si="50"/>
        <v>0</v>
      </c>
      <c r="AN90" s="387">
        <v>0</v>
      </c>
      <c r="AO90" s="387">
        <v>0</v>
      </c>
      <c r="AP90" s="73"/>
      <c r="AQ90" s="241">
        <v>0</v>
      </c>
      <c r="AR90" s="659">
        <v>0</v>
      </c>
    </row>
    <row r="91" spans="1:44">
      <c r="A91" s="236" t="s">
        <v>419</v>
      </c>
      <c r="B91" s="236" t="s">
        <v>418</v>
      </c>
      <c r="C91" s="236" t="str">
        <f t="shared" ref="C91:C117" si="55">CONCATENATE(B91," ",A91," SCHOOL DISTRICT")</f>
        <v>21036 EVALINE SCHOOL DISTRICT</v>
      </c>
      <c r="D91" s="387">
        <v>0</v>
      </c>
      <c r="E91" s="387">
        <v>0</v>
      </c>
      <c r="F91" s="387">
        <v>0</v>
      </c>
      <c r="G91" s="387">
        <v>61021.25</v>
      </c>
      <c r="H91" s="387">
        <v>3241.75</v>
      </c>
      <c r="I91" s="387">
        <v>18739.240000000002</v>
      </c>
      <c r="J91" s="387">
        <v>21772.18</v>
      </c>
      <c r="K91" s="387">
        <v>2665.47</v>
      </c>
      <c r="L91" s="387">
        <v>1624.79</v>
      </c>
      <c r="M91" s="387">
        <v>37733.83</v>
      </c>
      <c r="N91" s="388">
        <v>0.1628</v>
      </c>
      <c r="O91" s="389">
        <v>0.34670000000000001</v>
      </c>
      <c r="P91" s="387">
        <v>0</v>
      </c>
      <c r="Q91" s="387">
        <v>0</v>
      </c>
      <c r="R91" s="387">
        <v>0</v>
      </c>
      <c r="S91" s="387">
        <v>0</v>
      </c>
      <c r="T91" s="387">
        <v>0</v>
      </c>
      <c r="U91" s="387">
        <v>0</v>
      </c>
      <c r="V91" s="387">
        <v>0</v>
      </c>
      <c r="W91" s="387">
        <v>0</v>
      </c>
      <c r="X91" s="387">
        <v>0</v>
      </c>
      <c r="Y91" s="387">
        <v>61.36</v>
      </c>
      <c r="Z91" s="387">
        <v>0</v>
      </c>
      <c r="AA91" s="387">
        <v>0</v>
      </c>
      <c r="AB91" s="387">
        <v>0</v>
      </c>
      <c r="AC91" s="387">
        <v>0</v>
      </c>
      <c r="AD91" s="525">
        <v>0</v>
      </c>
      <c r="AE91" s="387">
        <v>0</v>
      </c>
      <c r="AF91" s="526">
        <f t="shared" si="51"/>
        <v>0</v>
      </c>
      <c r="AG91" s="526">
        <f t="shared" si="52"/>
        <v>0</v>
      </c>
      <c r="AH91" s="527">
        <f t="shared" si="49"/>
        <v>0</v>
      </c>
      <c r="AI91" s="525">
        <v>0</v>
      </c>
      <c r="AJ91" s="387">
        <v>0</v>
      </c>
      <c r="AK91" s="526">
        <f t="shared" si="53"/>
        <v>0</v>
      </c>
      <c r="AL91" s="526">
        <f t="shared" si="54"/>
        <v>0</v>
      </c>
      <c r="AM91" s="527">
        <f t="shared" si="50"/>
        <v>0</v>
      </c>
      <c r="AN91" s="387">
        <v>0</v>
      </c>
      <c r="AO91" s="387">
        <v>0</v>
      </c>
      <c r="AP91" s="73"/>
      <c r="AQ91" s="241">
        <v>0</v>
      </c>
      <c r="AR91" s="659">
        <v>7345.42</v>
      </c>
    </row>
    <row r="92" spans="1:44">
      <c r="A92" s="236" t="s">
        <v>565</v>
      </c>
      <c r="B92" s="236" t="s">
        <v>564</v>
      </c>
      <c r="C92" s="236" t="str">
        <f t="shared" si="55"/>
        <v>31002 EVERETT SCHOOL DISTRICT</v>
      </c>
      <c r="D92" s="387">
        <v>0</v>
      </c>
      <c r="E92" s="387">
        <v>592249.18000000005</v>
      </c>
      <c r="F92" s="387">
        <v>262068.21</v>
      </c>
      <c r="G92" s="387">
        <v>44108613.479999997</v>
      </c>
      <c r="H92" s="387">
        <v>8068727.6100000003</v>
      </c>
      <c r="I92" s="387">
        <v>3007567.64</v>
      </c>
      <c r="J92" s="387">
        <v>6991737.0099999998</v>
      </c>
      <c r="K92" s="387">
        <v>7951823.8399999999</v>
      </c>
      <c r="L92" s="387">
        <v>718269.97</v>
      </c>
      <c r="M92" s="387">
        <v>17509950.039999999</v>
      </c>
      <c r="N92" s="388">
        <v>2.8899999999999999E-2</v>
      </c>
      <c r="O92" s="389">
        <v>0.12520000000000001</v>
      </c>
      <c r="P92" s="387">
        <v>0</v>
      </c>
      <c r="Q92" s="387">
        <v>0</v>
      </c>
      <c r="R92" s="387">
        <v>0</v>
      </c>
      <c r="S92" s="387">
        <v>0</v>
      </c>
      <c r="T92" s="387">
        <v>0</v>
      </c>
      <c r="U92" s="387">
        <v>0</v>
      </c>
      <c r="V92" s="387">
        <v>0</v>
      </c>
      <c r="W92" s="387">
        <v>0</v>
      </c>
      <c r="X92" s="387">
        <v>0</v>
      </c>
      <c r="Y92" s="387">
        <v>10543.63</v>
      </c>
      <c r="Z92" s="387">
        <v>372996.19</v>
      </c>
      <c r="AA92" s="387">
        <v>820102.11</v>
      </c>
      <c r="AB92" s="387">
        <v>291830.24</v>
      </c>
      <c r="AC92" s="387">
        <v>13382519</v>
      </c>
      <c r="AD92" s="525">
        <v>1212.99</v>
      </c>
      <c r="AE92" s="387">
        <v>12632388.92</v>
      </c>
      <c r="AF92" s="526">
        <f t="shared" si="51"/>
        <v>10414.26</v>
      </c>
      <c r="AG92" s="526">
        <f t="shared" si="52"/>
        <v>11032.67</v>
      </c>
      <c r="AH92" s="527">
        <f t="shared" si="49"/>
        <v>618.41</v>
      </c>
      <c r="AI92" s="525">
        <v>27.14</v>
      </c>
      <c r="AJ92" s="387">
        <v>277888.64000000001</v>
      </c>
      <c r="AK92" s="526">
        <f t="shared" si="53"/>
        <v>10239.08</v>
      </c>
      <c r="AL92" s="526">
        <f t="shared" si="54"/>
        <v>10752.77</v>
      </c>
      <c r="AM92" s="527">
        <f t="shared" si="50"/>
        <v>513.69000000000005</v>
      </c>
      <c r="AN92" s="387">
        <v>20000</v>
      </c>
      <c r="AO92" s="387">
        <v>0</v>
      </c>
      <c r="AP92" s="73"/>
      <c r="AQ92" s="241">
        <v>1076169.6899999997</v>
      </c>
      <c r="AR92" s="659">
        <v>2628291.4499999993</v>
      </c>
    </row>
    <row r="93" spans="1:44">
      <c r="A93" s="236" t="s">
        <v>801</v>
      </c>
      <c r="B93" s="236" t="s">
        <v>222</v>
      </c>
      <c r="C93" s="236" t="str">
        <f t="shared" si="55"/>
        <v>06114 EVERGREEN (CLARK) SCHOOL DISTRICT</v>
      </c>
      <c r="D93" s="387">
        <v>0</v>
      </c>
      <c r="E93" s="387">
        <v>724583.08</v>
      </c>
      <c r="F93" s="387">
        <v>138769.42000000001</v>
      </c>
      <c r="G93" s="387">
        <v>45470477.93</v>
      </c>
      <c r="H93" s="387">
        <v>6871530.6799999997</v>
      </c>
      <c r="I93" s="387">
        <v>4679030.67</v>
      </c>
      <c r="J93" s="387">
        <v>9119972.9499999993</v>
      </c>
      <c r="K93" s="387">
        <v>7301583.8700000001</v>
      </c>
      <c r="L93" s="387">
        <v>746512.35</v>
      </c>
      <c r="M93" s="387">
        <v>19847693.390000001</v>
      </c>
      <c r="N93" s="388">
        <v>4.5400000000000003E-2</v>
      </c>
      <c r="O93" s="389">
        <v>0.12239999999999999</v>
      </c>
      <c r="P93" s="387">
        <v>0</v>
      </c>
      <c r="Q93" s="387">
        <v>0</v>
      </c>
      <c r="R93" s="387">
        <v>0</v>
      </c>
      <c r="S93" s="387">
        <v>0</v>
      </c>
      <c r="T93" s="387">
        <v>0</v>
      </c>
      <c r="U93" s="387">
        <v>0</v>
      </c>
      <c r="V93" s="387">
        <v>0</v>
      </c>
      <c r="W93" s="387">
        <v>0</v>
      </c>
      <c r="X93" s="387">
        <v>0</v>
      </c>
      <c r="Y93" s="387">
        <v>8416.16</v>
      </c>
      <c r="Z93" s="387">
        <v>144341.4</v>
      </c>
      <c r="AA93" s="387">
        <v>885716.89</v>
      </c>
      <c r="AB93" s="387">
        <v>1876793.71</v>
      </c>
      <c r="AC93" s="387">
        <v>20921425.719999999</v>
      </c>
      <c r="AD93" s="525">
        <v>2053.64</v>
      </c>
      <c r="AE93" s="387">
        <v>20193821.850000001</v>
      </c>
      <c r="AF93" s="526">
        <f t="shared" si="51"/>
        <v>9833.18</v>
      </c>
      <c r="AG93" s="526">
        <f t="shared" si="52"/>
        <v>10187.48</v>
      </c>
      <c r="AH93" s="527">
        <f t="shared" si="49"/>
        <v>354.3</v>
      </c>
      <c r="AI93" s="525">
        <v>184.92</v>
      </c>
      <c r="AJ93" s="387">
        <v>1785024.3</v>
      </c>
      <c r="AK93" s="526">
        <f t="shared" si="53"/>
        <v>9652.9500000000007</v>
      </c>
      <c r="AL93" s="526">
        <f t="shared" si="54"/>
        <v>10149.219999999999</v>
      </c>
      <c r="AM93" s="527">
        <f t="shared" si="50"/>
        <v>496.27</v>
      </c>
      <c r="AN93" s="387">
        <v>0</v>
      </c>
      <c r="AO93" s="387">
        <v>0</v>
      </c>
      <c r="AP93" s="73"/>
      <c r="AQ93" s="241">
        <v>0</v>
      </c>
      <c r="AR93" s="659">
        <v>2771419.2700000005</v>
      </c>
    </row>
    <row r="94" spans="1:44">
      <c r="A94" s="236" t="s">
        <v>804</v>
      </c>
      <c r="B94" s="236" t="s">
        <v>632</v>
      </c>
      <c r="C94" s="236" t="str">
        <f t="shared" si="55"/>
        <v>33205 EVERGREEN (STEVENS) SCHOOL DISTRICT</v>
      </c>
      <c r="D94" s="387">
        <v>0</v>
      </c>
      <c r="E94" s="387">
        <v>0</v>
      </c>
      <c r="F94" s="387">
        <v>0</v>
      </c>
      <c r="G94" s="387">
        <v>38402.47</v>
      </c>
      <c r="H94" s="387">
        <v>2152.08</v>
      </c>
      <c r="I94" s="387">
        <v>11048.57</v>
      </c>
      <c r="J94" s="387">
        <v>24046.89</v>
      </c>
      <c r="K94" s="387">
        <v>0</v>
      </c>
      <c r="L94" s="387">
        <v>0</v>
      </c>
      <c r="M94" s="387">
        <v>0</v>
      </c>
      <c r="N94" s="388">
        <v>6.6799999999999998E-2</v>
      </c>
      <c r="O94" s="389">
        <v>0.2767</v>
      </c>
      <c r="P94" s="387">
        <v>0</v>
      </c>
      <c r="Q94" s="387">
        <v>0</v>
      </c>
      <c r="R94" s="387">
        <v>0</v>
      </c>
      <c r="S94" s="387">
        <v>0</v>
      </c>
      <c r="T94" s="387">
        <v>0</v>
      </c>
      <c r="U94" s="387">
        <v>0</v>
      </c>
      <c r="V94" s="387">
        <v>0</v>
      </c>
      <c r="W94" s="387">
        <v>0</v>
      </c>
      <c r="X94" s="387">
        <v>0</v>
      </c>
      <c r="Y94" s="387">
        <v>0</v>
      </c>
      <c r="Z94" s="387">
        <v>0</v>
      </c>
      <c r="AA94" s="387">
        <v>0</v>
      </c>
      <c r="AB94" s="387">
        <v>0</v>
      </c>
      <c r="AC94" s="387">
        <v>0</v>
      </c>
      <c r="AD94" s="525">
        <v>0</v>
      </c>
      <c r="AE94" s="387">
        <v>0</v>
      </c>
      <c r="AF94" s="526">
        <f t="shared" si="51"/>
        <v>0</v>
      </c>
      <c r="AG94" s="526">
        <f t="shared" si="52"/>
        <v>0</v>
      </c>
      <c r="AH94" s="527">
        <f t="shared" si="49"/>
        <v>0</v>
      </c>
      <c r="AI94" s="525">
        <v>0</v>
      </c>
      <c r="AJ94" s="387">
        <v>0</v>
      </c>
      <c r="AK94" s="526">
        <f t="shared" si="53"/>
        <v>0</v>
      </c>
      <c r="AL94" s="526">
        <f t="shared" si="54"/>
        <v>0</v>
      </c>
      <c r="AM94" s="527">
        <f t="shared" si="50"/>
        <v>0</v>
      </c>
      <c r="AN94" s="387">
        <v>0</v>
      </c>
      <c r="AO94" s="387">
        <v>0</v>
      </c>
      <c r="AP94" s="73"/>
      <c r="AQ94" s="241">
        <v>328.38000000000011</v>
      </c>
      <c r="AR94" s="659">
        <v>5074.83</v>
      </c>
    </row>
    <row r="95" spans="1:44">
      <c r="A95" s="236" t="s">
        <v>341</v>
      </c>
      <c r="B95" s="236" t="s">
        <v>340</v>
      </c>
      <c r="C95" s="236" t="str">
        <f t="shared" si="55"/>
        <v>17210 FEDERAL WAY SCHOOL DISTRICT</v>
      </c>
      <c r="D95" s="387">
        <v>0</v>
      </c>
      <c r="E95" s="387">
        <v>0</v>
      </c>
      <c r="F95" s="387">
        <v>1600.19</v>
      </c>
      <c r="G95" s="387">
        <v>43470731.460000001</v>
      </c>
      <c r="H95" s="387">
        <v>8136591.4100000001</v>
      </c>
      <c r="I95" s="387">
        <v>7222000.7199999997</v>
      </c>
      <c r="J95" s="387">
        <v>11447142.029999999</v>
      </c>
      <c r="K95" s="387">
        <v>12951967.49</v>
      </c>
      <c r="L95" s="387">
        <v>729482.95</v>
      </c>
      <c r="M95" s="387">
        <v>16868261.41</v>
      </c>
      <c r="N95" s="388">
        <v>3.4599999999999999E-2</v>
      </c>
      <c r="O95" s="389">
        <v>0.1605</v>
      </c>
      <c r="P95" s="387">
        <v>0</v>
      </c>
      <c r="Q95" s="387">
        <v>0</v>
      </c>
      <c r="R95" s="387">
        <v>0</v>
      </c>
      <c r="S95" s="387">
        <v>0</v>
      </c>
      <c r="T95" s="387">
        <v>0</v>
      </c>
      <c r="U95" s="387">
        <v>0</v>
      </c>
      <c r="V95" s="387">
        <v>0</v>
      </c>
      <c r="W95" s="387">
        <v>0</v>
      </c>
      <c r="X95" s="387">
        <v>0</v>
      </c>
      <c r="Y95" s="387">
        <v>22305.5</v>
      </c>
      <c r="Z95" s="387">
        <v>0</v>
      </c>
      <c r="AA95" s="387">
        <v>44087.75</v>
      </c>
      <c r="AB95" s="387">
        <v>1236926.02</v>
      </c>
      <c r="AC95" s="387">
        <v>13628986.279999999</v>
      </c>
      <c r="AD95" s="525">
        <v>1242.1500000000001</v>
      </c>
      <c r="AE95" s="387">
        <v>12460717.9</v>
      </c>
      <c r="AF95" s="526">
        <f t="shared" si="51"/>
        <v>10031.57</v>
      </c>
      <c r="AG95" s="526">
        <f t="shared" si="52"/>
        <v>10972.09</v>
      </c>
      <c r="AH95" s="527">
        <f t="shared" si="49"/>
        <v>940.52</v>
      </c>
      <c r="AI95" s="525">
        <v>119.49</v>
      </c>
      <c r="AJ95" s="387">
        <v>1177341.8999999999</v>
      </c>
      <c r="AK95" s="526">
        <f t="shared" si="53"/>
        <v>9853.06</v>
      </c>
      <c r="AL95" s="526">
        <f t="shared" si="54"/>
        <v>10351.709999999999</v>
      </c>
      <c r="AM95" s="527">
        <f t="shared" si="50"/>
        <v>498.65</v>
      </c>
      <c r="AN95" s="387">
        <v>0</v>
      </c>
      <c r="AO95" s="387">
        <v>0</v>
      </c>
      <c r="AP95" s="73"/>
      <c r="AQ95" s="241">
        <v>0</v>
      </c>
      <c r="AR95" s="659">
        <v>2829938.8800000004</v>
      </c>
    </row>
    <row r="96" spans="1:44">
      <c r="A96" s="236" t="s">
        <v>674</v>
      </c>
      <c r="B96" s="236" t="s">
        <v>673</v>
      </c>
      <c r="C96" s="236" t="str">
        <f t="shared" si="55"/>
        <v>37502 FERNDALE SCHOOL DISTRICT</v>
      </c>
      <c r="D96" s="387">
        <v>0</v>
      </c>
      <c r="E96" s="387">
        <v>48542.720000000001</v>
      </c>
      <c r="F96" s="387">
        <v>0</v>
      </c>
      <c r="G96" s="387">
        <v>9860672.7300000004</v>
      </c>
      <c r="H96" s="387">
        <v>1461833.48</v>
      </c>
      <c r="I96" s="387">
        <v>976124.26</v>
      </c>
      <c r="J96" s="387">
        <v>1744397.63</v>
      </c>
      <c r="K96" s="387">
        <v>934552.67</v>
      </c>
      <c r="L96" s="387">
        <v>150304.44</v>
      </c>
      <c r="M96" s="387">
        <v>3739570.34</v>
      </c>
      <c r="N96" s="388">
        <v>4.3700000000000003E-2</v>
      </c>
      <c r="O96" s="389">
        <v>0.16750000000000001</v>
      </c>
      <c r="P96" s="387">
        <v>0</v>
      </c>
      <c r="Q96" s="387">
        <v>0</v>
      </c>
      <c r="R96" s="387">
        <v>0</v>
      </c>
      <c r="S96" s="387">
        <v>0</v>
      </c>
      <c r="T96" s="387">
        <v>0</v>
      </c>
      <c r="U96" s="387">
        <v>0</v>
      </c>
      <c r="V96" s="387">
        <v>0</v>
      </c>
      <c r="W96" s="387">
        <v>0</v>
      </c>
      <c r="X96" s="387">
        <v>0</v>
      </c>
      <c r="Y96" s="387">
        <v>5092.76</v>
      </c>
      <c r="Z96" s="387">
        <v>0</v>
      </c>
      <c r="AA96" s="387">
        <v>70082.36</v>
      </c>
      <c r="AB96" s="387">
        <v>287570.7</v>
      </c>
      <c r="AC96" s="387">
        <v>3930325.94</v>
      </c>
      <c r="AD96" s="525">
        <v>371.72</v>
      </c>
      <c r="AE96" s="387">
        <v>3586687.59</v>
      </c>
      <c r="AF96" s="526">
        <f t="shared" si="51"/>
        <v>9648.9</v>
      </c>
      <c r="AG96" s="526">
        <f t="shared" si="52"/>
        <v>10573.35</v>
      </c>
      <c r="AH96" s="527">
        <f t="shared" si="49"/>
        <v>924.45</v>
      </c>
      <c r="AI96" s="525">
        <v>28.89</v>
      </c>
      <c r="AJ96" s="387">
        <v>273391.13</v>
      </c>
      <c r="AK96" s="526">
        <f t="shared" si="53"/>
        <v>9463.18</v>
      </c>
      <c r="AL96" s="526">
        <f t="shared" si="54"/>
        <v>9953.99</v>
      </c>
      <c r="AM96" s="527">
        <f t="shared" si="50"/>
        <v>490.81</v>
      </c>
      <c r="AN96" s="387">
        <v>0</v>
      </c>
      <c r="AO96" s="387">
        <v>0</v>
      </c>
      <c r="AP96" s="73"/>
      <c r="AQ96" s="241">
        <v>0</v>
      </c>
      <c r="AR96" s="659">
        <v>547944.95000000007</v>
      </c>
    </row>
    <row r="97" spans="1:44">
      <c r="A97" s="236" t="s">
        <v>534</v>
      </c>
      <c r="B97" s="236" t="s">
        <v>533</v>
      </c>
      <c r="C97" s="236" t="str">
        <f t="shared" si="55"/>
        <v>27417 FIFE SCHOOL DISTRICT</v>
      </c>
      <c r="D97" s="387">
        <v>0</v>
      </c>
      <c r="E97" s="387">
        <v>0</v>
      </c>
      <c r="F97" s="387">
        <v>596.66999999999996</v>
      </c>
      <c r="G97" s="387">
        <v>6634837.5599999996</v>
      </c>
      <c r="H97" s="387">
        <v>1255460.8899999999</v>
      </c>
      <c r="I97" s="387">
        <v>838187.86</v>
      </c>
      <c r="J97" s="387">
        <v>1441864.9</v>
      </c>
      <c r="K97" s="387">
        <v>1431116.3</v>
      </c>
      <c r="L97" s="387">
        <v>133339.92000000001</v>
      </c>
      <c r="M97" s="387">
        <v>3235016.87</v>
      </c>
      <c r="N97" s="388">
        <v>2.87E-2</v>
      </c>
      <c r="O97" s="389">
        <v>0.14499999999999999</v>
      </c>
      <c r="P97" s="387">
        <v>0</v>
      </c>
      <c r="Q97" s="387">
        <v>0</v>
      </c>
      <c r="R97" s="387">
        <v>0</v>
      </c>
      <c r="S97" s="387">
        <v>0</v>
      </c>
      <c r="T97" s="387">
        <v>0</v>
      </c>
      <c r="U97" s="387">
        <v>0</v>
      </c>
      <c r="V97" s="387">
        <v>0</v>
      </c>
      <c r="W97" s="387">
        <v>0</v>
      </c>
      <c r="X97" s="387">
        <v>0</v>
      </c>
      <c r="Y97" s="387">
        <v>2748.86</v>
      </c>
      <c r="Z97" s="387">
        <v>6179.11</v>
      </c>
      <c r="AA97" s="387">
        <v>115248.7</v>
      </c>
      <c r="AB97" s="387">
        <v>677586</v>
      </c>
      <c r="AC97" s="387">
        <v>3392796.38</v>
      </c>
      <c r="AD97" s="525">
        <v>315.93</v>
      </c>
      <c r="AE97" s="387">
        <v>3169194.72</v>
      </c>
      <c r="AF97" s="526">
        <f t="shared" si="51"/>
        <v>10031.32</v>
      </c>
      <c r="AG97" s="526">
        <f t="shared" si="52"/>
        <v>10739.08</v>
      </c>
      <c r="AH97" s="527">
        <f t="shared" si="49"/>
        <v>707.76</v>
      </c>
      <c r="AI97" s="525">
        <v>65.459999999999994</v>
      </c>
      <c r="AJ97" s="387">
        <v>644959.81999999995</v>
      </c>
      <c r="AK97" s="526">
        <f t="shared" si="53"/>
        <v>9852.73</v>
      </c>
      <c r="AL97" s="526">
        <f t="shared" si="54"/>
        <v>10351.15</v>
      </c>
      <c r="AM97" s="527">
        <f t="shared" si="50"/>
        <v>498.42</v>
      </c>
      <c r="AN97" s="387">
        <v>0</v>
      </c>
      <c r="AO97" s="387">
        <v>0</v>
      </c>
      <c r="AP97" s="73"/>
      <c r="AQ97" s="241">
        <v>0</v>
      </c>
      <c r="AR97" s="659">
        <v>465123.73000000004</v>
      </c>
    </row>
    <row r="98" spans="1:44">
      <c r="A98" s="236" t="s">
        <v>184</v>
      </c>
      <c r="B98" s="236" t="s">
        <v>183</v>
      </c>
      <c r="C98" s="236" t="str">
        <f t="shared" si="55"/>
        <v>03053 FINLEY SCHOOL DISTRICT</v>
      </c>
      <c r="D98" s="387">
        <v>0</v>
      </c>
      <c r="E98" s="387">
        <v>7929.7</v>
      </c>
      <c r="F98" s="387">
        <v>18249.599999999999</v>
      </c>
      <c r="G98" s="387">
        <v>1391278.74</v>
      </c>
      <c r="H98" s="387">
        <v>264381.56</v>
      </c>
      <c r="I98" s="387">
        <v>271664.81</v>
      </c>
      <c r="J98" s="387">
        <v>426669.72</v>
      </c>
      <c r="K98" s="387">
        <v>309727.28999999998</v>
      </c>
      <c r="L98" s="387">
        <v>26754.86</v>
      </c>
      <c r="M98" s="387">
        <v>712618.5</v>
      </c>
      <c r="N98" s="388">
        <v>3.2800000000000003E-2</v>
      </c>
      <c r="O98" s="389">
        <v>0.18859999999999999</v>
      </c>
      <c r="P98" s="387">
        <v>0</v>
      </c>
      <c r="Q98" s="387">
        <v>0</v>
      </c>
      <c r="R98" s="387">
        <v>0</v>
      </c>
      <c r="S98" s="387">
        <v>0</v>
      </c>
      <c r="T98" s="387">
        <v>0</v>
      </c>
      <c r="U98" s="387">
        <v>0</v>
      </c>
      <c r="V98" s="387">
        <v>0</v>
      </c>
      <c r="W98" s="387">
        <v>0</v>
      </c>
      <c r="X98" s="387">
        <v>0</v>
      </c>
      <c r="Y98" s="387">
        <v>1001.82</v>
      </c>
      <c r="Z98" s="387">
        <v>3608.08</v>
      </c>
      <c r="AA98" s="387">
        <v>49140.29</v>
      </c>
      <c r="AB98" s="387">
        <v>49706.39</v>
      </c>
      <c r="AC98" s="387">
        <v>714852.07</v>
      </c>
      <c r="AD98" s="525">
        <v>73.39</v>
      </c>
      <c r="AE98" s="387">
        <v>679987.67</v>
      </c>
      <c r="AF98" s="526">
        <f t="shared" si="51"/>
        <v>9265.4</v>
      </c>
      <c r="AG98" s="526">
        <f t="shared" si="52"/>
        <v>9740.4599999999991</v>
      </c>
      <c r="AH98" s="527">
        <f t="shared" si="49"/>
        <v>475.06</v>
      </c>
      <c r="AI98" s="525">
        <v>5.21</v>
      </c>
      <c r="AJ98" s="387">
        <v>47286.97</v>
      </c>
      <c r="AK98" s="526">
        <f t="shared" si="53"/>
        <v>9076.19</v>
      </c>
      <c r="AL98" s="526">
        <f t="shared" si="54"/>
        <v>9540.57</v>
      </c>
      <c r="AM98" s="527">
        <f t="shared" si="50"/>
        <v>464.38</v>
      </c>
      <c r="AN98" s="387">
        <v>0</v>
      </c>
      <c r="AO98" s="387">
        <v>0</v>
      </c>
      <c r="AP98" s="73"/>
      <c r="AQ98" s="241">
        <v>206928.02</v>
      </c>
      <c r="AR98" s="659">
        <v>100143.02000000002</v>
      </c>
    </row>
    <row r="99" spans="1:44">
      <c r="A99" s="236" t="s">
        <v>526</v>
      </c>
      <c r="B99" s="236" t="s">
        <v>525</v>
      </c>
      <c r="C99" s="236" t="str">
        <f t="shared" si="55"/>
        <v>27402 FRANKLIN PIERCE SCHOOL DISTRICT</v>
      </c>
      <c r="D99" s="387">
        <v>0</v>
      </c>
      <c r="E99" s="387">
        <v>0</v>
      </c>
      <c r="F99" s="387">
        <v>0</v>
      </c>
      <c r="G99" s="387">
        <v>14797025.68</v>
      </c>
      <c r="H99" s="387">
        <v>2991971.83</v>
      </c>
      <c r="I99" s="387">
        <v>2356782.84</v>
      </c>
      <c r="J99" s="387">
        <v>3710320.52</v>
      </c>
      <c r="K99" s="387">
        <v>2121699.25</v>
      </c>
      <c r="L99" s="387">
        <v>226653.18</v>
      </c>
      <c r="M99" s="387">
        <v>6389807.4199999999</v>
      </c>
      <c r="N99" s="388">
        <v>3.5200000000000002E-2</v>
      </c>
      <c r="O99" s="389">
        <v>0.1202</v>
      </c>
      <c r="P99" s="387">
        <v>0</v>
      </c>
      <c r="Q99" s="387">
        <v>0</v>
      </c>
      <c r="R99" s="387">
        <v>0</v>
      </c>
      <c r="S99" s="387">
        <v>0</v>
      </c>
      <c r="T99" s="387">
        <v>0</v>
      </c>
      <c r="U99" s="387">
        <v>0</v>
      </c>
      <c r="V99" s="387">
        <v>0</v>
      </c>
      <c r="W99" s="387">
        <v>0</v>
      </c>
      <c r="X99" s="387">
        <v>0</v>
      </c>
      <c r="Y99" s="387">
        <v>7807.04</v>
      </c>
      <c r="Z99" s="387">
        <v>0</v>
      </c>
      <c r="AA99" s="387">
        <v>0</v>
      </c>
      <c r="AB99" s="387">
        <v>1188086.3500000001</v>
      </c>
      <c r="AC99" s="387">
        <v>4185122.03</v>
      </c>
      <c r="AD99" s="525">
        <v>412.55</v>
      </c>
      <c r="AE99" s="387">
        <v>3980585.91</v>
      </c>
      <c r="AF99" s="526">
        <f t="shared" si="51"/>
        <v>9648.74</v>
      </c>
      <c r="AG99" s="526">
        <f t="shared" si="52"/>
        <v>10144.52</v>
      </c>
      <c r="AH99" s="527">
        <f t="shared" si="49"/>
        <v>495.78</v>
      </c>
      <c r="AI99" s="525">
        <v>119.41</v>
      </c>
      <c r="AJ99" s="387">
        <v>1130693.79</v>
      </c>
      <c r="AK99" s="526">
        <f t="shared" si="53"/>
        <v>9469</v>
      </c>
      <c r="AL99" s="526">
        <f t="shared" si="54"/>
        <v>9949.64</v>
      </c>
      <c r="AM99" s="527">
        <f t="shared" si="50"/>
        <v>480.64</v>
      </c>
      <c r="AN99" s="387">
        <v>0</v>
      </c>
      <c r="AO99" s="387">
        <v>0</v>
      </c>
      <c r="AP99" s="73"/>
      <c r="AQ99" s="241">
        <v>0</v>
      </c>
      <c r="AR99" s="659">
        <v>865444.99000000011</v>
      </c>
    </row>
    <row r="100" spans="1:44">
      <c r="A100" s="236" t="s">
        <v>607</v>
      </c>
      <c r="B100" s="236" t="s">
        <v>606</v>
      </c>
      <c r="C100" s="236" t="str">
        <f t="shared" si="55"/>
        <v>32358 FREEMAN SCHOOL DISTRICT</v>
      </c>
      <c r="D100" s="387">
        <v>0</v>
      </c>
      <c r="E100" s="387">
        <v>0</v>
      </c>
      <c r="F100" s="387">
        <v>0</v>
      </c>
      <c r="G100" s="387">
        <v>1322813.8</v>
      </c>
      <c r="H100" s="387">
        <v>186439.89</v>
      </c>
      <c r="I100" s="387">
        <v>0</v>
      </c>
      <c r="J100" s="387">
        <v>148475.12</v>
      </c>
      <c r="K100" s="387">
        <v>7610.53</v>
      </c>
      <c r="L100" s="387">
        <v>26669.5</v>
      </c>
      <c r="M100" s="387">
        <v>1056706.19</v>
      </c>
      <c r="N100" s="388">
        <v>3.2899999999999999E-2</v>
      </c>
      <c r="O100" s="389">
        <v>0.222</v>
      </c>
      <c r="P100" s="387">
        <v>0</v>
      </c>
      <c r="Q100" s="387">
        <v>0</v>
      </c>
      <c r="R100" s="387">
        <v>0</v>
      </c>
      <c r="S100" s="387">
        <v>0</v>
      </c>
      <c r="T100" s="387">
        <v>0</v>
      </c>
      <c r="U100" s="387">
        <v>0</v>
      </c>
      <c r="V100" s="387">
        <v>0</v>
      </c>
      <c r="W100" s="387">
        <v>0</v>
      </c>
      <c r="X100" s="387">
        <v>0</v>
      </c>
      <c r="Y100" s="387">
        <v>991.78</v>
      </c>
      <c r="Z100" s="387">
        <v>0</v>
      </c>
      <c r="AA100" s="387">
        <v>0</v>
      </c>
      <c r="AB100" s="387">
        <v>254397.56</v>
      </c>
      <c r="AC100" s="387">
        <v>1081853.02</v>
      </c>
      <c r="AD100" s="525">
        <v>110.03</v>
      </c>
      <c r="AE100" s="387">
        <v>1039921.76</v>
      </c>
      <c r="AF100" s="526">
        <f t="shared" si="51"/>
        <v>9451.26</v>
      </c>
      <c r="AG100" s="526">
        <f t="shared" si="52"/>
        <v>9832.35</v>
      </c>
      <c r="AH100" s="527">
        <f t="shared" si="49"/>
        <v>381.09</v>
      </c>
      <c r="AI100" s="525">
        <v>26.08</v>
      </c>
      <c r="AJ100" s="387">
        <v>241855.63</v>
      </c>
      <c r="AK100" s="526">
        <f t="shared" si="53"/>
        <v>9273.61</v>
      </c>
      <c r="AL100" s="526">
        <f t="shared" si="54"/>
        <v>9754.51</v>
      </c>
      <c r="AM100" s="527">
        <f t="shared" si="50"/>
        <v>480.9</v>
      </c>
      <c r="AN100" s="387">
        <v>0</v>
      </c>
      <c r="AO100" s="387">
        <v>0</v>
      </c>
      <c r="AP100" s="73"/>
      <c r="AQ100" s="241">
        <v>0</v>
      </c>
      <c r="AR100" s="659">
        <v>94290.050000000017</v>
      </c>
    </row>
    <row r="101" spans="1:44">
      <c r="A101" s="236" t="s">
        <v>698</v>
      </c>
      <c r="B101" s="236" t="s">
        <v>697</v>
      </c>
      <c r="C101" s="236" t="str">
        <f t="shared" si="55"/>
        <v>38302 GARFIELD SCHOOL DISTRICT</v>
      </c>
      <c r="D101" s="387">
        <v>0</v>
      </c>
      <c r="E101" s="387">
        <v>0</v>
      </c>
      <c r="F101" s="387">
        <v>0</v>
      </c>
      <c r="G101" s="387">
        <v>225047.94</v>
      </c>
      <c r="H101" s="387">
        <v>26337.31</v>
      </c>
      <c r="I101" s="387">
        <v>14839.74</v>
      </c>
      <c r="J101" s="387">
        <v>45927.39</v>
      </c>
      <c r="K101" s="387">
        <v>0</v>
      </c>
      <c r="L101" s="387">
        <v>0</v>
      </c>
      <c r="M101" s="387">
        <v>456836.21</v>
      </c>
      <c r="N101" s="388">
        <v>3.7600000000000001E-2</v>
      </c>
      <c r="O101" s="389">
        <v>0.28110000000000002</v>
      </c>
      <c r="P101" s="387">
        <v>0</v>
      </c>
      <c r="Q101" s="387">
        <v>0</v>
      </c>
      <c r="R101" s="387">
        <v>0</v>
      </c>
      <c r="S101" s="387">
        <v>0</v>
      </c>
      <c r="T101" s="387">
        <v>0</v>
      </c>
      <c r="U101" s="387">
        <v>0</v>
      </c>
      <c r="V101" s="387">
        <v>0</v>
      </c>
      <c r="W101" s="387">
        <v>0</v>
      </c>
      <c r="X101" s="387">
        <v>0</v>
      </c>
      <c r="Y101" s="387">
        <v>0</v>
      </c>
      <c r="Z101" s="387">
        <v>0</v>
      </c>
      <c r="AA101" s="387">
        <v>8639.08</v>
      </c>
      <c r="AB101" s="387">
        <v>0</v>
      </c>
      <c r="AC101" s="387">
        <v>90420.87</v>
      </c>
      <c r="AD101" s="525">
        <v>9.39</v>
      </c>
      <c r="AE101" s="387">
        <v>86945.78</v>
      </c>
      <c r="AF101" s="526">
        <f t="shared" si="51"/>
        <v>9259.4</v>
      </c>
      <c r="AG101" s="526">
        <f t="shared" si="52"/>
        <v>9629.49</v>
      </c>
      <c r="AH101" s="527">
        <f t="shared" si="49"/>
        <v>370.09</v>
      </c>
      <c r="AI101" s="525">
        <v>0</v>
      </c>
      <c r="AJ101" s="387">
        <v>0</v>
      </c>
      <c r="AK101" s="526">
        <f t="shared" si="53"/>
        <v>0</v>
      </c>
      <c r="AL101" s="526">
        <f t="shared" si="54"/>
        <v>0</v>
      </c>
      <c r="AM101" s="527">
        <f t="shared" si="50"/>
        <v>0</v>
      </c>
      <c r="AN101" s="387">
        <v>0</v>
      </c>
      <c r="AO101" s="387">
        <v>0</v>
      </c>
      <c r="AP101" s="73"/>
      <c r="AQ101" s="241">
        <v>54681.850000000006</v>
      </c>
      <c r="AR101" s="659">
        <v>23493.960000000003</v>
      </c>
    </row>
    <row r="102" spans="1:44">
      <c r="A102" s="236" t="s">
        <v>405</v>
      </c>
      <c r="B102" s="236" t="s">
        <v>404</v>
      </c>
      <c r="C102" s="236" t="str">
        <f t="shared" si="55"/>
        <v>20401 GLENWOOD SCHOOL DISTRICT</v>
      </c>
      <c r="D102" s="387">
        <v>0</v>
      </c>
      <c r="E102" s="387">
        <v>1231.9100000000001</v>
      </c>
      <c r="F102" s="387">
        <v>0</v>
      </c>
      <c r="G102" s="387">
        <v>0</v>
      </c>
      <c r="H102" s="387">
        <v>0</v>
      </c>
      <c r="I102" s="387">
        <v>8852.4699999999993</v>
      </c>
      <c r="J102" s="387">
        <v>17368.78</v>
      </c>
      <c r="K102" s="387">
        <v>0</v>
      </c>
      <c r="L102" s="387">
        <v>0</v>
      </c>
      <c r="M102" s="387">
        <v>129847.6</v>
      </c>
      <c r="N102" s="388">
        <v>6.4799999999999996E-2</v>
      </c>
      <c r="O102" s="389">
        <v>0.2878</v>
      </c>
      <c r="P102" s="387">
        <v>0</v>
      </c>
      <c r="Q102" s="387">
        <v>0</v>
      </c>
      <c r="R102" s="387">
        <v>0</v>
      </c>
      <c r="S102" s="387">
        <v>0</v>
      </c>
      <c r="T102" s="387">
        <v>0</v>
      </c>
      <c r="U102" s="387">
        <v>0</v>
      </c>
      <c r="V102" s="387">
        <v>0</v>
      </c>
      <c r="W102" s="387">
        <v>0</v>
      </c>
      <c r="X102" s="387">
        <v>0</v>
      </c>
      <c r="Y102" s="387">
        <v>0</v>
      </c>
      <c r="Z102" s="387">
        <v>0</v>
      </c>
      <c r="AA102" s="387">
        <v>0</v>
      </c>
      <c r="AB102" s="387">
        <v>0</v>
      </c>
      <c r="AC102" s="387">
        <v>0</v>
      </c>
      <c r="AD102" s="525">
        <v>0</v>
      </c>
      <c r="AE102" s="387">
        <v>0</v>
      </c>
      <c r="AF102" s="526">
        <f t="shared" si="51"/>
        <v>0</v>
      </c>
      <c r="AG102" s="526">
        <f t="shared" si="52"/>
        <v>0</v>
      </c>
      <c r="AH102" s="527">
        <f t="shared" si="49"/>
        <v>0</v>
      </c>
      <c r="AI102" s="525">
        <v>0</v>
      </c>
      <c r="AJ102" s="387">
        <v>0</v>
      </c>
      <c r="AK102" s="526">
        <f t="shared" si="53"/>
        <v>0</v>
      </c>
      <c r="AL102" s="526">
        <f t="shared" si="54"/>
        <v>0</v>
      </c>
      <c r="AM102" s="527">
        <f t="shared" si="50"/>
        <v>0</v>
      </c>
      <c r="AN102" s="387">
        <v>0</v>
      </c>
      <c r="AO102" s="387">
        <v>0</v>
      </c>
      <c r="AP102" s="73"/>
      <c r="AQ102" s="241">
        <v>49078.81</v>
      </c>
      <c r="AR102" s="659">
        <v>20568.7</v>
      </c>
    </row>
    <row r="103" spans="1:44">
      <c r="A103" s="236" t="s">
        <v>411</v>
      </c>
      <c r="B103" s="236" t="s">
        <v>410</v>
      </c>
      <c r="C103" s="236" t="str">
        <f t="shared" si="55"/>
        <v>20404 GOLDENDALE SCHOOL DISTRICT</v>
      </c>
      <c r="D103" s="387">
        <v>0</v>
      </c>
      <c r="E103" s="387">
        <v>0</v>
      </c>
      <c r="F103" s="387">
        <v>0</v>
      </c>
      <c r="G103" s="387">
        <v>0</v>
      </c>
      <c r="H103" s="387">
        <v>0</v>
      </c>
      <c r="I103" s="387">
        <v>273072.94</v>
      </c>
      <c r="J103" s="387">
        <v>979639.73</v>
      </c>
      <c r="K103" s="387">
        <v>233708.16</v>
      </c>
      <c r="L103" s="387">
        <v>91854.76</v>
      </c>
      <c r="M103" s="387">
        <v>699251.69</v>
      </c>
      <c r="N103" s="388">
        <v>7.2999999999999995E-2</v>
      </c>
      <c r="O103" s="389">
        <v>7.4899999999999994E-2</v>
      </c>
      <c r="P103" s="387">
        <v>0</v>
      </c>
      <c r="Q103" s="387">
        <v>0</v>
      </c>
      <c r="R103" s="387">
        <v>0</v>
      </c>
      <c r="S103" s="387">
        <v>0</v>
      </c>
      <c r="T103" s="387">
        <v>0</v>
      </c>
      <c r="U103" s="387">
        <v>0</v>
      </c>
      <c r="V103" s="387">
        <v>0</v>
      </c>
      <c r="W103" s="387">
        <v>0</v>
      </c>
      <c r="X103" s="387">
        <v>0</v>
      </c>
      <c r="Y103" s="387">
        <v>0</v>
      </c>
      <c r="Z103" s="387">
        <v>18752.080000000002</v>
      </c>
      <c r="AA103" s="387">
        <v>0</v>
      </c>
      <c r="AB103" s="387">
        <v>147752.87</v>
      </c>
      <c r="AC103" s="387">
        <v>954064.51</v>
      </c>
      <c r="AD103" s="525">
        <v>87.59</v>
      </c>
      <c r="AE103" s="387">
        <v>811489.86</v>
      </c>
      <c r="AF103" s="526">
        <f t="shared" si="51"/>
        <v>9264.64</v>
      </c>
      <c r="AG103" s="526">
        <f t="shared" si="52"/>
        <v>10892.39</v>
      </c>
      <c r="AH103" s="527">
        <f t="shared" si="49"/>
        <v>1627.75</v>
      </c>
      <c r="AI103" s="525">
        <v>15.47</v>
      </c>
      <c r="AJ103" s="387">
        <v>140525.54</v>
      </c>
      <c r="AK103" s="526">
        <f t="shared" si="53"/>
        <v>9083.75</v>
      </c>
      <c r="AL103" s="526">
        <f t="shared" si="54"/>
        <v>9550.93</v>
      </c>
      <c r="AM103" s="527">
        <f t="shared" si="50"/>
        <v>467.18</v>
      </c>
      <c r="AN103" s="387">
        <v>0</v>
      </c>
      <c r="AO103" s="387">
        <v>0</v>
      </c>
      <c r="AP103" s="73"/>
      <c r="AQ103" s="241">
        <v>0</v>
      </c>
      <c r="AR103" s="659">
        <v>97149.54</v>
      </c>
    </row>
    <row r="104" spans="1:44">
      <c r="A104" s="236" t="s">
        <v>296</v>
      </c>
      <c r="B104" s="236" t="s">
        <v>295</v>
      </c>
      <c r="C104" s="236" t="str">
        <f t="shared" si="55"/>
        <v>13301 GRAND COULEE DAM SCHOOL DISTRICT</v>
      </c>
      <c r="D104" s="387">
        <v>0</v>
      </c>
      <c r="E104" s="387">
        <v>34919.18</v>
      </c>
      <c r="F104" s="387">
        <v>19702.509999999998</v>
      </c>
      <c r="G104" s="387">
        <v>1012289.8</v>
      </c>
      <c r="H104" s="387">
        <v>165717.6</v>
      </c>
      <c r="I104" s="387">
        <v>223029.43</v>
      </c>
      <c r="J104" s="387">
        <v>357345.37</v>
      </c>
      <c r="K104" s="387">
        <v>0</v>
      </c>
      <c r="L104" s="387">
        <v>20472.349999999999</v>
      </c>
      <c r="M104" s="387">
        <v>593166.80000000005</v>
      </c>
      <c r="N104" s="388">
        <v>4.3099999999999999E-2</v>
      </c>
      <c r="O104" s="389">
        <v>0.2369</v>
      </c>
      <c r="P104" s="387">
        <v>0</v>
      </c>
      <c r="Q104" s="387">
        <v>0</v>
      </c>
      <c r="R104" s="387">
        <v>0</v>
      </c>
      <c r="S104" s="387">
        <v>0</v>
      </c>
      <c r="T104" s="387">
        <v>0</v>
      </c>
      <c r="U104" s="387">
        <v>0</v>
      </c>
      <c r="V104" s="387">
        <v>0</v>
      </c>
      <c r="W104" s="387">
        <v>0</v>
      </c>
      <c r="X104" s="387">
        <v>0</v>
      </c>
      <c r="Y104" s="387">
        <v>0</v>
      </c>
      <c r="Z104" s="387">
        <v>9345.32</v>
      </c>
      <c r="AA104" s="387">
        <v>27884.87</v>
      </c>
      <c r="AB104" s="387">
        <v>104426.81</v>
      </c>
      <c r="AC104" s="387">
        <v>386205.09</v>
      </c>
      <c r="AD104" s="525">
        <v>35.33</v>
      </c>
      <c r="AE104" s="387">
        <v>327497.23</v>
      </c>
      <c r="AF104" s="526">
        <f t="shared" si="51"/>
        <v>9269.66</v>
      </c>
      <c r="AG104" s="526">
        <f t="shared" si="52"/>
        <v>10931.36</v>
      </c>
      <c r="AH104" s="527">
        <f t="shared" si="49"/>
        <v>1661.7</v>
      </c>
      <c r="AI104" s="525">
        <v>10.94</v>
      </c>
      <c r="AJ104" s="387">
        <v>99298.87</v>
      </c>
      <c r="AK104" s="526">
        <f t="shared" si="53"/>
        <v>9076.68</v>
      </c>
      <c r="AL104" s="526">
        <f t="shared" si="54"/>
        <v>9545.41</v>
      </c>
      <c r="AM104" s="527">
        <f t="shared" si="50"/>
        <v>468.73</v>
      </c>
      <c r="AN104" s="387">
        <v>119.74</v>
      </c>
      <c r="AO104" s="387">
        <v>0</v>
      </c>
      <c r="AP104" s="73"/>
      <c r="AQ104" s="241">
        <v>8666.6200000000099</v>
      </c>
      <c r="AR104" s="659">
        <v>72499.200000000012</v>
      </c>
    </row>
    <row r="105" spans="1:44">
      <c r="A105" s="236" t="s">
        <v>723</v>
      </c>
      <c r="B105" s="236" t="s">
        <v>722</v>
      </c>
      <c r="C105" s="236" t="str">
        <f t="shared" si="55"/>
        <v>39200 GRANDVIEW SCHOOL DISTRICT</v>
      </c>
      <c r="D105" s="387">
        <v>166434.51999999999</v>
      </c>
      <c r="E105" s="387">
        <v>53744.45</v>
      </c>
      <c r="F105" s="387">
        <v>0</v>
      </c>
      <c r="G105" s="387">
        <v>6623672.1799999997</v>
      </c>
      <c r="H105" s="387">
        <v>1514690.65</v>
      </c>
      <c r="I105" s="387">
        <v>1135402.8799999999</v>
      </c>
      <c r="J105" s="387">
        <v>2173210.1</v>
      </c>
      <c r="K105" s="387">
        <v>1931397.49</v>
      </c>
      <c r="L105" s="387">
        <v>107344.43</v>
      </c>
      <c r="M105" s="387">
        <v>1717137.4</v>
      </c>
      <c r="N105" s="388">
        <v>5.3699999999999998E-2</v>
      </c>
      <c r="O105" s="389">
        <v>0.17269999999999999</v>
      </c>
      <c r="P105" s="387">
        <v>0</v>
      </c>
      <c r="Q105" s="387">
        <v>0</v>
      </c>
      <c r="R105" s="387">
        <v>0</v>
      </c>
      <c r="S105" s="387">
        <v>0</v>
      </c>
      <c r="T105" s="387">
        <v>0</v>
      </c>
      <c r="U105" s="387">
        <v>0</v>
      </c>
      <c r="V105" s="387">
        <v>0</v>
      </c>
      <c r="W105" s="387">
        <v>0</v>
      </c>
      <c r="X105" s="387">
        <v>0</v>
      </c>
      <c r="Y105" s="387">
        <v>0</v>
      </c>
      <c r="Z105" s="387">
        <v>16501.22</v>
      </c>
      <c r="AA105" s="387">
        <v>0</v>
      </c>
      <c r="AB105" s="387">
        <v>401007.83</v>
      </c>
      <c r="AC105" s="387">
        <v>3143025.14</v>
      </c>
      <c r="AD105" s="525">
        <v>320.73</v>
      </c>
      <c r="AE105" s="387">
        <v>2971999.31</v>
      </c>
      <c r="AF105" s="526">
        <f t="shared" si="51"/>
        <v>9266.36</v>
      </c>
      <c r="AG105" s="526">
        <f t="shared" si="52"/>
        <v>9799.6</v>
      </c>
      <c r="AH105" s="527">
        <f t="shared" si="49"/>
        <v>533.24</v>
      </c>
      <c r="AI105" s="525">
        <v>41.99</v>
      </c>
      <c r="AJ105" s="387">
        <v>381434.03</v>
      </c>
      <c r="AK105" s="526">
        <f t="shared" si="53"/>
        <v>9083.93</v>
      </c>
      <c r="AL105" s="526">
        <f t="shared" si="54"/>
        <v>9550.08</v>
      </c>
      <c r="AM105" s="527">
        <f t="shared" si="50"/>
        <v>466.15</v>
      </c>
      <c r="AN105" s="387">
        <v>523.38</v>
      </c>
      <c r="AO105" s="387">
        <v>0</v>
      </c>
      <c r="AP105" s="73"/>
      <c r="AQ105" s="241">
        <v>0</v>
      </c>
      <c r="AR105" s="659">
        <v>439296.16000000003</v>
      </c>
    </row>
    <row r="106" spans="1:44">
      <c r="A106" s="236" t="s">
        <v>731</v>
      </c>
      <c r="B106" s="236" t="s">
        <v>730</v>
      </c>
      <c r="C106" s="236" t="str">
        <f t="shared" si="55"/>
        <v>39204 GRANGER SCHOOL DISTRICT</v>
      </c>
      <c r="D106" s="387">
        <v>172560.96</v>
      </c>
      <c r="E106" s="387">
        <v>50175.47</v>
      </c>
      <c r="F106" s="387">
        <v>2.98</v>
      </c>
      <c r="G106" s="387">
        <v>2489069.9700000002</v>
      </c>
      <c r="H106" s="387">
        <v>494168.32000000001</v>
      </c>
      <c r="I106" s="387">
        <v>433277.19</v>
      </c>
      <c r="J106" s="387">
        <v>864063.04</v>
      </c>
      <c r="K106" s="387">
        <v>1206816.8999999999</v>
      </c>
      <c r="L106" s="387">
        <v>43111.08</v>
      </c>
      <c r="M106" s="387">
        <v>662215.09</v>
      </c>
      <c r="N106" s="388">
        <v>6.6199999999999995E-2</v>
      </c>
      <c r="O106" s="389">
        <v>0.14699999999999999</v>
      </c>
      <c r="P106" s="387">
        <v>0</v>
      </c>
      <c r="Q106" s="387">
        <v>0</v>
      </c>
      <c r="R106" s="387">
        <v>0</v>
      </c>
      <c r="S106" s="387">
        <v>0</v>
      </c>
      <c r="T106" s="387">
        <v>0</v>
      </c>
      <c r="U106" s="387">
        <v>0</v>
      </c>
      <c r="V106" s="387">
        <v>0</v>
      </c>
      <c r="W106" s="387">
        <v>0</v>
      </c>
      <c r="X106" s="387">
        <v>0</v>
      </c>
      <c r="Y106" s="387">
        <v>1610.94</v>
      </c>
      <c r="Z106" s="387">
        <v>0</v>
      </c>
      <c r="AA106" s="387">
        <v>0</v>
      </c>
      <c r="AB106" s="387">
        <v>309823.68</v>
      </c>
      <c r="AC106" s="387">
        <v>1538379.31</v>
      </c>
      <c r="AD106" s="525">
        <v>158.91</v>
      </c>
      <c r="AE106" s="387">
        <v>1472388.76</v>
      </c>
      <c r="AF106" s="526">
        <f t="shared" si="51"/>
        <v>9265.5499999999993</v>
      </c>
      <c r="AG106" s="526">
        <f t="shared" si="52"/>
        <v>9680.82</v>
      </c>
      <c r="AH106" s="527">
        <f t="shared" si="49"/>
        <v>415.27</v>
      </c>
      <c r="AI106" s="525">
        <v>32.450000000000003</v>
      </c>
      <c r="AJ106" s="387">
        <v>294928.78000000003</v>
      </c>
      <c r="AK106" s="526">
        <f t="shared" si="53"/>
        <v>9088.7099999999991</v>
      </c>
      <c r="AL106" s="526">
        <f t="shared" si="54"/>
        <v>9547.73</v>
      </c>
      <c r="AM106" s="527">
        <f t="shared" si="50"/>
        <v>459.02</v>
      </c>
      <c r="AN106" s="387">
        <v>81.319999999999993</v>
      </c>
      <c r="AO106" s="387">
        <v>0</v>
      </c>
      <c r="AP106" s="73"/>
      <c r="AQ106" s="241">
        <v>136286.82</v>
      </c>
      <c r="AR106" s="659">
        <v>178633.57</v>
      </c>
    </row>
    <row r="107" spans="1:44">
      <c r="A107" s="236" t="s">
        <v>589</v>
      </c>
      <c r="B107" s="236" t="s">
        <v>588</v>
      </c>
      <c r="C107" s="236" t="str">
        <f t="shared" si="55"/>
        <v>31332 GRANITE FALLS SCHOOL DISTRICT</v>
      </c>
      <c r="D107" s="387">
        <v>0</v>
      </c>
      <c r="E107" s="387">
        <v>0</v>
      </c>
      <c r="F107" s="387">
        <v>0</v>
      </c>
      <c r="G107" s="387">
        <v>6979458.9800000004</v>
      </c>
      <c r="H107" s="387">
        <v>1182583.8700000001</v>
      </c>
      <c r="I107" s="387">
        <v>259863.36</v>
      </c>
      <c r="J107" s="387">
        <v>792744.67</v>
      </c>
      <c r="K107" s="387">
        <v>174681.4</v>
      </c>
      <c r="L107" s="387">
        <v>77014.28</v>
      </c>
      <c r="M107" s="387">
        <v>2134752.15</v>
      </c>
      <c r="N107" s="388">
        <v>4.3200000000000002E-2</v>
      </c>
      <c r="O107" s="389">
        <v>0.15770000000000001</v>
      </c>
      <c r="P107" s="387">
        <v>0</v>
      </c>
      <c r="Q107" s="387">
        <v>0</v>
      </c>
      <c r="R107" s="387">
        <v>0</v>
      </c>
      <c r="S107" s="387">
        <v>0</v>
      </c>
      <c r="T107" s="387">
        <v>0</v>
      </c>
      <c r="U107" s="387">
        <v>0</v>
      </c>
      <c r="V107" s="387">
        <v>0</v>
      </c>
      <c r="W107" s="387">
        <v>0</v>
      </c>
      <c r="X107" s="387">
        <v>0</v>
      </c>
      <c r="Y107" s="387">
        <v>2585.98</v>
      </c>
      <c r="Z107" s="387">
        <v>0</v>
      </c>
      <c r="AA107" s="387">
        <v>0</v>
      </c>
      <c r="AB107" s="387">
        <v>336097.67</v>
      </c>
      <c r="AC107" s="387">
        <v>1215620.1499999999</v>
      </c>
      <c r="AD107" s="525">
        <v>115.45</v>
      </c>
      <c r="AE107" s="387">
        <v>1158224.23</v>
      </c>
      <c r="AF107" s="526">
        <f t="shared" si="51"/>
        <v>10032.26</v>
      </c>
      <c r="AG107" s="526">
        <f t="shared" si="52"/>
        <v>10529.41</v>
      </c>
      <c r="AH107" s="527">
        <f t="shared" si="49"/>
        <v>497.15</v>
      </c>
      <c r="AI107" s="525">
        <v>32.47</v>
      </c>
      <c r="AJ107" s="387">
        <v>320110.07</v>
      </c>
      <c r="AK107" s="526">
        <f t="shared" si="53"/>
        <v>9858.64</v>
      </c>
      <c r="AL107" s="526">
        <f t="shared" si="54"/>
        <v>10351.02</v>
      </c>
      <c r="AM107" s="527">
        <f t="shared" si="50"/>
        <v>492.38</v>
      </c>
      <c r="AN107" s="387">
        <v>50161.56</v>
      </c>
      <c r="AO107" s="387">
        <v>0</v>
      </c>
      <c r="AP107" s="73"/>
      <c r="AQ107" s="241">
        <v>0</v>
      </c>
      <c r="AR107" s="659">
        <v>263040.02</v>
      </c>
    </row>
    <row r="108" spans="1:44">
      <c r="A108" s="236" t="s">
        <v>461</v>
      </c>
      <c r="B108" s="236" t="s">
        <v>460</v>
      </c>
      <c r="C108" s="236" t="str">
        <f t="shared" si="55"/>
        <v>23054 GRAPEVIEW SCHOOL DISTRICT</v>
      </c>
      <c r="D108" s="387">
        <v>0</v>
      </c>
      <c r="E108" s="387">
        <v>0</v>
      </c>
      <c r="F108" s="387">
        <v>0</v>
      </c>
      <c r="G108" s="387">
        <v>434302.18</v>
      </c>
      <c r="H108" s="387">
        <v>26026.240000000002</v>
      </c>
      <c r="I108" s="387">
        <v>0</v>
      </c>
      <c r="J108" s="387">
        <v>83185.929999999993</v>
      </c>
      <c r="K108" s="387">
        <v>0</v>
      </c>
      <c r="L108" s="387">
        <v>6837.2</v>
      </c>
      <c r="M108" s="387">
        <v>203707.62</v>
      </c>
      <c r="N108" s="388">
        <v>6.0699999999999997E-2</v>
      </c>
      <c r="O108" s="389">
        <v>0.24709999999999999</v>
      </c>
      <c r="P108" s="387">
        <v>0</v>
      </c>
      <c r="Q108" s="387">
        <v>0</v>
      </c>
      <c r="R108" s="387">
        <v>0</v>
      </c>
      <c r="S108" s="387">
        <v>0</v>
      </c>
      <c r="T108" s="387">
        <v>0</v>
      </c>
      <c r="U108" s="387">
        <v>0</v>
      </c>
      <c r="V108" s="387">
        <v>0</v>
      </c>
      <c r="W108" s="387">
        <v>0</v>
      </c>
      <c r="X108" s="387">
        <v>0</v>
      </c>
      <c r="Y108" s="387">
        <v>249.9</v>
      </c>
      <c r="Z108" s="387">
        <v>0</v>
      </c>
      <c r="AA108" s="387">
        <v>0</v>
      </c>
      <c r="AB108" s="387">
        <v>6619.17</v>
      </c>
      <c r="AC108" s="387">
        <v>0</v>
      </c>
      <c r="AD108" s="525">
        <v>0</v>
      </c>
      <c r="AE108" s="387">
        <v>0</v>
      </c>
      <c r="AF108" s="526">
        <f t="shared" si="51"/>
        <v>0</v>
      </c>
      <c r="AG108" s="526">
        <f t="shared" si="52"/>
        <v>0</v>
      </c>
      <c r="AH108" s="527">
        <f t="shared" si="49"/>
        <v>0</v>
      </c>
      <c r="AI108" s="525">
        <v>0.65</v>
      </c>
      <c r="AJ108" s="387">
        <v>6247.68</v>
      </c>
      <c r="AK108" s="526">
        <f t="shared" si="53"/>
        <v>9611.82</v>
      </c>
      <c r="AL108" s="526">
        <f t="shared" si="54"/>
        <v>10183.34</v>
      </c>
      <c r="AM108" s="527">
        <f t="shared" si="50"/>
        <v>571.52</v>
      </c>
      <c r="AN108" s="387">
        <v>0</v>
      </c>
      <c r="AO108" s="387">
        <v>0</v>
      </c>
      <c r="AP108" s="73"/>
      <c r="AQ108" s="241">
        <v>0</v>
      </c>
      <c r="AR108" s="659">
        <v>26615.609999999997</v>
      </c>
    </row>
    <row r="109" spans="1:44">
      <c r="A109" s="236" t="s">
        <v>597</v>
      </c>
      <c r="B109" s="236" t="s">
        <v>596</v>
      </c>
      <c r="C109" s="236" t="str">
        <f t="shared" si="55"/>
        <v>32312 GREAT NORTHERN SCHOOL DISTRICT</v>
      </c>
      <c r="D109" s="387">
        <v>236.47</v>
      </c>
      <c r="E109" s="387">
        <v>967.55</v>
      </c>
      <c r="F109" s="387">
        <v>0</v>
      </c>
      <c r="G109" s="387">
        <v>78741.710000000006</v>
      </c>
      <c r="H109" s="387">
        <v>6100.58</v>
      </c>
      <c r="I109" s="387">
        <v>0</v>
      </c>
      <c r="J109" s="387">
        <v>13648.23</v>
      </c>
      <c r="K109" s="387">
        <v>0</v>
      </c>
      <c r="L109" s="387">
        <v>0</v>
      </c>
      <c r="M109" s="387">
        <v>118495.74</v>
      </c>
      <c r="N109" s="388">
        <v>0.10059999999999999</v>
      </c>
      <c r="O109" s="389">
        <v>0.32219999999999999</v>
      </c>
      <c r="P109" s="387">
        <v>0</v>
      </c>
      <c r="Q109" s="387">
        <v>0</v>
      </c>
      <c r="R109" s="387">
        <v>0</v>
      </c>
      <c r="S109" s="387">
        <v>0</v>
      </c>
      <c r="T109" s="387">
        <v>0</v>
      </c>
      <c r="U109" s="387">
        <v>0</v>
      </c>
      <c r="V109" s="387">
        <v>0</v>
      </c>
      <c r="W109" s="387">
        <v>0</v>
      </c>
      <c r="X109" s="387">
        <v>0</v>
      </c>
      <c r="Y109" s="387">
        <v>0</v>
      </c>
      <c r="Z109" s="387">
        <v>0</v>
      </c>
      <c r="AA109" s="387">
        <v>0</v>
      </c>
      <c r="AB109" s="387">
        <v>0</v>
      </c>
      <c r="AC109" s="387">
        <v>0</v>
      </c>
      <c r="AD109" s="525">
        <v>0</v>
      </c>
      <c r="AE109" s="387">
        <v>0</v>
      </c>
      <c r="AF109" s="526">
        <f t="shared" si="51"/>
        <v>0</v>
      </c>
      <c r="AG109" s="526">
        <f t="shared" si="52"/>
        <v>0</v>
      </c>
      <c r="AH109" s="527">
        <f t="shared" si="49"/>
        <v>0</v>
      </c>
      <c r="AI109" s="525">
        <v>0</v>
      </c>
      <c r="AJ109" s="387">
        <v>0</v>
      </c>
      <c r="AK109" s="526">
        <f t="shared" si="53"/>
        <v>0</v>
      </c>
      <c r="AL109" s="526">
        <f t="shared" si="54"/>
        <v>0</v>
      </c>
      <c r="AM109" s="527">
        <f t="shared" si="50"/>
        <v>0</v>
      </c>
      <c r="AN109" s="387">
        <v>0</v>
      </c>
      <c r="AO109" s="387">
        <v>0</v>
      </c>
      <c r="AP109" s="73"/>
      <c r="AQ109" s="241">
        <v>9082.630000000001</v>
      </c>
      <c r="AR109" s="659">
        <v>5137.1000000000004</v>
      </c>
    </row>
    <row r="110" spans="1:44">
      <c r="A110" s="236" t="s">
        <v>219</v>
      </c>
      <c r="B110" s="236" t="s">
        <v>218</v>
      </c>
      <c r="C110" s="236" t="str">
        <f t="shared" si="55"/>
        <v>06103 GREEN MOUNTAIN SCHOOL DISTRICT</v>
      </c>
      <c r="D110" s="387">
        <v>0</v>
      </c>
      <c r="E110" s="387">
        <v>0</v>
      </c>
      <c r="F110" s="387">
        <v>0</v>
      </c>
      <c r="G110" s="387">
        <v>0</v>
      </c>
      <c r="H110" s="387">
        <v>0</v>
      </c>
      <c r="I110" s="387">
        <v>0</v>
      </c>
      <c r="J110" s="387">
        <v>37604.61</v>
      </c>
      <c r="K110" s="387">
        <v>0</v>
      </c>
      <c r="L110" s="387">
        <v>5355.8</v>
      </c>
      <c r="M110" s="387">
        <v>177125.28</v>
      </c>
      <c r="N110" s="388">
        <v>9.0899999999999995E-2</v>
      </c>
      <c r="O110" s="389">
        <v>0.28460000000000002</v>
      </c>
      <c r="P110" s="387">
        <v>0</v>
      </c>
      <c r="Q110" s="387">
        <v>0</v>
      </c>
      <c r="R110" s="387">
        <v>0</v>
      </c>
      <c r="S110" s="387">
        <v>0</v>
      </c>
      <c r="T110" s="387">
        <v>0</v>
      </c>
      <c r="U110" s="387">
        <v>0</v>
      </c>
      <c r="V110" s="387">
        <v>0</v>
      </c>
      <c r="W110" s="387">
        <v>0</v>
      </c>
      <c r="X110" s="387">
        <v>0</v>
      </c>
      <c r="Y110" s="387">
        <v>182.96</v>
      </c>
      <c r="Z110" s="387">
        <v>0</v>
      </c>
      <c r="AA110" s="387">
        <v>0</v>
      </c>
      <c r="AB110" s="387">
        <v>0</v>
      </c>
      <c r="AC110" s="387">
        <v>0</v>
      </c>
      <c r="AD110" s="525">
        <v>0</v>
      </c>
      <c r="AE110" s="387">
        <v>0</v>
      </c>
      <c r="AF110" s="526">
        <f t="shared" si="51"/>
        <v>0</v>
      </c>
      <c r="AG110" s="526">
        <f t="shared" si="52"/>
        <v>0</v>
      </c>
      <c r="AH110" s="527">
        <f t="shared" si="49"/>
        <v>0</v>
      </c>
      <c r="AI110" s="525">
        <v>0</v>
      </c>
      <c r="AJ110" s="387">
        <v>0</v>
      </c>
      <c r="AK110" s="526">
        <f t="shared" si="53"/>
        <v>0</v>
      </c>
      <c r="AL110" s="526">
        <f t="shared" si="54"/>
        <v>0</v>
      </c>
      <c r="AM110" s="527">
        <f t="shared" si="50"/>
        <v>0</v>
      </c>
      <c r="AN110" s="387">
        <v>0</v>
      </c>
      <c r="AO110" s="387">
        <v>0</v>
      </c>
      <c r="AP110" s="73"/>
      <c r="AQ110" s="241">
        <v>2715.91</v>
      </c>
      <c r="AR110" s="659">
        <v>17582.260000000002</v>
      </c>
    </row>
    <row r="111" spans="1:44">
      <c r="A111" s="236" t="s">
        <v>651</v>
      </c>
      <c r="B111" s="236" t="s">
        <v>650</v>
      </c>
      <c r="C111" s="236" t="str">
        <f t="shared" si="55"/>
        <v>34324 GRIFFIN SCHOOL DISTRICT</v>
      </c>
      <c r="D111" s="387">
        <v>0</v>
      </c>
      <c r="E111" s="387">
        <v>0</v>
      </c>
      <c r="F111" s="387">
        <v>0</v>
      </c>
      <c r="G111" s="387">
        <v>1291657.6299999999</v>
      </c>
      <c r="H111" s="387">
        <v>112400.67</v>
      </c>
      <c r="I111" s="387">
        <v>0</v>
      </c>
      <c r="J111" s="387">
        <v>95970.9</v>
      </c>
      <c r="K111" s="387">
        <v>0</v>
      </c>
      <c r="L111" s="387">
        <v>17331.099999999999</v>
      </c>
      <c r="M111" s="387">
        <v>684641.51</v>
      </c>
      <c r="N111" s="388">
        <v>5.1299999999999998E-2</v>
      </c>
      <c r="O111" s="389">
        <v>0.23680000000000001</v>
      </c>
      <c r="P111" s="387">
        <v>0</v>
      </c>
      <c r="Q111" s="387">
        <v>0</v>
      </c>
      <c r="R111" s="387">
        <v>0</v>
      </c>
      <c r="S111" s="387">
        <v>0</v>
      </c>
      <c r="T111" s="387">
        <v>0</v>
      </c>
      <c r="U111" s="387">
        <v>0</v>
      </c>
      <c r="V111" s="387">
        <v>0</v>
      </c>
      <c r="W111" s="387">
        <v>0</v>
      </c>
      <c r="X111" s="387">
        <v>0</v>
      </c>
      <c r="Y111" s="387">
        <v>655.98</v>
      </c>
      <c r="Z111" s="387">
        <v>0</v>
      </c>
      <c r="AA111" s="387">
        <v>0</v>
      </c>
      <c r="AB111" s="387">
        <v>0</v>
      </c>
      <c r="AC111" s="387">
        <v>0</v>
      </c>
      <c r="AD111" s="525">
        <v>0</v>
      </c>
      <c r="AE111" s="387">
        <v>0</v>
      </c>
      <c r="AF111" s="526">
        <f t="shared" si="51"/>
        <v>0</v>
      </c>
      <c r="AG111" s="526">
        <f t="shared" si="52"/>
        <v>0</v>
      </c>
      <c r="AH111" s="527">
        <f t="shared" si="49"/>
        <v>0</v>
      </c>
      <c r="AI111" s="525">
        <v>0</v>
      </c>
      <c r="AJ111" s="387">
        <v>0</v>
      </c>
      <c r="AK111" s="526">
        <f t="shared" si="53"/>
        <v>0</v>
      </c>
      <c r="AL111" s="526">
        <f t="shared" si="54"/>
        <v>0</v>
      </c>
      <c r="AM111" s="527">
        <f t="shared" si="50"/>
        <v>0</v>
      </c>
      <c r="AN111" s="387">
        <v>1393.63</v>
      </c>
      <c r="AO111" s="387">
        <v>0</v>
      </c>
      <c r="AP111" s="73"/>
      <c r="AQ111" s="241">
        <v>0</v>
      </c>
      <c r="AR111" s="659">
        <v>64946.61</v>
      </c>
    </row>
    <row r="112" spans="1:44">
      <c r="A112" s="236" t="s">
        <v>455</v>
      </c>
      <c r="B112" s="236" t="s">
        <v>454</v>
      </c>
      <c r="C112" s="236" t="str">
        <f t="shared" si="55"/>
        <v>22204 HARRINGTON SCHOOL DISTRICT</v>
      </c>
      <c r="D112" s="387">
        <v>0</v>
      </c>
      <c r="E112" s="387">
        <v>0</v>
      </c>
      <c r="F112" s="387">
        <v>3544.05</v>
      </c>
      <c r="G112" s="387">
        <v>230601.48</v>
      </c>
      <c r="H112" s="387">
        <v>25741.65</v>
      </c>
      <c r="I112" s="387">
        <v>36530.47</v>
      </c>
      <c r="J112" s="387">
        <v>43141.83</v>
      </c>
      <c r="K112" s="387">
        <v>0</v>
      </c>
      <c r="L112" s="387">
        <v>0</v>
      </c>
      <c r="M112" s="387">
        <v>323677.68</v>
      </c>
      <c r="N112" s="388">
        <v>4.7800000000000002E-2</v>
      </c>
      <c r="O112" s="389">
        <v>0.2006</v>
      </c>
      <c r="P112" s="387">
        <v>0</v>
      </c>
      <c r="Q112" s="387">
        <v>0</v>
      </c>
      <c r="R112" s="387">
        <v>0</v>
      </c>
      <c r="S112" s="387">
        <v>0</v>
      </c>
      <c r="T112" s="387">
        <v>0</v>
      </c>
      <c r="U112" s="387">
        <v>0</v>
      </c>
      <c r="V112" s="387">
        <v>0</v>
      </c>
      <c r="W112" s="387">
        <v>0</v>
      </c>
      <c r="X112" s="387">
        <v>0</v>
      </c>
      <c r="Y112" s="387">
        <v>0</v>
      </c>
      <c r="Z112" s="387">
        <v>1044.3499999999999</v>
      </c>
      <c r="AA112" s="387">
        <v>0</v>
      </c>
      <c r="AB112" s="387">
        <v>17648.21</v>
      </c>
      <c r="AC112" s="387">
        <v>48140.66</v>
      </c>
      <c r="AD112" s="525">
        <v>4.95</v>
      </c>
      <c r="AE112" s="387">
        <v>46956.9</v>
      </c>
      <c r="AF112" s="526">
        <f t="shared" si="51"/>
        <v>9486.24</v>
      </c>
      <c r="AG112" s="526">
        <f t="shared" si="52"/>
        <v>9725.39</v>
      </c>
      <c r="AH112" s="527">
        <f t="shared" si="49"/>
        <v>239.15</v>
      </c>
      <c r="AI112" s="525">
        <v>1.8</v>
      </c>
      <c r="AJ112" s="387">
        <v>16817.599999999999</v>
      </c>
      <c r="AK112" s="526">
        <f t="shared" si="53"/>
        <v>9343.11</v>
      </c>
      <c r="AL112" s="526">
        <f t="shared" si="54"/>
        <v>9804.56</v>
      </c>
      <c r="AM112" s="527">
        <f t="shared" si="50"/>
        <v>461.45</v>
      </c>
      <c r="AN112" s="387">
        <v>620.71</v>
      </c>
      <c r="AO112" s="387">
        <v>0</v>
      </c>
      <c r="AP112" s="73"/>
      <c r="AQ112" s="241">
        <v>87458.52</v>
      </c>
      <c r="AR112" s="659">
        <v>26186.17</v>
      </c>
    </row>
    <row r="113" spans="1:44">
      <c r="A113" s="236" t="s">
        <v>729</v>
      </c>
      <c r="B113" s="236" t="s">
        <v>728</v>
      </c>
      <c r="C113" s="236" t="str">
        <f t="shared" si="55"/>
        <v>39203 HIGHLAND SCHOOL DISTRICT</v>
      </c>
      <c r="D113" s="387">
        <v>0</v>
      </c>
      <c r="E113" s="387">
        <v>38147.69</v>
      </c>
      <c r="F113" s="387">
        <v>1282.55</v>
      </c>
      <c r="G113" s="387">
        <v>1539326.9</v>
      </c>
      <c r="H113" s="387">
        <v>277979.21000000002</v>
      </c>
      <c r="I113" s="387">
        <v>343697.13</v>
      </c>
      <c r="J113" s="387">
        <v>603338.5</v>
      </c>
      <c r="K113" s="387">
        <v>566998.16</v>
      </c>
      <c r="L113" s="387">
        <v>31195.95</v>
      </c>
      <c r="M113" s="387">
        <v>834309.31</v>
      </c>
      <c r="N113" s="388">
        <v>4.3700000000000003E-2</v>
      </c>
      <c r="O113" s="389">
        <v>0.1933</v>
      </c>
      <c r="P113" s="387">
        <v>0</v>
      </c>
      <c r="Q113" s="387">
        <v>0</v>
      </c>
      <c r="R113" s="387">
        <v>0</v>
      </c>
      <c r="S113" s="387">
        <v>0</v>
      </c>
      <c r="T113" s="387">
        <v>0</v>
      </c>
      <c r="U113" s="387">
        <v>0</v>
      </c>
      <c r="V113" s="387">
        <v>0</v>
      </c>
      <c r="W113" s="387">
        <v>0</v>
      </c>
      <c r="X113" s="387">
        <v>0</v>
      </c>
      <c r="Y113" s="387">
        <v>1200.4000000000001</v>
      </c>
      <c r="Z113" s="387">
        <v>0</v>
      </c>
      <c r="AA113" s="387">
        <v>0</v>
      </c>
      <c r="AB113" s="387">
        <v>0</v>
      </c>
      <c r="AC113" s="387">
        <v>335893.06</v>
      </c>
      <c r="AD113" s="525">
        <v>34.1</v>
      </c>
      <c r="AE113" s="387">
        <v>316109.55</v>
      </c>
      <c r="AF113" s="526">
        <f t="shared" si="51"/>
        <v>9270.07</v>
      </c>
      <c r="AG113" s="526">
        <f t="shared" si="52"/>
        <v>9850.24</v>
      </c>
      <c r="AH113" s="527">
        <f t="shared" si="49"/>
        <v>580.16999999999996</v>
      </c>
      <c r="AI113" s="525">
        <v>0</v>
      </c>
      <c r="AJ113" s="387">
        <v>0</v>
      </c>
      <c r="AK113" s="526">
        <f t="shared" si="53"/>
        <v>0</v>
      </c>
      <c r="AL113" s="526">
        <f t="shared" si="54"/>
        <v>0</v>
      </c>
      <c r="AM113" s="527">
        <f t="shared" si="50"/>
        <v>0</v>
      </c>
      <c r="AN113" s="387">
        <v>20000</v>
      </c>
      <c r="AO113" s="387">
        <v>0</v>
      </c>
      <c r="AP113" s="73"/>
      <c r="AQ113" s="241">
        <v>60515.409999999989</v>
      </c>
      <c r="AR113" s="659">
        <v>126947.34999999998</v>
      </c>
    </row>
    <row r="114" spans="1:44">
      <c r="A114" s="236" t="s">
        <v>347</v>
      </c>
      <c r="B114" s="236" t="s">
        <v>346</v>
      </c>
      <c r="C114" s="236" t="str">
        <f t="shared" si="55"/>
        <v>17401 HIGHLINE SCHOOL DISTRICT</v>
      </c>
      <c r="D114" s="387">
        <v>0</v>
      </c>
      <c r="E114" s="387">
        <v>951102.94</v>
      </c>
      <c r="F114" s="387">
        <v>483796.92</v>
      </c>
      <c r="G114" s="387">
        <v>41920247.270000003</v>
      </c>
      <c r="H114" s="387">
        <v>6497581.8899999997</v>
      </c>
      <c r="I114" s="387">
        <v>5175651.0199999996</v>
      </c>
      <c r="J114" s="387">
        <v>9980270.9900000002</v>
      </c>
      <c r="K114" s="387">
        <v>13317502.33</v>
      </c>
      <c r="L114" s="387">
        <v>640257.04</v>
      </c>
      <c r="M114" s="387">
        <v>9219711.3300000001</v>
      </c>
      <c r="N114" s="388">
        <v>3.6799999999999999E-2</v>
      </c>
      <c r="O114" s="389">
        <v>0.14069999999999999</v>
      </c>
      <c r="P114" s="387">
        <v>0</v>
      </c>
      <c r="Q114" s="387">
        <v>0</v>
      </c>
      <c r="R114" s="387">
        <v>0</v>
      </c>
      <c r="S114" s="387">
        <v>0</v>
      </c>
      <c r="T114" s="387">
        <v>0</v>
      </c>
      <c r="U114" s="387">
        <v>0</v>
      </c>
      <c r="V114" s="387">
        <v>0</v>
      </c>
      <c r="W114" s="387">
        <v>0</v>
      </c>
      <c r="X114" s="387">
        <v>0</v>
      </c>
      <c r="Y114" s="387">
        <v>20179.150000000001</v>
      </c>
      <c r="Z114" s="387">
        <v>0</v>
      </c>
      <c r="AA114" s="387">
        <v>626030.35</v>
      </c>
      <c r="AB114" s="387">
        <v>957271.26</v>
      </c>
      <c r="AC114" s="387">
        <v>8223235.04</v>
      </c>
      <c r="AD114" s="525">
        <v>700.52</v>
      </c>
      <c r="AE114" s="387">
        <v>7295434.8700000001</v>
      </c>
      <c r="AF114" s="526">
        <f t="shared" si="51"/>
        <v>10414.31</v>
      </c>
      <c r="AG114" s="526">
        <f t="shared" si="52"/>
        <v>11738.76</v>
      </c>
      <c r="AH114" s="527">
        <f t="shared" si="49"/>
        <v>1324.45</v>
      </c>
      <c r="AI114" s="525">
        <v>89.02</v>
      </c>
      <c r="AJ114" s="387">
        <v>911258.81</v>
      </c>
      <c r="AK114" s="526">
        <f t="shared" si="53"/>
        <v>10236.56</v>
      </c>
      <c r="AL114" s="526">
        <f t="shared" si="54"/>
        <v>10753.44</v>
      </c>
      <c r="AM114" s="527">
        <f t="shared" si="50"/>
        <v>516.88</v>
      </c>
      <c r="AN114" s="387">
        <v>0</v>
      </c>
      <c r="AO114" s="387">
        <v>0</v>
      </c>
      <c r="AP114" s="73"/>
      <c r="AQ114" s="241">
        <v>0</v>
      </c>
      <c r="AR114" s="659">
        <v>2518764.4</v>
      </c>
    </row>
    <row r="115" spans="1:44">
      <c r="A115" s="236" t="s">
        <v>216</v>
      </c>
      <c r="B115" s="236" t="s">
        <v>215</v>
      </c>
      <c r="C115" s="236" t="str">
        <f t="shared" si="55"/>
        <v>06098 HOCKINSON SCHOOL DISTRICT</v>
      </c>
      <c r="D115" s="387">
        <v>0</v>
      </c>
      <c r="E115" s="387">
        <v>6638.36</v>
      </c>
      <c r="F115" s="387">
        <v>0</v>
      </c>
      <c r="G115" s="387">
        <v>3397193.63</v>
      </c>
      <c r="H115" s="387">
        <v>318825.68</v>
      </c>
      <c r="I115" s="387">
        <v>0</v>
      </c>
      <c r="J115" s="387">
        <v>377413.45</v>
      </c>
      <c r="K115" s="387">
        <v>184958.88</v>
      </c>
      <c r="L115" s="387">
        <v>65637.11</v>
      </c>
      <c r="M115" s="387">
        <v>1809209.69</v>
      </c>
      <c r="N115" s="388">
        <v>3.4200000000000001E-2</v>
      </c>
      <c r="O115" s="389">
        <v>0.21079999999999999</v>
      </c>
      <c r="P115" s="387">
        <v>0</v>
      </c>
      <c r="Q115" s="387">
        <v>0</v>
      </c>
      <c r="R115" s="387">
        <v>0</v>
      </c>
      <c r="S115" s="387">
        <v>0</v>
      </c>
      <c r="T115" s="387">
        <v>0</v>
      </c>
      <c r="U115" s="387">
        <v>0</v>
      </c>
      <c r="V115" s="387">
        <v>0</v>
      </c>
      <c r="W115" s="387">
        <v>0</v>
      </c>
      <c r="X115" s="387">
        <v>0</v>
      </c>
      <c r="Y115" s="387">
        <v>2342.7800000000002</v>
      </c>
      <c r="Z115" s="387">
        <v>0</v>
      </c>
      <c r="AA115" s="387">
        <v>71035.990000000005</v>
      </c>
      <c r="AB115" s="387">
        <v>109345.4</v>
      </c>
      <c r="AC115" s="387">
        <v>826303.83</v>
      </c>
      <c r="AD115" s="525">
        <v>81.81</v>
      </c>
      <c r="AE115" s="387">
        <v>789343.38</v>
      </c>
      <c r="AF115" s="526">
        <f t="shared" si="51"/>
        <v>9648.5</v>
      </c>
      <c r="AG115" s="526">
        <f t="shared" si="52"/>
        <v>10100.280000000001</v>
      </c>
      <c r="AH115" s="527">
        <f t="shared" si="49"/>
        <v>451.78</v>
      </c>
      <c r="AI115" s="525">
        <v>11.01</v>
      </c>
      <c r="AJ115" s="387">
        <v>104038.51</v>
      </c>
      <c r="AK115" s="526">
        <f t="shared" si="53"/>
        <v>9449.4599999999991</v>
      </c>
      <c r="AL115" s="526">
        <f t="shared" si="54"/>
        <v>9931.4599999999991</v>
      </c>
      <c r="AM115" s="527">
        <f t="shared" si="50"/>
        <v>482</v>
      </c>
      <c r="AN115" s="387">
        <v>0</v>
      </c>
      <c r="AO115" s="387">
        <v>0</v>
      </c>
      <c r="AP115" s="73"/>
      <c r="AQ115" s="241">
        <v>0</v>
      </c>
      <c r="AR115" s="659">
        <v>221038.05999999997</v>
      </c>
    </row>
    <row r="116" spans="1:44">
      <c r="A116" s="236" t="s">
        <v>471</v>
      </c>
      <c r="B116" s="236" t="s">
        <v>470</v>
      </c>
      <c r="C116" s="236" t="str">
        <f t="shared" si="55"/>
        <v>23404 HOOD CANAL SCHOOL DISTRICT</v>
      </c>
      <c r="D116" s="387">
        <v>0</v>
      </c>
      <c r="E116" s="387">
        <v>15090.62</v>
      </c>
      <c r="F116" s="387">
        <v>9913.2000000000007</v>
      </c>
      <c r="G116" s="387">
        <v>742055.32</v>
      </c>
      <c r="H116" s="387">
        <v>58320.32</v>
      </c>
      <c r="I116" s="387">
        <v>102253.42</v>
      </c>
      <c r="J116" s="387">
        <v>167786.59</v>
      </c>
      <c r="K116" s="387">
        <v>0</v>
      </c>
      <c r="L116" s="387">
        <v>9532.11</v>
      </c>
      <c r="M116" s="387">
        <v>523616.42</v>
      </c>
      <c r="N116" s="388">
        <v>7.0400000000000004E-2</v>
      </c>
      <c r="O116" s="389">
        <v>0.22639999999999999</v>
      </c>
      <c r="P116" s="387">
        <v>0</v>
      </c>
      <c r="Q116" s="387">
        <v>0</v>
      </c>
      <c r="R116" s="387">
        <v>0</v>
      </c>
      <c r="S116" s="387">
        <v>0</v>
      </c>
      <c r="T116" s="387">
        <v>0</v>
      </c>
      <c r="U116" s="387">
        <v>0</v>
      </c>
      <c r="V116" s="387">
        <v>0</v>
      </c>
      <c r="W116" s="387">
        <v>0</v>
      </c>
      <c r="X116" s="387">
        <v>0</v>
      </c>
      <c r="Y116" s="387">
        <v>377.08</v>
      </c>
      <c r="Z116" s="387">
        <v>0</v>
      </c>
      <c r="AA116" s="387">
        <v>0</v>
      </c>
      <c r="AB116" s="387">
        <v>0</v>
      </c>
      <c r="AC116" s="387">
        <v>0</v>
      </c>
      <c r="AD116" s="525">
        <v>0</v>
      </c>
      <c r="AE116" s="387">
        <v>0</v>
      </c>
      <c r="AF116" s="526">
        <f t="shared" si="51"/>
        <v>0</v>
      </c>
      <c r="AG116" s="526">
        <f t="shared" si="52"/>
        <v>0</v>
      </c>
      <c r="AH116" s="527">
        <f t="shared" si="49"/>
        <v>0</v>
      </c>
      <c r="AI116" s="525">
        <v>0</v>
      </c>
      <c r="AJ116" s="387">
        <v>0</v>
      </c>
      <c r="AK116" s="526">
        <f t="shared" si="53"/>
        <v>0</v>
      </c>
      <c r="AL116" s="526">
        <f t="shared" si="54"/>
        <v>0</v>
      </c>
      <c r="AM116" s="527">
        <f t="shared" si="50"/>
        <v>0</v>
      </c>
      <c r="AN116" s="387">
        <v>1358.04</v>
      </c>
      <c r="AO116" s="387">
        <v>0</v>
      </c>
      <c r="AP116" s="73"/>
      <c r="AQ116" s="241">
        <v>10377.459999999999</v>
      </c>
      <c r="AR116" s="659">
        <v>40022.880000000005</v>
      </c>
    </row>
    <row r="117" spans="1:44">
      <c r="A117" s="236" t="s">
        <v>300</v>
      </c>
      <c r="B117" s="236" t="s">
        <v>299</v>
      </c>
      <c r="C117" s="236" t="str">
        <f t="shared" si="55"/>
        <v>14028 HOQUIAM SCHOOL DISTRICT</v>
      </c>
      <c r="D117" s="387">
        <v>0</v>
      </c>
      <c r="E117" s="387">
        <v>70900.72</v>
      </c>
      <c r="F117" s="387">
        <v>43866.05</v>
      </c>
      <c r="G117" s="387">
        <v>3141853.63</v>
      </c>
      <c r="H117" s="387">
        <v>473574.13</v>
      </c>
      <c r="I117" s="387">
        <v>505634.48</v>
      </c>
      <c r="J117" s="387">
        <v>754227.27</v>
      </c>
      <c r="K117" s="387">
        <v>225285.29</v>
      </c>
      <c r="L117" s="387">
        <v>47985.45</v>
      </c>
      <c r="M117" s="387">
        <v>1482131.28</v>
      </c>
      <c r="N117" s="388">
        <v>2.4299999999999999E-2</v>
      </c>
      <c r="O117" s="389">
        <v>0.19170000000000001</v>
      </c>
      <c r="P117" s="387">
        <v>0</v>
      </c>
      <c r="Q117" s="387">
        <v>0</v>
      </c>
      <c r="R117" s="387">
        <v>0</v>
      </c>
      <c r="S117" s="387">
        <v>0</v>
      </c>
      <c r="T117" s="387">
        <v>0</v>
      </c>
      <c r="U117" s="387">
        <v>0</v>
      </c>
      <c r="V117" s="387">
        <v>0</v>
      </c>
      <c r="W117" s="387">
        <v>0</v>
      </c>
      <c r="X117" s="387">
        <v>0</v>
      </c>
      <c r="Y117" s="387">
        <v>0</v>
      </c>
      <c r="Z117" s="387">
        <v>0</v>
      </c>
      <c r="AA117" s="387">
        <v>60960.07</v>
      </c>
      <c r="AB117" s="387">
        <v>261864.97</v>
      </c>
      <c r="AC117" s="387">
        <v>1007858.6</v>
      </c>
      <c r="AD117" s="525">
        <v>102.27</v>
      </c>
      <c r="AE117" s="387">
        <v>947598.92</v>
      </c>
      <c r="AF117" s="526">
        <f t="shared" si="51"/>
        <v>9265.66</v>
      </c>
      <c r="AG117" s="526">
        <f t="shared" si="52"/>
        <v>9854.8799999999992</v>
      </c>
      <c r="AH117" s="527">
        <f t="shared" si="49"/>
        <v>589.22</v>
      </c>
      <c r="AI117" s="525">
        <v>27.43</v>
      </c>
      <c r="AJ117" s="387">
        <v>249177.82</v>
      </c>
      <c r="AK117" s="526">
        <f t="shared" si="53"/>
        <v>9084.1299999999992</v>
      </c>
      <c r="AL117" s="526">
        <f t="shared" si="54"/>
        <v>9546.66</v>
      </c>
      <c r="AM117" s="527">
        <f t="shared" si="50"/>
        <v>462.53</v>
      </c>
      <c r="AN117" s="387">
        <v>1088.69</v>
      </c>
      <c r="AO117" s="387">
        <v>1604.55</v>
      </c>
      <c r="AP117" s="73"/>
      <c r="AQ117" s="241">
        <v>0</v>
      </c>
      <c r="AR117" s="659">
        <v>171083.05999999997</v>
      </c>
    </row>
    <row r="118" spans="1:44">
      <c r="A118" s="236" t="s">
        <v>2363</v>
      </c>
      <c r="B118" s="238" t="s">
        <v>2364</v>
      </c>
      <c r="C118" s="236" t="str">
        <f>CONCATENATE(B118," ",A118," CHARTER")</f>
        <v>17919 IMPACT BLACK RIVER CHARTER</v>
      </c>
      <c r="D118" s="387">
        <v>0</v>
      </c>
      <c r="E118" s="387">
        <v>0</v>
      </c>
      <c r="F118" s="387">
        <v>0</v>
      </c>
      <c r="G118" s="387">
        <v>399367.18</v>
      </c>
      <c r="H118" s="387">
        <v>24974.14</v>
      </c>
      <c r="I118" s="387">
        <v>45705.81</v>
      </c>
      <c r="J118" s="387">
        <v>52342.54</v>
      </c>
      <c r="K118" s="387">
        <v>82581.14</v>
      </c>
      <c r="L118" s="387">
        <v>7262.84</v>
      </c>
      <c r="M118" s="387">
        <v>90827.04</v>
      </c>
      <c r="N118" s="388">
        <v>3.5000000000000003E-2</v>
      </c>
      <c r="O118" s="389">
        <v>0.14979999999999999</v>
      </c>
      <c r="P118" s="387">
        <v>0</v>
      </c>
      <c r="Q118" s="387">
        <v>0</v>
      </c>
      <c r="R118" s="387">
        <v>0</v>
      </c>
      <c r="S118" s="387">
        <v>0</v>
      </c>
      <c r="T118" s="387">
        <v>0</v>
      </c>
      <c r="U118" s="387">
        <v>0</v>
      </c>
      <c r="V118" s="387">
        <v>0</v>
      </c>
      <c r="W118" s="387">
        <v>0</v>
      </c>
      <c r="X118" s="387">
        <v>0</v>
      </c>
      <c r="Y118" s="387">
        <v>0</v>
      </c>
      <c r="Z118" s="387">
        <v>0</v>
      </c>
      <c r="AA118" s="387">
        <v>0</v>
      </c>
      <c r="AB118" s="387">
        <v>0</v>
      </c>
      <c r="AC118" s="387">
        <v>0</v>
      </c>
      <c r="AD118" s="525">
        <v>0</v>
      </c>
      <c r="AE118" s="387">
        <v>0</v>
      </c>
      <c r="AF118" s="526">
        <f t="shared" si="51"/>
        <v>0</v>
      </c>
      <c r="AG118" s="526">
        <f t="shared" si="52"/>
        <v>0</v>
      </c>
      <c r="AH118" s="527">
        <f t="shared" si="49"/>
        <v>0</v>
      </c>
      <c r="AI118" s="525">
        <v>0</v>
      </c>
      <c r="AJ118" s="387">
        <v>0</v>
      </c>
      <c r="AK118" s="526">
        <f t="shared" si="53"/>
        <v>0</v>
      </c>
      <c r="AL118" s="526">
        <f t="shared" si="54"/>
        <v>0</v>
      </c>
      <c r="AM118" s="527">
        <f t="shared" si="50"/>
        <v>0</v>
      </c>
      <c r="AN118" s="387">
        <v>0</v>
      </c>
      <c r="AO118" s="387">
        <v>0</v>
      </c>
      <c r="AP118" s="73"/>
      <c r="AQ118" s="241">
        <v>0</v>
      </c>
      <c r="AR118" s="659">
        <v>33778.189999999995</v>
      </c>
    </row>
    <row r="119" spans="1:44">
      <c r="A119" s="236" t="s">
        <v>1640</v>
      </c>
      <c r="B119" s="236" t="s">
        <v>1554</v>
      </c>
      <c r="C119" s="236" t="str">
        <f>CONCATENATE(B119," ",A119," CHARTER")</f>
        <v>17911 IMPACT PUGET SOUND CHARTER</v>
      </c>
      <c r="D119" s="387">
        <v>0</v>
      </c>
      <c r="E119" s="387">
        <v>0</v>
      </c>
      <c r="F119" s="387">
        <v>0</v>
      </c>
      <c r="G119" s="387">
        <v>1003876.08</v>
      </c>
      <c r="H119" s="387">
        <v>82619.61</v>
      </c>
      <c r="I119" s="387">
        <v>177063.06</v>
      </c>
      <c r="J119" s="387">
        <v>260961.4</v>
      </c>
      <c r="K119" s="387">
        <v>263766.61</v>
      </c>
      <c r="L119" s="387">
        <v>17781.43</v>
      </c>
      <c r="M119" s="387">
        <v>263344.48</v>
      </c>
      <c r="N119" s="388">
        <v>0.20680000000000001</v>
      </c>
      <c r="O119" s="389">
        <v>0.3543</v>
      </c>
      <c r="P119" s="387">
        <v>0</v>
      </c>
      <c r="Q119" s="387">
        <v>0</v>
      </c>
      <c r="R119" s="387">
        <v>0</v>
      </c>
      <c r="S119" s="387">
        <v>0</v>
      </c>
      <c r="T119" s="387">
        <v>0</v>
      </c>
      <c r="U119" s="387">
        <v>0</v>
      </c>
      <c r="V119" s="387">
        <v>0</v>
      </c>
      <c r="W119" s="387">
        <v>0</v>
      </c>
      <c r="X119" s="387">
        <v>0</v>
      </c>
      <c r="Y119" s="387">
        <v>0</v>
      </c>
      <c r="Z119" s="387">
        <v>0</v>
      </c>
      <c r="AA119" s="387">
        <v>0</v>
      </c>
      <c r="AB119" s="387">
        <v>0</v>
      </c>
      <c r="AC119" s="387">
        <v>0</v>
      </c>
      <c r="AD119" s="525">
        <v>0</v>
      </c>
      <c r="AE119" s="387">
        <v>0</v>
      </c>
      <c r="AF119" s="526">
        <f t="shared" si="51"/>
        <v>0</v>
      </c>
      <c r="AG119" s="526">
        <f t="shared" si="52"/>
        <v>0</v>
      </c>
      <c r="AH119" s="527">
        <f t="shared" si="49"/>
        <v>0</v>
      </c>
      <c r="AI119" s="525">
        <v>0</v>
      </c>
      <c r="AJ119" s="387">
        <v>0</v>
      </c>
      <c r="AK119" s="526">
        <f t="shared" si="53"/>
        <v>0</v>
      </c>
      <c r="AL119" s="526">
        <f t="shared" si="54"/>
        <v>0</v>
      </c>
      <c r="AM119" s="527">
        <f t="shared" si="50"/>
        <v>0</v>
      </c>
      <c r="AN119" s="387">
        <v>0</v>
      </c>
      <c r="AO119" s="387">
        <v>0</v>
      </c>
      <c r="AP119" s="73"/>
      <c r="AQ119" s="241">
        <v>133148.16999999998</v>
      </c>
      <c r="AR119" s="659">
        <v>80173.52</v>
      </c>
    </row>
    <row r="120" spans="1:44">
      <c r="A120" s="236" t="s">
        <v>1641</v>
      </c>
      <c r="B120" s="236" t="s">
        <v>1625</v>
      </c>
      <c r="C120" s="236" t="str">
        <f>CONCATENATE(B120," ",A120," CHARTER")</f>
        <v>17916 IMPACT SALISH SEA CHARTER</v>
      </c>
      <c r="D120" s="387">
        <v>0</v>
      </c>
      <c r="E120" s="387">
        <v>0</v>
      </c>
      <c r="F120" s="387">
        <v>0</v>
      </c>
      <c r="G120" s="387">
        <v>487274.8</v>
      </c>
      <c r="H120" s="387">
        <v>37529.879999999997</v>
      </c>
      <c r="I120" s="387">
        <v>114452.36</v>
      </c>
      <c r="J120" s="387">
        <v>143628.94</v>
      </c>
      <c r="K120" s="387">
        <v>165532.03</v>
      </c>
      <c r="L120" s="387">
        <v>13899.56</v>
      </c>
      <c r="M120" s="387">
        <v>131981.32999999999</v>
      </c>
      <c r="N120" s="388">
        <v>3.5000000000000003E-2</v>
      </c>
      <c r="O120" s="389">
        <v>0.14979999999999999</v>
      </c>
      <c r="P120" s="387">
        <v>0</v>
      </c>
      <c r="Q120" s="387">
        <v>0</v>
      </c>
      <c r="R120" s="387">
        <v>0</v>
      </c>
      <c r="S120" s="387">
        <v>0</v>
      </c>
      <c r="T120" s="387">
        <v>0</v>
      </c>
      <c r="U120" s="387">
        <v>0</v>
      </c>
      <c r="V120" s="387">
        <v>0</v>
      </c>
      <c r="W120" s="387">
        <v>0</v>
      </c>
      <c r="X120" s="387">
        <v>0</v>
      </c>
      <c r="Y120" s="387">
        <v>0</v>
      </c>
      <c r="Z120" s="387">
        <v>0</v>
      </c>
      <c r="AA120" s="387">
        <v>0</v>
      </c>
      <c r="AB120" s="387">
        <v>0</v>
      </c>
      <c r="AC120" s="387">
        <v>0</v>
      </c>
      <c r="AD120" s="525">
        <v>0</v>
      </c>
      <c r="AE120" s="387">
        <v>0</v>
      </c>
      <c r="AF120" s="526">
        <f t="shared" si="51"/>
        <v>0</v>
      </c>
      <c r="AG120" s="526">
        <f t="shared" si="52"/>
        <v>0</v>
      </c>
      <c r="AH120" s="527">
        <f t="shared" si="49"/>
        <v>0</v>
      </c>
      <c r="AI120" s="525">
        <v>0</v>
      </c>
      <c r="AJ120" s="387">
        <v>0</v>
      </c>
      <c r="AK120" s="526">
        <f t="shared" si="53"/>
        <v>0</v>
      </c>
      <c r="AL120" s="526">
        <f t="shared" si="54"/>
        <v>0</v>
      </c>
      <c r="AM120" s="527">
        <f t="shared" si="50"/>
        <v>0</v>
      </c>
      <c r="AN120" s="387">
        <v>0</v>
      </c>
      <c r="AO120" s="387">
        <v>0</v>
      </c>
      <c r="AP120" s="73"/>
      <c r="AQ120" s="241">
        <v>31291.949999999975</v>
      </c>
      <c r="AR120" s="659">
        <v>59067.93</v>
      </c>
    </row>
    <row r="121" spans="1:44">
      <c r="A121" s="236" t="s">
        <v>2055</v>
      </c>
      <c r="B121" s="236" t="s">
        <v>1687</v>
      </c>
      <c r="C121" s="236" t="str">
        <f>CONCATENATE(B121," ",A121," CHARTER")</f>
        <v>27902 IMPACT TACOMA CHARTER</v>
      </c>
      <c r="D121" s="387">
        <v>0</v>
      </c>
      <c r="E121" s="387">
        <v>0</v>
      </c>
      <c r="F121" s="387">
        <v>0</v>
      </c>
      <c r="G121" s="387">
        <v>515837.76</v>
      </c>
      <c r="H121" s="387">
        <v>66416.34</v>
      </c>
      <c r="I121" s="387">
        <v>87896.72</v>
      </c>
      <c r="J121" s="387">
        <v>125088.39</v>
      </c>
      <c r="K121" s="387">
        <v>33547.300000000003</v>
      </c>
      <c r="L121" s="387">
        <v>7773.19</v>
      </c>
      <c r="M121" s="387">
        <v>207372.37</v>
      </c>
      <c r="N121" s="388">
        <v>3.5000000000000003E-2</v>
      </c>
      <c r="O121" s="389">
        <v>0.14979999999999999</v>
      </c>
      <c r="P121" s="387">
        <v>0</v>
      </c>
      <c r="Q121" s="387">
        <v>0</v>
      </c>
      <c r="R121" s="387">
        <v>0</v>
      </c>
      <c r="S121" s="387">
        <v>0</v>
      </c>
      <c r="T121" s="387">
        <v>0</v>
      </c>
      <c r="U121" s="387">
        <v>0</v>
      </c>
      <c r="V121" s="387">
        <v>0</v>
      </c>
      <c r="W121" s="387">
        <v>0</v>
      </c>
      <c r="X121" s="387">
        <v>0</v>
      </c>
      <c r="Y121" s="387">
        <v>0</v>
      </c>
      <c r="Z121" s="387">
        <v>0</v>
      </c>
      <c r="AA121" s="387">
        <v>0</v>
      </c>
      <c r="AB121" s="387">
        <v>0</v>
      </c>
      <c r="AC121" s="387">
        <v>0</v>
      </c>
      <c r="AD121" s="525">
        <v>0</v>
      </c>
      <c r="AE121" s="387">
        <v>0</v>
      </c>
      <c r="AF121" s="526">
        <f t="shared" si="51"/>
        <v>0</v>
      </c>
      <c r="AG121" s="526">
        <f t="shared" si="52"/>
        <v>0</v>
      </c>
      <c r="AH121" s="527">
        <f t="shared" si="49"/>
        <v>0</v>
      </c>
      <c r="AI121" s="525">
        <v>0</v>
      </c>
      <c r="AJ121" s="387">
        <v>0</v>
      </c>
      <c r="AK121" s="526">
        <f t="shared" si="53"/>
        <v>0</v>
      </c>
      <c r="AL121" s="526">
        <f t="shared" si="54"/>
        <v>0</v>
      </c>
      <c r="AM121" s="527">
        <f t="shared" si="50"/>
        <v>0</v>
      </c>
      <c r="AN121" s="387">
        <v>0</v>
      </c>
      <c r="AO121" s="387">
        <v>0</v>
      </c>
      <c r="AP121" s="73"/>
      <c r="AQ121" s="241">
        <v>22432.619999999995</v>
      </c>
      <c r="AR121" s="659">
        <v>35817.81</v>
      </c>
    </row>
    <row r="122" spans="1:44">
      <c r="A122" s="236" t="s">
        <v>264</v>
      </c>
      <c r="B122" s="236" t="s">
        <v>263</v>
      </c>
      <c r="C122" s="236" t="str">
        <f t="shared" ref="C122:C147" si="56">CONCATENATE(B122," ",A122," SCHOOL DISTRICT")</f>
        <v>10070 INCHELIUM SCHOOL DISTRICT</v>
      </c>
      <c r="D122" s="387">
        <v>0</v>
      </c>
      <c r="E122" s="387">
        <v>0</v>
      </c>
      <c r="F122" s="387">
        <v>0</v>
      </c>
      <c r="G122" s="387">
        <v>266938.84000000003</v>
      </c>
      <c r="H122" s="387">
        <v>36137.42</v>
      </c>
      <c r="I122" s="387">
        <v>58600.74</v>
      </c>
      <c r="J122" s="387">
        <v>105286.37</v>
      </c>
      <c r="K122" s="387">
        <v>0</v>
      </c>
      <c r="L122" s="387">
        <v>0</v>
      </c>
      <c r="M122" s="387">
        <v>0</v>
      </c>
      <c r="N122" s="388">
        <v>2.1600000000000001E-2</v>
      </c>
      <c r="O122" s="389">
        <v>0.26629999999999998</v>
      </c>
      <c r="P122" s="387">
        <v>0</v>
      </c>
      <c r="Q122" s="387">
        <v>0</v>
      </c>
      <c r="R122" s="387">
        <v>0</v>
      </c>
      <c r="S122" s="387">
        <v>0</v>
      </c>
      <c r="T122" s="387">
        <v>0</v>
      </c>
      <c r="U122" s="387">
        <v>0</v>
      </c>
      <c r="V122" s="387">
        <v>0</v>
      </c>
      <c r="W122" s="387">
        <v>0</v>
      </c>
      <c r="X122" s="387">
        <v>0</v>
      </c>
      <c r="Y122" s="387">
        <v>0</v>
      </c>
      <c r="Z122" s="387">
        <v>0</v>
      </c>
      <c r="AA122" s="387">
        <v>0</v>
      </c>
      <c r="AB122" s="387">
        <v>27231.97</v>
      </c>
      <c r="AC122" s="387">
        <v>70648.52</v>
      </c>
      <c r="AD122" s="525">
        <v>6.51</v>
      </c>
      <c r="AE122" s="387">
        <v>60253.79</v>
      </c>
      <c r="AF122" s="526">
        <f t="shared" si="51"/>
        <v>9255.57</v>
      </c>
      <c r="AG122" s="526">
        <f t="shared" si="52"/>
        <v>10852.31</v>
      </c>
      <c r="AH122" s="527">
        <f t="shared" si="49"/>
        <v>1596.74</v>
      </c>
      <c r="AI122" s="525">
        <v>2.85</v>
      </c>
      <c r="AJ122" s="387">
        <v>25950.06</v>
      </c>
      <c r="AK122" s="526">
        <f t="shared" si="53"/>
        <v>9105.2800000000007</v>
      </c>
      <c r="AL122" s="526">
        <f t="shared" si="54"/>
        <v>9555.08</v>
      </c>
      <c r="AM122" s="527">
        <f t="shared" si="50"/>
        <v>449.8</v>
      </c>
      <c r="AN122" s="387">
        <v>928.87</v>
      </c>
      <c r="AO122" s="387">
        <v>0</v>
      </c>
      <c r="AP122" s="73"/>
      <c r="AQ122" s="241">
        <v>0</v>
      </c>
      <c r="AR122" s="659">
        <v>30048.100000000002</v>
      </c>
    </row>
    <row r="123" spans="1:44">
      <c r="A123" s="236" t="s">
        <v>577</v>
      </c>
      <c r="B123" s="236" t="s">
        <v>576</v>
      </c>
      <c r="C123" s="236" t="str">
        <f t="shared" si="56"/>
        <v>31063 INDEX SCHOOL DISTRICT</v>
      </c>
      <c r="D123" s="387">
        <v>2227.27</v>
      </c>
      <c r="E123" s="387">
        <v>0</v>
      </c>
      <c r="F123" s="387">
        <v>0</v>
      </c>
      <c r="G123" s="387">
        <v>70551.73</v>
      </c>
      <c r="H123" s="387">
        <v>5387.55</v>
      </c>
      <c r="I123" s="387">
        <v>8765.49</v>
      </c>
      <c r="J123" s="387">
        <v>10017.719999999999</v>
      </c>
      <c r="K123" s="387">
        <v>0</v>
      </c>
      <c r="L123" s="387">
        <v>0</v>
      </c>
      <c r="M123" s="387">
        <v>92863.02</v>
      </c>
      <c r="N123" s="388">
        <v>9.5899999999999999E-2</v>
      </c>
      <c r="O123" s="389">
        <v>0.41289999999999999</v>
      </c>
      <c r="P123" s="387">
        <v>0</v>
      </c>
      <c r="Q123" s="387">
        <v>0</v>
      </c>
      <c r="R123" s="387">
        <v>0</v>
      </c>
      <c r="S123" s="387">
        <v>0</v>
      </c>
      <c r="T123" s="387">
        <v>0</v>
      </c>
      <c r="U123" s="387">
        <v>0</v>
      </c>
      <c r="V123" s="387">
        <v>0</v>
      </c>
      <c r="W123" s="387">
        <v>0</v>
      </c>
      <c r="X123" s="387">
        <v>0</v>
      </c>
      <c r="Y123" s="387">
        <v>40.159999999999997</v>
      </c>
      <c r="Z123" s="387">
        <v>0</v>
      </c>
      <c r="AA123" s="387">
        <v>0</v>
      </c>
      <c r="AB123" s="387">
        <v>0</v>
      </c>
      <c r="AC123" s="387">
        <v>0</v>
      </c>
      <c r="AD123" s="525">
        <v>0</v>
      </c>
      <c r="AE123" s="387">
        <v>0</v>
      </c>
      <c r="AF123" s="526">
        <f t="shared" si="51"/>
        <v>0</v>
      </c>
      <c r="AG123" s="526">
        <f t="shared" si="52"/>
        <v>0</v>
      </c>
      <c r="AH123" s="527">
        <f t="shared" si="49"/>
        <v>0</v>
      </c>
      <c r="AI123" s="525">
        <v>0</v>
      </c>
      <c r="AJ123" s="387">
        <v>0</v>
      </c>
      <c r="AK123" s="526">
        <f t="shared" si="53"/>
        <v>0</v>
      </c>
      <c r="AL123" s="526">
        <f t="shared" si="54"/>
        <v>0</v>
      </c>
      <c r="AM123" s="527">
        <f t="shared" si="50"/>
        <v>0</v>
      </c>
      <c r="AN123" s="387">
        <v>0</v>
      </c>
      <c r="AO123" s="387">
        <v>0</v>
      </c>
      <c r="AP123" s="73"/>
      <c r="AQ123" s="241">
        <v>0</v>
      </c>
      <c r="AR123" s="659">
        <v>7524.0400000000009</v>
      </c>
    </row>
    <row r="124" spans="1:44">
      <c r="A124" s="236" t="s">
        <v>365</v>
      </c>
      <c r="B124" s="236" t="s">
        <v>364</v>
      </c>
      <c r="C124" s="236" t="str">
        <f t="shared" si="56"/>
        <v>17411 ISSAQUAH SCHOOL DISTRICT</v>
      </c>
      <c r="D124" s="387">
        <v>0</v>
      </c>
      <c r="E124" s="387">
        <v>0</v>
      </c>
      <c r="F124" s="387">
        <v>0</v>
      </c>
      <c r="G124" s="387">
        <v>30449251.84</v>
      </c>
      <c r="H124" s="387">
        <v>4288392.45</v>
      </c>
      <c r="I124" s="387">
        <v>0</v>
      </c>
      <c r="J124" s="387">
        <v>1971485.77</v>
      </c>
      <c r="K124" s="387">
        <v>3021606.78</v>
      </c>
      <c r="L124" s="387">
        <v>674317.25</v>
      </c>
      <c r="M124" s="387">
        <v>14189408.15</v>
      </c>
      <c r="N124" s="388">
        <v>1.11E-2</v>
      </c>
      <c r="O124" s="389">
        <v>0.14499999999999999</v>
      </c>
      <c r="P124" s="387">
        <v>0</v>
      </c>
      <c r="Q124" s="387">
        <v>0</v>
      </c>
      <c r="R124" s="387">
        <v>0</v>
      </c>
      <c r="S124" s="387">
        <v>2758100.48</v>
      </c>
      <c r="T124" s="387">
        <v>0</v>
      </c>
      <c r="U124" s="387">
        <v>88714.64</v>
      </c>
      <c r="V124" s="387">
        <v>0</v>
      </c>
      <c r="W124" s="387">
        <v>0</v>
      </c>
      <c r="X124" s="387">
        <v>0</v>
      </c>
      <c r="Y124" s="387">
        <v>16187.5</v>
      </c>
      <c r="Z124" s="387">
        <v>11095.6</v>
      </c>
      <c r="AA124" s="387">
        <v>185356.15</v>
      </c>
      <c r="AB124" s="387">
        <v>595116.61</v>
      </c>
      <c r="AC124" s="387">
        <v>12350004.98</v>
      </c>
      <c r="AD124" s="525">
        <v>1039.7</v>
      </c>
      <c r="AE124" s="387">
        <v>10827708.560000001</v>
      </c>
      <c r="AF124" s="526">
        <f t="shared" si="51"/>
        <v>10414.26</v>
      </c>
      <c r="AG124" s="526">
        <f t="shared" si="52"/>
        <v>11878.43</v>
      </c>
      <c r="AH124" s="527">
        <f t="shared" si="49"/>
        <v>1464.17</v>
      </c>
      <c r="AI124" s="525">
        <v>55.33</v>
      </c>
      <c r="AJ124" s="387">
        <v>566239.31999999995</v>
      </c>
      <c r="AK124" s="526">
        <f t="shared" si="53"/>
        <v>10233.86</v>
      </c>
      <c r="AL124" s="526">
        <f t="shared" si="54"/>
        <v>10755.77</v>
      </c>
      <c r="AM124" s="527">
        <f t="shared" si="50"/>
        <v>521.91</v>
      </c>
      <c r="AN124" s="387">
        <v>25575.11</v>
      </c>
      <c r="AO124" s="387">
        <v>0</v>
      </c>
      <c r="AP124" s="73"/>
      <c r="AQ124" s="241">
        <v>535645.39000000129</v>
      </c>
      <c r="AR124" s="659">
        <v>2175168.2199999997</v>
      </c>
    </row>
    <row r="125" spans="1:44">
      <c r="A125" s="236" t="s">
        <v>274</v>
      </c>
      <c r="B125" s="236" t="s">
        <v>273</v>
      </c>
      <c r="C125" s="236" t="str">
        <f t="shared" si="56"/>
        <v>11056 KAHLOTUS SCHOOL DISTRICT</v>
      </c>
      <c r="D125" s="387">
        <v>0</v>
      </c>
      <c r="E125" s="387">
        <v>0</v>
      </c>
      <c r="F125" s="387">
        <v>0</v>
      </c>
      <c r="G125" s="387">
        <v>0</v>
      </c>
      <c r="H125" s="387">
        <v>0</v>
      </c>
      <c r="I125" s="387">
        <v>15514.02</v>
      </c>
      <c r="J125" s="387">
        <v>23380.28</v>
      </c>
      <c r="K125" s="387">
        <v>0</v>
      </c>
      <c r="L125" s="387">
        <v>1748.06</v>
      </c>
      <c r="M125" s="387">
        <v>93964.22</v>
      </c>
      <c r="N125" s="388">
        <v>2.8999999999999998E-3</v>
      </c>
      <c r="O125" s="389">
        <v>0.3569</v>
      </c>
      <c r="P125" s="387">
        <v>0</v>
      </c>
      <c r="Q125" s="387">
        <v>0</v>
      </c>
      <c r="R125" s="387">
        <v>0</v>
      </c>
      <c r="S125" s="387">
        <v>0</v>
      </c>
      <c r="T125" s="387">
        <v>0</v>
      </c>
      <c r="U125" s="387">
        <v>0</v>
      </c>
      <c r="V125" s="387">
        <v>0</v>
      </c>
      <c r="W125" s="387">
        <v>0</v>
      </c>
      <c r="X125" s="387">
        <v>0</v>
      </c>
      <c r="Y125" s="387">
        <v>0</v>
      </c>
      <c r="Z125" s="387">
        <v>0</v>
      </c>
      <c r="AA125" s="387">
        <v>0</v>
      </c>
      <c r="AB125" s="387">
        <v>9100.9699999999993</v>
      </c>
      <c r="AC125" s="387">
        <v>38610.839999999997</v>
      </c>
      <c r="AD125" s="525">
        <v>4.0199999999999996</v>
      </c>
      <c r="AE125" s="387">
        <v>37585.85</v>
      </c>
      <c r="AF125" s="526">
        <f t="shared" si="51"/>
        <v>9349.7099999999991</v>
      </c>
      <c r="AG125" s="526">
        <f t="shared" si="52"/>
        <v>9604.69</v>
      </c>
      <c r="AH125" s="527">
        <f t="shared" si="49"/>
        <v>254.98</v>
      </c>
      <c r="AI125" s="525">
        <v>0.94</v>
      </c>
      <c r="AJ125" s="387">
        <v>8708.07</v>
      </c>
      <c r="AK125" s="526">
        <f t="shared" si="53"/>
        <v>9263.9</v>
      </c>
      <c r="AL125" s="526">
        <f t="shared" si="54"/>
        <v>9681.8799999999992</v>
      </c>
      <c r="AM125" s="527">
        <f t="shared" si="50"/>
        <v>417.98</v>
      </c>
      <c r="AN125" s="387">
        <v>0</v>
      </c>
      <c r="AO125" s="387">
        <v>39.950000000000003</v>
      </c>
      <c r="AP125" s="73"/>
      <c r="AQ125" s="241">
        <v>19463.27</v>
      </c>
      <c r="AR125" s="659">
        <v>20241.47</v>
      </c>
    </row>
    <row r="126" spans="1:44">
      <c r="A126" s="236" t="s">
        <v>240</v>
      </c>
      <c r="B126" s="236" t="s">
        <v>239</v>
      </c>
      <c r="C126" s="236" t="str">
        <f t="shared" si="56"/>
        <v>08402 KALAMA SCHOOL DISTRICT</v>
      </c>
      <c r="D126" s="387">
        <v>0</v>
      </c>
      <c r="E126" s="387">
        <v>23849.05</v>
      </c>
      <c r="F126" s="387">
        <v>0</v>
      </c>
      <c r="G126" s="387">
        <v>0</v>
      </c>
      <c r="H126" s="387">
        <v>0</v>
      </c>
      <c r="I126" s="387">
        <v>0</v>
      </c>
      <c r="J126" s="387">
        <v>281196.89</v>
      </c>
      <c r="K126" s="387">
        <v>60452.79</v>
      </c>
      <c r="L126" s="387">
        <v>0</v>
      </c>
      <c r="M126" s="387">
        <v>0</v>
      </c>
      <c r="N126" s="388">
        <v>2.0299999999999999E-2</v>
      </c>
      <c r="O126" s="389">
        <v>0.23150000000000001</v>
      </c>
      <c r="P126" s="387">
        <v>0</v>
      </c>
      <c r="Q126" s="387">
        <v>0</v>
      </c>
      <c r="R126" s="387">
        <v>0</v>
      </c>
      <c r="S126" s="387">
        <v>0</v>
      </c>
      <c r="T126" s="387">
        <v>0</v>
      </c>
      <c r="U126" s="387">
        <v>0</v>
      </c>
      <c r="V126" s="387">
        <v>0</v>
      </c>
      <c r="W126" s="387">
        <v>0</v>
      </c>
      <c r="X126" s="387">
        <v>0</v>
      </c>
      <c r="Y126" s="387">
        <v>1279.5999999999999</v>
      </c>
      <c r="Z126" s="387">
        <v>0</v>
      </c>
      <c r="AA126" s="387">
        <v>2830.5</v>
      </c>
      <c r="AB126" s="387">
        <v>51420.17</v>
      </c>
      <c r="AC126" s="387">
        <v>331145.11</v>
      </c>
      <c r="AD126" s="525">
        <v>30.5</v>
      </c>
      <c r="AE126" s="387">
        <v>282645.62</v>
      </c>
      <c r="AF126" s="526">
        <f t="shared" si="51"/>
        <v>9267.07</v>
      </c>
      <c r="AG126" s="526">
        <f t="shared" si="52"/>
        <v>10857.22</v>
      </c>
      <c r="AH126" s="527">
        <f t="shared" si="49"/>
        <v>1590.15</v>
      </c>
      <c r="AI126" s="525">
        <v>5.38</v>
      </c>
      <c r="AJ126" s="387">
        <v>48834.91</v>
      </c>
      <c r="AK126" s="526">
        <f t="shared" si="53"/>
        <v>9077.1200000000008</v>
      </c>
      <c r="AL126" s="526">
        <f t="shared" si="54"/>
        <v>9557.65</v>
      </c>
      <c r="AM126" s="527">
        <f t="shared" si="50"/>
        <v>480.53</v>
      </c>
      <c r="AN126" s="387">
        <v>0</v>
      </c>
      <c r="AO126" s="387">
        <v>0</v>
      </c>
      <c r="AP126" s="73"/>
      <c r="AQ126" s="241">
        <v>99909.549999999988</v>
      </c>
      <c r="AR126" s="659">
        <v>99820.88</v>
      </c>
    </row>
    <row r="127" spans="1:44">
      <c r="A127" s="236" t="s">
        <v>258</v>
      </c>
      <c r="B127" s="236" t="s">
        <v>257</v>
      </c>
      <c r="C127" s="236" t="str">
        <f t="shared" si="56"/>
        <v>10003 KELLER SCHOOL DISTRICT</v>
      </c>
      <c r="D127" s="387">
        <v>803.65</v>
      </c>
      <c r="E127" s="387">
        <v>0</v>
      </c>
      <c r="F127" s="387">
        <v>0</v>
      </c>
      <c r="G127" s="387">
        <v>54791.08</v>
      </c>
      <c r="H127" s="387">
        <v>3019.26</v>
      </c>
      <c r="I127" s="387">
        <v>13864.88</v>
      </c>
      <c r="J127" s="387">
        <v>28163.02</v>
      </c>
      <c r="K127" s="387">
        <v>0</v>
      </c>
      <c r="L127" s="387">
        <v>0</v>
      </c>
      <c r="M127" s="387">
        <v>219943.29</v>
      </c>
      <c r="N127" s="388">
        <v>6.4699999999999994E-2</v>
      </c>
      <c r="O127" s="389">
        <v>0.2989</v>
      </c>
      <c r="P127" s="387">
        <v>0</v>
      </c>
      <c r="Q127" s="387">
        <v>0</v>
      </c>
      <c r="R127" s="387">
        <v>0</v>
      </c>
      <c r="S127" s="387">
        <v>0</v>
      </c>
      <c r="T127" s="387">
        <v>0</v>
      </c>
      <c r="U127" s="387">
        <v>0</v>
      </c>
      <c r="V127" s="387">
        <v>0</v>
      </c>
      <c r="W127" s="387">
        <v>0</v>
      </c>
      <c r="X127" s="387">
        <v>0</v>
      </c>
      <c r="Y127" s="387">
        <v>0</v>
      </c>
      <c r="Z127" s="387">
        <v>0</v>
      </c>
      <c r="AA127" s="387">
        <v>0</v>
      </c>
      <c r="AB127" s="387">
        <v>0</v>
      </c>
      <c r="AC127" s="387">
        <v>0</v>
      </c>
      <c r="AD127" s="525">
        <v>0</v>
      </c>
      <c r="AE127" s="387">
        <v>0</v>
      </c>
      <c r="AF127" s="526">
        <f t="shared" si="51"/>
        <v>0</v>
      </c>
      <c r="AG127" s="526">
        <f t="shared" si="52"/>
        <v>0</v>
      </c>
      <c r="AH127" s="527">
        <f t="shared" si="49"/>
        <v>0</v>
      </c>
      <c r="AI127" s="525">
        <v>0</v>
      </c>
      <c r="AJ127" s="387">
        <v>0</v>
      </c>
      <c r="AK127" s="526">
        <f t="shared" si="53"/>
        <v>0</v>
      </c>
      <c r="AL127" s="526">
        <f t="shared" si="54"/>
        <v>0</v>
      </c>
      <c r="AM127" s="527">
        <f t="shared" si="50"/>
        <v>0</v>
      </c>
      <c r="AN127" s="387">
        <v>158.04</v>
      </c>
      <c r="AO127" s="387">
        <v>0</v>
      </c>
      <c r="AP127" s="73"/>
      <c r="AQ127" s="241">
        <v>8413.5600000000013</v>
      </c>
      <c r="AR127" s="659">
        <v>5323.54</v>
      </c>
    </row>
    <row r="128" spans="1:44">
      <c r="A128" s="236" t="s">
        <v>244</v>
      </c>
      <c r="B128" s="236" t="s">
        <v>243</v>
      </c>
      <c r="C128" s="236" t="str">
        <f t="shared" si="56"/>
        <v>08458 KELSO SCHOOL DISTRICT</v>
      </c>
      <c r="D128" s="387">
        <v>0</v>
      </c>
      <c r="E128" s="387">
        <v>124714.42</v>
      </c>
      <c r="F128" s="387">
        <v>82390.350000000006</v>
      </c>
      <c r="G128" s="387">
        <v>10926825.26</v>
      </c>
      <c r="H128" s="387">
        <v>1854349.25</v>
      </c>
      <c r="I128" s="387">
        <v>1501413.79</v>
      </c>
      <c r="J128" s="387">
        <v>2190757.81</v>
      </c>
      <c r="K128" s="387">
        <v>564759.17000000004</v>
      </c>
      <c r="L128" s="387">
        <v>151971.97</v>
      </c>
      <c r="M128" s="387">
        <v>2993902.53</v>
      </c>
      <c r="N128" s="388">
        <v>4.8399999999999999E-2</v>
      </c>
      <c r="O128" s="389">
        <v>0.1646</v>
      </c>
      <c r="P128" s="387">
        <v>0</v>
      </c>
      <c r="Q128" s="387">
        <v>0</v>
      </c>
      <c r="R128" s="387">
        <v>0</v>
      </c>
      <c r="S128" s="387">
        <v>0</v>
      </c>
      <c r="T128" s="387">
        <v>0</v>
      </c>
      <c r="U128" s="387">
        <v>0</v>
      </c>
      <c r="V128" s="387">
        <v>0</v>
      </c>
      <c r="W128" s="387">
        <v>0</v>
      </c>
      <c r="X128" s="387">
        <v>0</v>
      </c>
      <c r="Y128" s="387">
        <v>4756.96</v>
      </c>
      <c r="Z128" s="387">
        <v>29871.73</v>
      </c>
      <c r="AA128" s="387">
        <v>104786.65</v>
      </c>
      <c r="AB128" s="387">
        <v>665097.82999999996</v>
      </c>
      <c r="AC128" s="387">
        <v>4049972.25</v>
      </c>
      <c r="AD128" s="525">
        <v>416.85</v>
      </c>
      <c r="AE128" s="387">
        <v>3862481.88</v>
      </c>
      <c r="AF128" s="526">
        <f t="shared" si="51"/>
        <v>9265.8799999999992</v>
      </c>
      <c r="AG128" s="526">
        <f t="shared" si="52"/>
        <v>9715.66</v>
      </c>
      <c r="AH128" s="527">
        <f t="shared" si="49"/>
        <v>449.78</v>
      </c>
      <c r="AI128" s="525">
        <v>69.66</v>
      </c>
      <c r="AJ128" s="387">
        <v>632747.31999999995</v>
      </c>
      <c r="AK128" s="526">
        <f t="shared" si="53"/>
        <v>9083.3700000000008</v>
      </c>
      <c r="AL128" s="526">
        <f t="shared" si="54"/>
        <v>9547.77</v>
      </c>
      <c r="AM128" s="527">
        <f t="shared" si="50"/>
        <v>464.4</v>
      </c>
      <c r="AN128" s="387">
        <v>0</v>
      </c>
      <c r="AO128" s="387">
        <v>0</v>
      </c>
      <c r="AP128" s="73"/>
      <c r="AQ128" s="241">
        <v>0</v>
      </c>
      <c r="AR128" s="659">
        <v>567006.38</v>
      </c>
    </row>
    <row r="129" spans="1:44">
      <c r="A129" s="236" t="s">
        <v>178</v>
      </c>
      <c r="B129" s="236" t="s">
        <v>177</v>
      </c>
      <c r="C129" s="236" t="str">
        <f t="shared" si="56"/>
        <v>03017 KENNEWICK SCHOOL DISTRICT</v>
      </c>
      <c r="D129" s="387">
        <v>0</v>
      </c>
      <c r="E129" s="387">
        <v>514804.97</v>
      </c>
      <c r="F129" s="387">
        <v>113835.05</v>
      </c>
      <c r="G129" s="387">
        <v>29405188.370000001</v>
      </c>
      <c r="H129" s="387">
        <v>6530589.7800000003</v>
      </c>
      <c r="I129" s="387">
        <v>4081362.84</v>
      </c>
      <c r="J129" s="387">
        <v>7644742.7999999998</v>
      </c>
      <c r="K129" s="387">
        <v>6055408.25</v>
      </c>
      <c r="L129" s="387">
        <v>586549</v>
      </c>
      <c r="M129" s="387">
        <v>11191243.109999999</v>
      </c>
      <c r="N129" s="388">
        <v>2.3800000000000002E-2</v>
      </c>
      <c r="O129" s="389">
        <v>0.11119999999999999</v>
      </c>
      <c r="P129" s="387">
        <v>0</v>
      </c>
      <c r="Q129" s="387">
        <v>0</v>
      </c>
      <c r="R129" s="387">
        <v>0</v>
      </c>
      <c r="S129" s="387">
        <v>554734.87</v>
      </c>
      <c r="T129" s="387">
        <v>16044.639999999956</v>
      </c>
      <c r="U129" s="387">
        <v>16568.37</v>
      </c>
      <c r="V129" s="387">
        <v>0</v>
      </c>
      <c r="W129" s="387">
        <v>0</v>
      </c>
      <c r="X129" s="387">
        <v>0</v>
      </c>
      <c r="Y129" s="387">
        <v>568.96</v>
      </c>
      <c r="Z129" s="387">
        <v>2834.8</v>
      </c>
      <c r="AA129" s="387">
        <v>161987.51</v>
      </c>
      <c r="AB129" s="387">
        <v>1239105.31</v>
      </c>
      <c r="AC129" s="387">
        <v>9467217.0199999996</v>
      </c>
      <c r="AD129" s="525">
        <v>947.33</v>
      </c>
      <c r="AE129" s="387">
        <v>8777811.1199999992</v>
      </c>
      <c r="AF129" s="526">
        <f t="shared" si="51"/>
        <v>9265.84</v>
      </c>
      <c r="AG129" s="526">
        <f t="shared" si="52"/>
        <v>9993.58</v>
      </c>
      <c r="AH129" s="527">
        <f t="shared" si="49"/>
        <v>727.74</v>
      </c>
      <c r="AI129" s="525">
        <v>129.75</v>
      </c>
      <c r="AJ129" s="387">
        <v>1178617.27</v>
      </c>
      <c r="AK129" s="526">
        <f t="shared" si="53"/>
        <v>9083.76</v>
      </c>
      <c r="AL129" s="526">
        <f t="shared" si="54"/>
        <v>9549.94</v>
      </c>
      <c r="AM129" s="527">
        <f t="shared" si="50"/>
        <v>466.18</v>
      </c>
      <c r="AN129" s="387">
        <v>0</v>
      </c>
      <c r="AO129" s="387">
        <v>0</v>
      </c>
      <c r="AP129" s="73"/>
      <c r="AQ129" s="241">
        <v>59649.559999999357</v>
      </c>
      <c r="AR129" s="659">
        <v>2094837.5899999999</v>
      </c>
    </row>
    <row r="130" spans="1:44">
      <c r="A130" s="236" t="s">
        <v>371</v>
      </c>
      <c r="B130" s="236" t="s">
        <v>370</v>
      </c>
      <c r="C130" s="236" t="str">
        <f t="shared" si="56"/>
        <v>17415 KENT SCHOOL DISTRICT</v>
      </c>
      <c r="D130" s="387">
        <v>0</v>
      </c>
      <c r="E130" s="387">
        <v>882769.83</v>
      </c>
      <c r="F130" s="387">
        <v>436670.45</v>
      </c>
      <c r="G130" s="387">
        <v>57343175.960000001</v>
      </c>
      <c r="H130" s="387">
        <v>10108502.960000001</v>
      </c>
      <c r="I130" s="387">
        <v>4928839.63</v>
      </c>
      <c r="J130" s="387">
        <v>11443983.970000001</v>
      </c>
      <c r="K130" s="387">
        <v>15099282.76</v>
      </c>
      <c r="L130" s="387">
        <v>911486.59</v>
      </c>
      <c r="M130" s="387">
        <v>18389058.329999998</v>
      </c>
      <c r="N130" s="388">
        <v>4.7600000000000003E-2</v>
      </c>
      <c r="O130" s="389">
        <v>0.1487</v>
      </c>
      <c r="P130" s="387">
        <v>0</v>
      </c>
      <c r="Q130" s="387">
        <v>0</v>
      </c>
      <c r="R130" s="387">
        <v>0</v>
      </c>
      <c r="S130" s="387">
        <v>0</v>
      </c>
      <c r="T130" s="387">
        <v>0</v>
      </c>
      <c r="U130" s="387">
        <v>0</v>
      </c>
      <c r="V130" s="387">
        <v>0</v>
      </c>
      <c r="W130" s="387">
        <v>0</v>
      </c>
      <c r="X130" s="387">
        <v>0</v>
      </c>
      <c r="Y130" s="387">
        <v>28337.64</v>
      </c>
      <c r="Z130" s="387">
        <v>298032.23</v>
      </c>
      <c r="AA130" s="387">
        <v>398838.49</v>
      </c>
      <c r="AB130" s="387">
        <v>3493745.93</v>
      </c>
      <c r="AC130" s="387">
        <v>19828069.620000001</v>
      </c>
      <c r="AD130" s="525">
        <v>1743.86</v>
      </c>
      <c r="AE130" s="387">
        <v>18161204.960000001</v>
      </c>
      <c r="AF130" s="526">
        <f t="shared" si="51"/>
        <v>10414.370000000001</v>
      </c>
      <c r="AG130" s="526">
        <f t="shared" si="52"/>
        <v>11370.22</v>
      </c>
      <c r="AH130" s="527">
        <f t="shared" si="49"/>
        <v>955.85</v>
      </c>
      <c r="AI130" s="525">
        <v>324.91000000000003</v>
      </c>
      <c r="AJ130" s="387">
        <v>3325961.19</v>
      </c>
      <c r="AK130" s="526">
        <f t="shared" si="53"/>
        <v>10236.56</v>
      </c>
      <c r="AL130" s="526">
        <f t="shared" si="54"/>
        <v>10752.97</v>
      </c>
      <c r="AM130" s="527">
        <f t="shared" si="50"/>
        <v>516.41</v>
      </c>
      <c r="AN130" s="387">
        <v>0</v>
      </c>
      <c r="AO130" s="387">
        <v>0</v>
      </c>
      <c r="AP130" s="73"/>
      <c r="AQ130" s="241">
        <v>227788.49000000348</v>
      </c>
      <c r="AR130" s="659">
        <v>3398717.48</v>
      </c>
    </row>
    <row r="131" spans="1:44">
      <c r="A131" s="236" t="s">
        <v>639</v>
      </c>
      <c r="B131" s="236" t="s">
        <v>638</v>
      </c>
      <c r="C131" s="236" t="str">
        <f t="shared" si="56"/>
        <v>33212 KETTLE FALLS SCHOOL DISTRICT</v>
      </c>
      <c r="D131" s="387">
        <v>0</v>
      </c>
      <c r="E131" s="387">
        <v>30120.11</v>
      </c>
      <c r="F131" s="387">
        <v>0</v>
      </c>
      <c r="G131" s="387">
        <v>1780730.46</v>
      </c>
      <c r="H131" s="387">
        <v>274704.44</v>
      </c>
      <c r="I131" s="387">
        <v>236643.41</v>
      </c>
      <c r="J131" s="387">
        <v>412432.53</v>
      </c>
      <c r="K131" s="387">
        <v>0</v>
      </c>
      <c r="L131" s="387">
        <v>33540.870000000003</v>
      </c>
      <c r="M131" s="387">
        <v>908261.67</v>
      </c>
      <c r="N131" s="388">
        <v>3.3399999999999999E-2</v>
      </c>
      <c r="O131" s="389">
        <v>0.2114</v>
      </c>
      <c r="P131" s="387">
        <v>0</v>
      </c>
      <c r="Q131" s="387">
        <v>0</v>
      </c>
      <c r="R131" s="387">
        <v>0</v>
      </c>
      <c r="S131" s="387">
        <v>0</v>
      </c>
      <c r="T131" s="387">
        <v>0</v>
      </c>
      <c r="U131" s="387">
        <v>0</v>
      </c>
      <c r="V131" s="387">
        <v>0</v>
      </c>
      <c r="W131" s="387">
        <v>0</v>
      </c>
      <c r="X131" s="387">
        <v>0</v>
      </c>
      <c r="Y131" s="387">
        <v>0</v>
      </c>
      <c r="Z131" s="387">
        <v>0</v>
      </c>
      <c r="AA131" s="387">
        <v>31680.53</v>
      </c>
      <c r="AB131" s="387">
        <v>0</v>
      </c>
      <c r="AC131" s="387">
        <v>643410.62</v>
      </c>
      <c r="AD131" s="525">
        <v>58.69</v>
      </c>
      <c r="AE131" s="387">
        <v>546462.34</v>
      </c>
      <c r="AF131" s="526">
        <f t="shared" si="51"/>
        <v>9311</v>
      </c>
      <c r="AG131" s="526">
        <f t="shared" si="52"/>
        <v>10962.87</v>
      </c>
      <c r="AH131" s="527">
        <f t="shared" si="49"/>
        <v>1651.87</v>
      </c>
      <c r="AI131" s="525">
        <v>0</v>
      </c>
      <c r="AJ131" s="387">
        <v>0</v>
      </c>
      <c r="AK131" s="526">
        <f t="shared" si="53"/>
        <v>0</v>
      </c>
      <c r="AL131" s="526">
        <f t="shared" si="54"/>
        <v>0</v>
      </c>
      <c r="AM131" s="527">
        <f t="shared" si="50"/>
        <v>0</v>
      </c>
      <c r="AN131" s="387">
        <v>0</v>
      </c>
      <c r="AO131" s="387">
        <v>0</v>
      </c>
      <c r="AP131" s="73"/>
      <c r="AQ131" s="241">
        <v>17838.059999999983</v>
      </c>
      <c r="AR131" s="659">
        <v>83093.23000000001</v>
      </c>
    </row>
    <row r="132" spans="1:44">
      <c r="A132" s="236" t="s">
        <v>182</v>
      </c>
      <c r="B132" s="236" t="s">
        <v>181</v>
      </c>
      <c r="C132" s="236" t="str">
        <f t="shared" si="56"/>
        <v>03052 KIONA BENTON SCHOOL DISTRICT</v>
      </c>
      <c r="D132" s="387">
        <v>0</v>
      </c>
      <c r="E132" s="387">
        <v>80014.45</v>
      </c>
      <c r="F132" s="387">
        <v>43652.480000000003</v>
      </c>
      <c r="G132" s="387">
        <v>2234304.65</v>
      </c>
      <c r="H132" s="387">
        <v>339358.38</v>
      </c>
      <c r="I132" s="387">
        <v>446770.08</v>
      </c>
      <c r="J132" s="387">
        <v>697104.76</v>
      </c>
      <c r="K132" s="387">
        <v>594503.06000000006</v>
      </c>
      <c r="L132" s="387">
        <v>42357.440000000002</v>
      </c>
      <c r="M132" s="387">
        <v>840217.26</v>
      </c>
      <c r="N132" s="388">
        <v>3.8899999999999997E-2</v>
      </c>
      <c r="O132" s="389">
        <v>0.17979999999999999</v>
      </c>
      <c r="P132" s="387">
        <v>0</v>
      </c>
      <c r="Q132" s="387">
        <v>0</v>
      </c>
      <c r="R132" s="387">
        <v>0</v>
      </c>
      <c r="S132" s="387">
        <v>0</v>
      </c>
      <c r="T132" s="387">
        <v>0</v>
      </c>
      <c r="U132" s="387">
        <v>0</v>
      </c>
      <c r="V132" s="387">
        <v>0</v>
      </c>
      <c r="W132" s="387">
        <v>0</v>
      </c>
      <c r="X132" s="387">
        <v>0</v>
      </c>
      <c r="Y132" s="387">
        <v>1569.66</v>
      </c>
      <c r="Z132" s="387">
        <v>725.13</v>
      </c>
      <c r="AA132" s="387">
        <v>32162.71</v>
      </c>
      <c r="AB132" s="387">
        <v>135420.74</v>
      </c>
      <c r="AC132" s="387">
        <v>824817.21</v>
      </c>
      <c r="AD132" s="525">
        <v>81.39</v>
      </c>
      <c r="AE132" s="387">
        <v>769253.48</v>
      </c>
      <c r="AF132" s="526">
        <f t="shared" si="51"/>
        <v>9451.4500000000007</v>
      </c>
      <c r="AG132" s="526">
        <f t="shared" si="52"/>
        <v>10134.129999999999</v>
      </c>
      <c r="AH132" s="527">
        <f t="shared" si="49"/>
        <v>682.68</v>
      </c>
      <c r="AI132" s="525">
        <v>13.89</v>
      </c>
      <c r="AJ132" s="387">
        <v>128845.79</v>
      </c>
      <c r="AK132" s="526">
        <f t="shared" si="53"/>
        <v>9276.15</v>
      </c>
      <c r="AL132" s="526">
        <f t="shared" si="54"/>
        <v>9749.51</v>
      </c>
      <c r="AM132" s="527">
        <f t="shared" si="50"/>
        <v>473.36</v>
      </c>
      <c r="AN132" s="387">
        <v>0</v>
      </c>
      <c r="AO132" s="387">
        <v>0</v>
      </c>
      <c r="AP132" s="73"/>
      <c r="AQ132" s="241">
        <v>11168.440000000031</v>
      </c>
      <c r="AR132" s="659">
        <v>163092.13000000003</v>
      </c>
    </row>
    <row r="133" spans="1:44">
      <c r="A133" s="236" t="s">
        <v>393</v>
      </c>
      <c r="B133" s="236" t="s">
        <v>392</v>
      </c>
      <c r="C133" s="236" t="str">
        <f t="shared" si="56"/>
        <v>19403 KITTITAS SCHOOL DISTRICT</v>
      </c>
      <c r="D133" s="387">
        <v>0</v>
      </c>
      <c r="E133" s="387">
        <v>1769.9</v>
      </c>
      <c r="F133" s="387">
        <v>10004.93</v>
      </c>
      <c r="G133" s="387">
        <v>875224.95</v>
      </c>
      <c r="H133" s="387">
        <v>132798.85999999999</v>
      </c>
      <c r="I133" s="387">
        <v>100520.3</v>
      </c>
      <c r="J133" s="387">
        <v>214797.17</v>
      </c>
      <c r="K133" s="387">
        <v>77618.41</v>
      </c>
      <c r="L133" s="387">
        <v>17114.45</v>
      </c>
      <c r="M133" s="387">
        <v>429645.35</v>
      </c>
      <c r="N133" s="388">
        <v>9.4899999999999998E-2</v>
      </c>
      <c r="O133" s="389">
        <v>0.3085</v>
      </c>
      <c r="P133" s="387">
        <v>0</v>
      </c>
      <c r="Q133" s="387">
        <v>0</v>
      </c>
      <c r="R133" s="387">
        <v>0</v>
      </c>
      <c r="S133" s="387">
        <v>196796.6</v>
      </c>
      <c r="T133" s="387">
        <v>18817.569</v>
      </c>
      <c r="U133" s="387">
        <v>5903.51</v>
      </c>
      <c r="V133" s="387">
        <v>0</v>
      </c>
      <c r="W133" s="387">
        <v>0</v>
      </c>
      <c r="X133" s="387">
        <v>0</v>
      </c>
      <c r="Y133" s="387">
        <v>641.48</v>
      </c>
      <c r="Z133" s="387">
        <v>0</v>
      </c>
      <c r="AA133" s="387">
        <v>0</v>
      </c>
      <c r="AB133" s="387">
        <v>156943.67999999999</v>
      </c>
      <c r="AC133" s="387">
        <v>301768.19</v>
      </c>
      <c r="AD133" s="525">
        <v>31.6</v>
      </c>
      <c r="AE133" s="387">
        <v>292718.02</v>
      </c>
      <c r="AF133" s="526">
        <f t="shared" si="51"/>
        <v>9263.23</v>
      </c>
      <c r="AG133" s="526">
        <f t="shared" si="52"/>
        <v>9549.6299999999992</v>
      </c>
      <c r="AH133" s="527">
        <f t="shared" si="49"/>
        <v>286.39999999999998</v>
      </c>
      <c r="AI133" s="525">
        <v>16.43</v>
      </c>
      <c r="AJ133" s="387">
        <v>149220.35999999999</v>
      </c>
      <c r="AK133" s="526">
        <f t="shared" si="53"/>
        <v>9082.19</v>
      </c>
      <c r="AL133" s="526">
        <f t="shared" si="54"/>
        <v>9552.26</v>
      </c>
      <c r="AM133" s="527">
        <f t="shared" si="50"/>
        <v>470.07</v>
      </c>
      <c r="AN133" s="387">
        <v>0</v>
      </c>
      <c r="AO133" s="387">
        <v>0</v>
      </c>
      <c r="AP133" s="73"/>
      <c r="AQ133" s="241">
        <v>70092.169999999984</v>
      </c>
      <c r="AR133" s="659">
        <v>65896.540000000008</v>
      </c>
    </row>
    <row r="134" spans="1:44">
      <c r="A134" s="236" t="s">
        <v>407</v>
      </c>
      <c r="B134" s="236" t="s">
        <v>406</v>
      </c>
      <c r="C134" s="236" t="str">
        <f t="shared" si="56"/>
        <v>20402 KLICKITAT SCHOOL DISTRICT</v>
      </c>
      <c r="D134" s="387">
        <v>0</v>
      </c>
      <c r="E134" s="387">
        <v>0</v>
      </c>
      <c r="F134" s="387">
        <v>0</v>
      </c>
      <c r="G134" s="387">
        <v>0</v>
      </c>
      <c r="H134" s="387">
        <v>0</v>
      </c>
      <c r="I134" s="387">
        <v>0</v>
      </c>
      <c r="J134" s="387">
        <v>33392.9</v>
      </c>
      <c r="K134" s="387">
        <v>0</v>
      </c>
      <c r="L134" s="387">
        <v>2353.19</v>
      </c>
      <c r="M134" s="387">
        <v>0</v>
      </c>
      <c r="N134" s="388">
        <v>6.9699999999999998E-2</v>
      </c>
      <c r="O134" s="389">
        <v>0.35730000000000001</v>
      </c>
      <c r="P134" s="387">
        <v>0</v>
      </c>
      <c r="Q134" s="387">
        <v>0</v>
      </c>
      <c r="R134" s="387">
        <v>0</v>
      </c>
      <c r="S134" s="387">
        <v>0</v>
      </c>
      <c r="T134" s="387">
        <v>0</v>
      </c>
      <c r="U134" s="387">
        <v>0</v>
      </c>
      <c r="V134" s="387">
        <v>0</v>
      </c>
      <c r="W134" s="387">
        <v>0</v>
      </c>
      <c r="X134" s="387">
        <v>0</v>
      </c>
      <c r="Y134" s="387">
        <v>81.44</v>
      </c>
      <c r="Z134" s="387">
        <v>0</v>
      </c>
      <c r="AA134" s="387">
        <v>0</v>
      </c>
      <c r="AB134" s="387">
        <v>0</v>
      </c>
      <c r="AC134" s="387">
        <v>0</v>
      </c>
      <c r="AD134" s="525">
        <v>0</v>
      </c>
      <c r="AE134" s="387">
        <v>0</v>
      </c>
      <c r="AF134" s="526">
        <f t="shared" si="51"/>
        <v>0</v>
      </c>
      <c r="AG134" s="526">
        <f t="shared" si="52"/>
        <v>0</v>
      </c>
      <c r="AH134" s="527">
        <f t="shared" si="49"/>
        <v>0</v>
      </c>
      <c r="AI134" s="525">
        <v>0</v>
      </c>
      <c r="AJ134" s="387">
        <v>0</v>
      </c>
      <c r="AK134" s="526">
        <f t="shared" si="53"/>
        <v>0</v>
      </c>
      <c r="AL134" s="526">
        <f t="shared" si="54"/>
        <v>0</v>
      </c>
      <c r="AM134" s="527">
        <f t="shared" si="50"/>
        <v>0</v>
      </c>
      <c r="AN134" s="387">
        <v>0</v>
      </c>
      <c r="AO134" s="387">
        <v>0</v>
      </c>
      <c r="AP134" s="73"/>
      <c r="AQ134" s="241">
        <v>33466.479999999996</v>
      </c>
      <c r="AR134" s="659">
        <v>20707.330000000002</v>
      </c>
    </row>
    <row r="135" spans="1:44">
      <c r="A135" s="236" t="s">
        <v>551</v>
      </c>
      <c r="B135" s="236" t="s">
        <v>550</v>
      </c>
      <c r="C135" s="236" t="str">
        <f t="shared" si="56"/>
        <v>29311 LA CONNER SCHOOL DISTRICT</v>
      </c>
      <c r="D135" s="387">
        <v>0</v>
      </c>
      <c r="E135" s="387">
        <v>17259.599999999999</v>
      </c>
      <c r="F135" s="387">
        <v>18169.240000000002</v>
      </c>
      <c r="G135" s="387">
        <v>1592048.07</v>
      </c>
      <c r="H135" s="387">
        <v>192417.16</v>
      </c>
      <c r="I135" s="387">
        <v>177649</v>
      </c>
      <c r="J135" s="387">
        <v>243815.43</v>
      </c>
      <c r="K135" s="387">
        <v>31792.71</v>
      </c>
      <c r="L135" s="387">
        <v>16390.96</v>
      </c>
      <c r="M135" s="387">
        <v>388467.67</v>
      </c>
      <c r="N135" s="388">
        <v>6.1400000000000003E-2</v>
      </c>
      <c r="O135" s="389">
        <v>0.23380000000000001</v>
      </c>
      <c r="P135" s="387">
        <v>0</v>
      </c>
      <c r="Q135" s="387">
        <v>0</v>
      </c>
      <c r="R135" s="387">
        <v>0</v>
      </c>
      <c r="S135" s="387">
        <v>0</v>
      </c>
      <c r="T135" s="387">
        <v>0</v>
      </c>
      <c r="U135" s="387">
        <v>0</v>
      </c>
      <c r="V135" s="387">
        <v>0</v>
      </c>
      <c r="W135" s="387">
        <v>0</v>
      </c>
      <c r="X135" s="387">
        <v>0</v>
      </c>
      <c r="Y135" s="387">
        <v>0</v>
      </c>
      <c r="Z135" s="387">
        <v>1281.26</v>
      </c>
      <c r="AA135" s="387">
        <v>22943.08</v>
      </c>
      <c r="AB135" s="387">
        <v>61078.68</v>
      </c>
      <c r="AC135" s="387">
        <v>179033.65</v>
      </c>
      <c r="AD135" s="525">
        <v>16.940000000000001</v>
      </c>
      <c r="AE135" s="387">
        <v>170768.58</v>
      </c>
      <c r="AF135" s="526">
        <f t="shared" si="51"/>
        <v>10080.790000000001</v>
      </c>
      <c r="AG135" s="526">
        <f t="shared" si="52"/>
        <v>10568.69</v>
      </c>
      <c r="AH135" s="527">
        <f t="shared" ref="AH135:AH198" si="57">ROUND(AG135-AF135,2)</f>
        <v>487.9</v>
      </c>
      <c r="AI135" s="525">
        <v>5.87</v>
      </c>
      <c r="AJ135" s="387">
        <v>58024.67</v>
      </c>
      <c r="AK135" s="526">
        <f t="shared" si="53"/>
        <v>9884.9500000000007</v>
      </c>
      <c r="AL135" s="526">
        <f t="shared" si="54"/>
        <v>10405.23</v>
      </c>
      <c r="AM135" s="527">
        <f t="shared" ref="AM135:AM198" si="58">ROUND(AL135-AK135,2)</f>
        <v>520.28</v>
      </c>
      <c r="AN135" s="387">
        <v>0</v>
      </c>
      <c r="AO135" s="387">
        <v>0</v>
      </c>
      <c r="AP135" s="73"/>
      <c r="AQ135" s="241">
        <v>0</v>
      </c>
      <c r="AR135" s="659">
        <v>64511.62999999999</v>
      </c>
    </row>
    <row r="136" spans="1:44">
      <c r="A136" s="236" t="s">
        <v>1196</v>
      </c>
      <c r="B136" s="236" t="s">
        <v>217</v>
      </c>
      <c r="C136" s="236" t="str">
        <f t="shared" si="56"/>
        <v>06101 LACENTER SCHOOL DISTRICT</v>
      </c>
      <c r="D136" s="387">
        <v>0</v>
      </c>
      <c r="E136" s="387">
        <v>18221.46</v>
      </c>
      <c r="F136" s="387">
        <v>0</v>
      </c>
      <c r="G136" s="387">
        <v>3868862.98</v>
      </c>
      <c r="H136" s="387">
        <v>535651.26</v>
      </c>
      <c r="I136" s="387">
        <v>0</v>
      </c>
      <c r="J136" s="387">
        <v>397088.55</v>
      </c>
      <c r="K136" s="387">
        <v>100088.34</v>
      </c>
      <c r="L136" s="387">
        <v>60846.12</v>
      </c>
      <c r="M136" s="387">
        <v>0</v>
      </c>
      <c r="N136" s="388">
        <v>3.1E-2</v>
      </c>
      <c r="O136" s="389">
        <v>0.18410000000000001</v>
      </c>
      <c r="P136" s="387">
        <v>0</v>
      </c>
      <c r="Q136" s="387">
        <v>0</v>
      </c>
      <c r="R136" s="387">
        <v>0</v>
      </c>
      <c r="S136" s="387">
        <v>0</v>
      </c>
      <c r="T136" s="387">
        <v>0</v>
      </c>
      <c r="U136" s="387">
        <v>0</v>
      </c>
      <c r="V136" s="387">
        <v>0</v>
      </c>
      <c r="W136" s="387">
        <v>0</v>
      </c>
      <c r="X136" s="387">
        <v>0</v>
      </c>
      <c r="Y136" s="387">
        <v>2059.42</v>
      </c>
      <c r="Z136" s="387">
        <v>0</v>
      </c>
      <c r="AA136" s="387">
        <v>47619.44</v>
      </c>
      <c r="AB136" s="387">
        <v>70400.899999999994</v>
      </c>
      <c r="AC136" s="387">
        <v>1179626.45</v>
      </c>
      <c r="AD136" s="525">
        <v>115</v>
      </c>
      <c r="AE136" s="387">
        <v>1130786.08</v>
      </c>
      <c r="AF136" s="526">
        <f t="shared" ref="AF136:AF199" si="59">IFERROR(ROUND(AE136/AD136,2),0)</f>
        <v>9832.92</v>
      </c>
      <c r="AG136" s="526">
        <f t="shared" ref="AG136:AG199" si="60">IFERROR(ROUND(AC136/AD136,2),0)</f>
        <v>10257.620000000001</v>
      </c>
      <c r="AH136" s="527">
        <f t="shared" si="57"/>
        <v>424.7</v>
      </c>
      <c r="AI136" s="525">
        <v>6.94</v>
      </c>
      <c r="AJ136" s="387">
        <v>67050.73</v>
      </c>
      <c r="AK136" s="526">
        <f t="shared" ref="AK136:AK199" si="61">IFERROR(ROUND(AJ136/AI136,2),0)</f>
        <v>9661.49</v>
      </c>
      <c r="AL136" s="526">
        <f t="shared" ref="AL136:AL199" si="62">IFERROR(ROUND(AB136/AI136,2),0)</f>
        <v>10144.219999999999</v>
      </c>
      <c r="AM136" s="527">
        <f t="shared" si="58"/>
        <v>482.73</v>
      </c>
      <c r="AN136" s="387">
        <v>0</v>
      </c>
      <c r="AO136" s="387">
        <v>0</v>
      </c>
      <c r="AP136" s="73"/>
      <c r="AQ136" s="241">
        <v>2237.5400000000081</v>
      </c>
      <c r="AR136" s="659">
        <v>202530.43000000002</v>
      </c>
    </row>
    <row r="137" spans="1:44">
      <c r="A137" s="236" t="s">
        <v>686</v>
      </c>
      <c r="B137" s="236" t="s">
        <v>685</v>
      </c>
      <c r="C137" s="236" t="str">
        <f t="shared" si="56"/>
        <v>38126 LACROSSE JOINT SCHOOL DISTRICT</v>
      </c>
      <c r="D137" s="387">
        <v>0</v>
      </c>
      <c r="E137" s="387">
        <v>0</v>
      </c>
      <c r="F137" s="387">
        <v>0</v>
      </c>
      <c r="G137" s="387">
        <v>144112.22</v>
      </c>
      <c r="H137" s="387">
        <v>9472</v>
      </c>
      <c r="I137" s="387">
        <v>11034.61</v>
      </c>
      <c r="J137" s="387">
        <v>26767.15</v>
      </c>
      <c r="K137" s="387">
        <v>0</v>
      </c>
      <c r="L137" s="387">
        <v>0</v>
      </c>
      <c r="M137" s="387">
        <v>323902.95</v>
      </c>
      <c r="N137" s="388">
        <v>4.5100000000000001E-2</v>
      </c>
      <c r="O137" s="389">
        <v>0.25190000000000001</v>
      </c>
      <c r="P137" s="387">
        <v>0</v>
      </c>
      <c r="Q137" s="387">
        <v>0</v>
      </c>
      <c r="R137" s="387">
        <v>0</v>
      </c>
      <c r="S137" s="387">
        <v>0</v>
      </c>
      <c r="T137" s="387">
        <v>0</v>
      </c>
      <c r="U137" s="387">
        <v>0</v>
      </c>
      <c r="V137" s="387">
        <v>0</v>
      </c>
      <c r="W137" s="387">
        <v>0</v>
      </c>
      <c r="X137" s="387">
        <v>0</v>
      </c>
      <c r="Y137" s="387">
        <v>0</v>
      </c>
      <c r="Z137" s="387">
        <v>588.32000000000005</v>
      </c>
      <c r="AA137" s="387">
        <v>0</v>
      </c>
      <c r="AB137" s="387">
        <v>5661.93</v>
      </c>
      <c r="AC137" s="387">
        <v>62286.33</v>
      </c>
      <c r="AD137" s="525">
        <v>6.19</v>
      </c>
      <c r="AE137" s="387">
        <v>57559.75</v>
      </c>
      <c r="AF137" s="526">
        <f t="shared" si="59"/>
        <v>9298.83</v>
      </c>
      <c r="AG137" s="526">
        <f t="shared" si="60"/>
        <v>10062.41</v>
      </c>
      <c r="AH137" s="527">
        <f t="shared" si="57"/>
        <v>763.58</v>
      </c>
      <c r="AI137" s="525">
        <v>0.57999999999999996</v>
      </c>
      <c r="AJ137" s="387">
        <v>5389.11</v>
      </c>
      <c r="AK137" s="526">
        <f t="shared" si="61"/>
        <v>9291.57</v>
      </c>
      <c r="AL137" s="526">
        <f t="shared" si="62"/>
        <v>9761.9500000000007</v>
      </c>
      <c r="AM137" s="527">
        <f t="shared" si="58"/>
        <v>470.38</v>
      </c>
      <c r="AN137" s="387">
        <v>0</v>
      </c>
      <c r="AO137" s="387">
        <v>0</v>
      </c>
      <c r="AP137" s="73"/>
      <c r="AQ137" s="241">
        <v>43701.979999999996</v>
      </c>
      <c r="AR137" s="659">
        <v>21786.1</v>
      </c>
    </row>
    <row r="138" spans="1:44">
      <c r="A138" s="236" t="s">
        <v>196</v>
      </c>
      <c r="B138" s="236" t="s">
        <v>195</v>
      </c>
      <c r="C138" s="236" t="str">
        <f t="shared" si="56"/>
        <v>04129 LAKE CHELAN SCHOOL DISTRICT</v>
      </c>
      <c r="D138" s="387">
        <v>0</v>
      </c>
      <c r="E138" s="387">
        <v>33216.78</v>
      </c>
      <c r="F138" s="387">
        <v>15343.82</v>
      </c>
      <c r="G138" s="387">
        <v>1839956.61</v>
      </c>
      <c r="H138" s="387">
        <v>187360.31</v>
      </c>
      <c r="I138" s="387">
        <v>401647.95</v>
      </c>
      <c r="J138" s="387">
        <v>499027</v>
      </c>
      <c r="K138" s="387">
        <v>628197.30000000005</v>
      </c>
      <c r="L138" s="387">
        <v>38886.629999999997</v>
      </c>
      <c r="M138" s="387">
        <v>918425.81</v>
      </c>
      <c r="N138" s="388">
        <v>3.73E-2</v>
      </c>
      <c r="O138" s="389">
        <v>0.18</v>
      </c>
      <c r="P138" s="387">
        <v>0</v>
      </c>
      <c r="Q138" s="387">
        <v>0</v>
      </c>
      <c r="R138" s="387">
        <v>0</v>
      </c>
      <c r="S138" s="387">
        <v>0</v>
      </c>
      <c r="T138" s="387">
        <v>0</v>
      </c>
      <c r="U138" s="387">
        <v>0</v>
      </c>
      <c r="V138" s="387">
        <v>0</v>
      </c>
      <c r="W138" s="387">
        <v>0</v>
      </c>
      <c r="X138" s="387">
        <v>0</v>
      </c>
      <c r="Y138" s="387">
        <v>1446.95</v>
      </c>
      <c r="Z138" s="387">
        <v>0</v>
      </c>
      <c r="AA138" s="387">
        <v>36937.550000000003</v>
      </c>
      <c r="AB138" s="387">
        <v>112167.96</v>
      </c>
      <c r="AC138" s="387">
        <v>1385692.48</v>
      </c>
      <c r="AD138" s="525">
        <v>143.65</v>
      </c>
      <c r="AE138" s="387">
        <v>1330949.95</v>
      </c>
      <c r="AF138" s="526">
        <f t="shared" si="59"/>
        <v>9265.23</v>
      </c>
      <c r="AG138" s="526">
        <f t="shared" si="60"/>
        <v>9646.31</v>
      </c>
      <c r="AH138" s="527">
        <f t="shared" si="57"/>
        <v>381.08</v>
      </c>
      <c r="AI138" s="525">
        <v>11.74</v>
      </c>
      <c r="AJ138" s="387">
        <v>106721.5</v>
      </c>
      <c r="AK138" s="526">
        <f t="shared" si="61"/>
        <v>9090.42</v>
      </c>
      <c r="AL138" s="526">
        <f t="shared" si="62"/>
        <v>9554.34</v>
      </c>
      <c r="AM138" s="527">
        <f t="shared" si="58"/>
        <v>463.92</v>
      </c>
      <c r="AN138" s="387">
        <v>4445.03</v>
      </c>
      <c r="AO138" s="387">
        <v>0</v>
      </c>
      <c r="AP138" s="73"/>
      <c r="AQ138" s="241">
        <v>2.9103830456733704E-11</v>
      </c>
      <c r="AR138" s="659">
        <v>150863.54000000004</v>
      </c>
    </row>
    <row r="139" spans="1:44">
      <c r="A139" s="236" t="s">
        <v>567</v>
      </c>
      <c r="B139" s="236" t="s">
        <v>566</v>
      </c>
      <c r="C139" s="236" t="str">
        <f t="shared" si="56"/>
        <v>31004 LAKE STEVENS SCHOOL DISTRICT</v>
      </c>
      <c r="D139" s="387">
        <v>0</v>
      </c>
      <c r="E139" s="387">
        <v>146967.42000000001</v>
      </c>
      <c r="F139" s="387">
        <v>0</v>
      </c>
      <c r="G139" s="387">
        <v>23822460.719999999</v>
      </c>
      <c r="H139" s="387">
        <v>3918728.32</v>
      </c>
      <c r="I139" s="387">
        <v>0</v>
      </c>
      <c r="J139" s="387">
        <v>2201642.7000000002</v>
      </c>
      <c r="K139" s="387">
        <v>1538597.48</v>
      </c>
      <c r="L139" s="387">
        <v>353374.8</v>
      </c>
      <c r="M139" s="387">
        <v>9206791.6300000008</v>
      </c>
      <c r="N139" s="388">
        <v>3.27E-2</v>
      </c>
      <c r="O139" s="389">
        <v>0.1361</v>
      </c>
      <c r="P139" s="387">
        <v>0</v>
      </c>
      <c r="Q139" s="387">
        <v>0</v>
      </c>
      <c r="R139" s="387">
        <v>0</v>
      </c>
      <c r="S139" s="387">
        <v>0</v>
      </c>
      <c r="T139" s="387">
        <v>0</v>
      </c>
      <c r="U139" s="387">
        <v>0</v>
      </c>
      <c r="V139" s="387">
        <v>0</v>
      </c>
      <c r="W139" s="387">
        <v>0</v>
      </c>
      <c r="X139" s="387">
        <v>0</v>
      </c>
      <c r="Y139" s="387">
        <v>11088.05</v>
      </c>
      <c r="Z139" s="387">
        <v>97784.15</v>
      </c>
      <c r="AA139" s="387">
        <v>401762.71</v>
      </c>
      <c r="AB139" s="387">
        <v>1345814.4</v>
      </c>
      <c r="AC139" s="387">
        <v>5110732.51</v>
      </c>
      <c r="AD139" s="525">
        <v>457.81</v>
      </c>
      <c r="AE139" s="387">
        <v>4767685.97</v>
      </c>
      <c r="AF139" s="526">
        <f t="shared" si="59"/>
        <v>10414.11</v>
      </c>
      <c r="AG139" s="526">
        <f t="shared" si="60"/>
        <v>11163.44</v>
      </c>
      <c r="AH139" s="527">
        <f t="shared" si="57"/>
        <v>749.33</v>
      </c>
      <c r="AI139" s="525">
        <v>125.16</v>
      </c>
      <c r="AJ139" s="387">
        <v>1281135.43</v>
      </c>
      <c r="AK139" s="526">
        <f t="shared" si="61"/>
        <v>10235.98</v>
      </c>
      <c r="AL139" s="526">
        <f t="shared" si="62"/>
        <v>10752.75</v>
      </c>
      <c r="AM139" s="527">
        <f t="shared" si="58"/>
        <v>516.77</v>
      </c>
      <c r="AN139" s="387">
        <v>0</v>
      </c>
      <c r="AO139" s="387">
        <v>0</v>
      </c>
      <c r="AP139" s="73"/>
      <c r="AQ139" s="241">
        <v>0</v>
      </c>
      <c r="AR139" s="659">
        <v>1239013.53</v>
      </c>
    </row>
    <row r="140" spans="1:44">
      <c r="A140" s="236" t="s">
        <v>369</v>
      </c>
      <c r="B140" s="236" t="s">
        <v>368</v>
      </c>
      <c r="C140" s="236" t="str">
        <f t="shared" si="56"/>
        <v>17414 LAKE WASHINGTON SCHOOL DISTRICT</v>
      </c>
      <c r="D140" s="387">
        <v>0</v>
      </c>
      <c r="E140" s="387">
        <v>44601.57</v>
      </c>
      <c r="F140" s="387">
        <v>0</v>
      </c>
      <c r="G140" s="387">
        <v>50446349.990000002</v>
      </c>
      <c r="H140" s="387">
        <v>6102503.1399999997</v>
      </c>
      <c r="I140" s="387">
        <v>0</v>
      </c>
      <c r="J140" s="387">
        <v>3064042.5</v>
      </c>
      <c r="K140" s="387">
        <v>8129434.9299999997</v>
      </c>
      <c r="L140" s="387">
        <v>1108459.8500000001</v>
      </c>
      <c r="M140" s="387">
        <v>19116790.870000001</v>
      </c>
      <c r="N140" s="388">
        <v>3.3300000000000003E-2</v>
      </c>
      <c r="O140" s="389">
        <v>0.12089999999999999</v>
      </c>
      <c r="P140" s="387">
        <v>0</v>
      </c>
      <c r="Q140" s="387">
        <v>0</v>
      </c>
      <c r="R140" s="387">
        <v>0</v>
      </c>
      <c r="S140" s="387">
        <v>0</v>
      </c>
      <c r="T140" s="387">
        <v>0</v>
      </c>
      <c r="U140" s="387">
        <v>0</v>
      </c>
      <c r="V140" s="387">
        <v>0</v>
      </c>
      <c r="W140" s="387">
        <v>0</v>
      </c>
      <c r="X140" s="387">
        <v>0</v>
      </c>
      <c r="Y140" s="387">
        <v>11916.94</v>
      </c>
      <c r="Z140" s="387">
        <v>316138.21999999997</v>
      </c>
      <c r="AA140" s="387">
        <v>672005.28</v>
      </c>
      <c r="AB140" s="387">
        <v>3391769.73</v>
      </c>
      <c r="AC140" s="387">
        <v>21170871.469999999</v>
      </c>
      <c r="AD140" s="525">
        <v>1889.82</v>
      </c>
      <c r="AE140" s="387">
        <v>19681226.329999998</v>
      </c>
      <c r="AF140" s="526">
        <f t="shared" si="59"/>
        <v>10414.34</v>
      </c>
      <c r="AG140" s="526">
        <f t="shared" si="60"/>
        <v>11202.59</v>
      </c>
      <c r="AH140" s="527">
        <f t="shared" si="57"/>
        <v>788.25</v>
      </c>
      <c r="AI140" s="525">
        <v>315.42</v>
      </c>
      <c r="AJ140" s="387">
        <v>3228745.32</v>
      </c>
      <c r="AK140" s="526">
        <f t="shared" si="61"/>
        <v>10236.34</v>
      </c>
      <c r="AL140" s="526">
        <f t="shared" si="62"/>
        <v>10753.19</v>
      </c>
      <c r="AM140" s="527">
        <f t="shared" si="58"/>
        <v>516.85</v>
      </c>
      <c r="AN140" s="387">
        <v>0</v>
      </c>
      <c r="AO140" s="387">
        <v>0</v>
      </c>
      <c r="AP140" s="73"/>
      <c r="AQ140" s="241">
        <v>10212.910000000149</v>
      </c>
      <c r="AR140" s="659">
        <v>3651613.5299999989</v>
      </c>
    </row>
    <row r="141" spans="1:44">
      <c r="A141" s="236" t="s">
        <v>583</v>
      </c>
      <c r="B141" s="236" t="s">
        <v>582</v>
      </c>
      <c r="C141" s="236" t="str">
        <f t="shared" si="56"/>
        <v>31306 LAKEWOOD SCHOOL DISTRICT</v>
      </c>
      <c r="D141" s="387">
        <v>0</v>
      </c>
      <c r="E141" s="387">
        <v>0</v>
      </c>
      <c r="F141" s="387">
        <v>0</v>
      </c>
      <c r="G141" s="387">
        <v>6498068.0199999996</v>
      </c>
      <c r="H141" s="387">
        <v>1145183.19</v>
      </c>
      <c r="I141" s="387">
        <v>150440.91</v>
      </c>
      <c r="J141" s="387">
        <v>890447.54</v>
      </c>
      <c r="K141" s="387">
        <v>570775.03</v>
      </c>
      <c r="L141" s="387">
        <v>89570.95</v>
      </c>
      <c r="M141" s="387">
        <v>2633213.8199999998</v>
      </c>
      <c r="N141" s="388">
        <v>3.61E-2</v>
      </c>
      <c r="O141" s="389">
        <v>0.16900000000000001</v>
      </c>
      <c r="P141" s="387">
        <v>0</v>
      </c>
      <c r="Q141" s="387">
        <v>0</v>
      </c>
      <c r="R141" s="387">
        <v>0</v>
      </c>
      <c r="S141" s="387">
        <v>0</v>
      </c>
      <c r="T141" s="387">
        <v>0</v>
      </c>
      <c r="U141" s="387">
        <v>0</v>
      </c>
      <c r="V141" s="387">
        <v>0</v>
      </c>
      <c r="W141" s="387">
        <v>0</v>
      </c>
      <c r="X141" s="387">
        <v>0</v>
      </c>
      <c r="Y141" s="387">
        <v>3067.93</v>
      </c>
      <c r="Z141" s="387">
        <v>0</v>
      </c>
      <c r="AA141" s="387">
        <v>29740.15</v>
      </c>
      <c r="AB141" s="387">
        <v>218971.23</v>
      </c>
      <c r="AC141" s="387">
        <v>1473886.86</v>
      </c>
      <c r="AD141" s="525">
        <v>138.66</v>
      </c>
      <c r="AE141" s="387">
        <v>1391053.82</v>
      </c>
      <c r="AF141" s="526">
        <f t="shared" si="59"/>
        <v>10032.120000000001</v>
      </c>
      <c r="AG141" s="526">
        <f t="shared" si="60"/>
        <v>10629.5</v>
      </c>
      <c r="AH141" s="527">
        <f t="shared" si="57"/>
        <v>597.38</v>
      </c>
      <c r="AI141" s="525">
        <v>21.15</v>
      </c>
      <c r="AJ141" s="387">
        <v>208278.25</v>
      </c>
      <c r="AK141" s="526">
        <f t="shared" si="61"/>
        <v>9847.67</v>
      </c>
      <c r="AL141" s="526">
        <f t="shared" si="62"/>
        <v>10353.25</v>
      </c>
      <c r="AM141" s="527">
        <f t="shared" si="58"/>
        <v>505.58</v>
      </c>
      <c r="AN141" s="387">
        <v>0</v>
      </c>
      <c r="AO141" s="387">
        <v>0</v>
      </c>
      <c r="AP141" s="73"/>
      <c r="AQ141" s="241">
        <v>99447.709999999963</v>
      </c>
      <c r="AR141" s="659">
        <v>325604.19000000006</v>
      </c>
    </row>
    <row r="142" spans="1:44">
      <c r="A142" s="236" t="s">
        <v>688</v>
      </c>
      <c r="B142" s="236" t="s">
        <v>687</v>
      </c>
      <c r="C142" s="236" t="str">
        <f t="shared" si="56"/>
        <v>38264 LAMONT SCHOOL DISTRICT</v>
      </c>
      <c r="D142" s="387">
        <v>0</v>
      </c>
      <c r="E142" s="387">
        <v>0</v>
      </c>
      <c r="F142" s="387">
        <v>0</v>
      </c>
      <c r="G142" s="387">
        <v>49752.56</v>
      </c>
      <c r="H142" s="387">
        <v>24320.97</v>
      </c>
      <c r="I142" s="387">
        <v>7690.68</v>
      </c>
      <c r="J142" s="387">
        <v>12998.33</v>
      </c>
      <c r="K142" s="387">
        <v>0</v>
      </c>
      <c r="L142" s="387">
        <v>974.87</v>
      </c>
      <c r="M142" s="387">
        <v>61865.17</v>
      </c>
      <c r="N142" s="388">
        <v>0.12230000000000001</v>
      </c>
      <c r="O142" s="389">
        <v>0.31369999999999998</v>
      </c>
      <c r="P142" s="387">
        <v>0</v>
      </c>
      <c r="Q142" s="387">
        <v>0</v>
      </c>
      <c r="R142" s="387">
        <v>0</v>
      </c>
      <c r="S142" s="387">
        <v>0</v>
      </c>
      <c r="T142" s="387">
        <v>0</v>
      </c>
      <c r="U142" s="387">
        <v>0</v>
      </c>
      <c r="V142" s="387">
        <v>0</v>
      </c>
      <c r="W142" s="387">
        <v>0</v>
      </c>
      <c r="X142" s="387">
        <v>0</v>
      </c>
      <c r="Y142" s="387">
        <v>32.35</v>
      </c>
      <c r="Z142" s="387">
        <v>0</v>
      </c>
      <c r="AA142" s="387">
        <v>0</v>
      </c>
      <c r="AB142" s="387">
        <v>0</v>
      </c>
      <c r="AC142" s="387">
        <v>0</v>
      </c>
      <c r="AD142" s="525">
        <v>0</v>
      </c>
      <c r="AE142" s="387">
        <v>0</v>
      </c>
      <c r="AF142" s="526">
        <f t="shared" si="59"/>
        <v>0</v>
      </c>
      <c r="AG142" s="526">
        <f t="shared" si="60"/>
        <v>0</v>
      </c>
      <c r="AH142" s="527">
        <f t="shared" si="57"/>
        <v>0</v>
      </c>
      <c r="AI142" s="525">
        <v>0</v>
      </c>
      <c r="AJ142" s="387">
        <v>0</v>
      </c>
      <c r="AK142" s="526">
        <f t="shared" si="61"/>
        <v>0</v>
      </c>
      <c r="AL142" s="526">
        <f t="shared" si="62"/>
        <v>0</v>
      </c>
      <c r="AM142" s="527">
        <f t="shared" si="58"/>
        <v>0</v>
      </c>
      <c r="AN142" s="387">
        <v>0</v>
      </c>
      <c r="AO142" s="387">
        <v>0</v>
      </c>
      <c r="AP142" s="73"/>
      <c r="AQ142" s="241">
        <v>0</v>
      </c>
      <c r="AR142" s="659">
        <v>6356.04</v>
      </c>
    </row>
    <row r="143" spans="1:44">
      <c r="A143" s="236" t="s">
        <v>612</v>
      </c>
      <c r="B143" s="236" t="s">
        <v>611</v>
      </c>
      <c r="C143" s="236" t="str">
        <f t="shared" si="56"/>
        <v>32362 LIBERTY SCHOOL DISTRICT</v>
      </c>
      <c r="D143" s="387">
        <v>0</v>
      </c>
      <c r="E143" s="387">
        <v>0</v>
      </c>
      <c r="F143" s="387">
        <v>0</v>
      </c>
      <c r="G143" s="387">
        <v>749200.83</v>
      </c>
      <c r="H143" s="387">
        <v>154346.23999999999</v>
      </c>
      <c r="I143" s="387">
        <v>0</v>
      </c>
      <c r="J143" s="387">
        <v>162370.63</v>
      </c>
      <c r="K143" s="387">
        <v>0</v>
      </c>
      <c r="L143" s="387">
        <v>18089.32</v>
      </c>
      <c r="M143" s="387">
        <v>812617.36</v>
      </c>
      <c r="N143" s="388">
        <v>3.2800000000000003E-2</v>
      </c>
      <c r="O143" s="389">
        <v>0.21360000000000001</v>
      </c>
      <c r="P143" s="387">
        <v>0</v>
      </c>
      <c r="Q143" s="387">
        <v>0</v>
      </c>
      <c r="R143" s="387">
        <v>0</v>
      </c>
      <c r="S143" s="387">
        <v>0</v>
      </c>
      <c r="T143" s="387">
        <v>0</v>
      </c>
      <c r="U143" s="387">
        <v>0</v>
      </c>
      <c r="V143" s="387">
        <v>0</v>
      </c>
      <c r="W143" s="387">
        <v>0</v>
      </c>
      <c r="X143" s="387">
        <v>0</v>
      </c>
      <c r="Y143" s="387">
        <v>0</v>
      </c>
      <c r="Z143" s="387">
        <v>0</v>
      </c>
      <c r="AA143" s="387">
        <v>0</v>
      </c>
      <c r="AB143" s="387">
        <v>0</v>
      </c>
      <c r="AC143" s="387">
        <v>270053.8</v>
      </c>
      <c r="AD143" s="525">
        <v>26.58</v>
      </c>
      <c r="AE143" s="387">
        <v>246312.21</v>
      </c>
      <c r="AF143" s="526">
        <f t="shared" si="59"/>
        <v>9266.83</v>
      </c>
      <c r="AG143" s="526">
        <f t="shared" si="60"/>
        <v>10160.040000000001</v>
      </c>
      <c r="AH143" s="527">
        <f t="shared" si="57"/>
        <v>893.21</v>
      </c>
      <c r="AI143" s="525">
        <v>0</v>
      </c>
      <c r="AJ143" s="387">
        <v>0</v>
      </c>
      <c r="AK143" s="526">
        <f t="shared" si="61"/>
        <v>0</v>
      </c>
      <c r="AL143" s="526">
        <f t="shared" si="62"/>
        <v>0</v>
      </c>
      <c r="AM143" s="527">
        <f t="shared" si="58"/>
        <v>0</v>
      </c>
      <c r="AN143" s="387">
        <v>0</v>
      </c>
      <c r="AO143" s="387">
        <v>0</v>
      </c>
      <c r="AP143" s="73"/>
      <c r="AQ143" s="241">
        <v>73668.849999999991</v>
      </c>
      <c r="AR143" s="659">
        <v>66192.320000000007</v>
      </c>
    </row>
    <row r="144" spans="1:44">
      <c r="A144" s="236" t="s">
        <v>170</v>
      </c>
      <c r="B144" s="236" t="s">
        <v>169</v>
      </c>
      <c r="C144" s="236" t="str">
        <f t="shared" si="56"/>
        <v>01158 LIND SCHOOL DISTRICT</v>
      </c>
      <c r="D144" s="387">
        <v>0</v>
      </c>
      <c r="E144" s="387">
        <v>0</v>
      </c>
      <c r="F144" s="387">
        <v>0</v>
      </c>
      <c r="G144" s="387">
        <v>167667</v>
      </c>
      <c r="H144" s="387">
        <v>16907.810000000001</v>
      </c>
      <c r="I144" s="387">
        <v>57842.51</v>
      </c>
      <c r="J144" s="387">
        <v>93371.23</v>
      </c>
      <c r="K144" s="387">
        <v>40834.97</v>
      </c>
      <c r="L144" s="387">
        <v>5307.65</v>
      </c>
      <c r="M144" s="387">
        <v>1293443.53</v>
      </c>
      <c r="N144" s="388">
        <v>6.6699999999999995E-2</v>
      </c>
      <c r="O144" s="389">
        <v>0.16170000000000001</v>
      </c>
      <c r="P144" s="387">
        <v>0</v>
      </c>
      <c r="Q144" s="387">
        <v>0</v>
      </c>
      <c r="R144" s="387">
        <v>0</v>
      </c>
      <c r="S144" s="387">
        <v>0</v>
      </c>
      <c r="T144" s="387">
        <v>0</v>
      </c>
      <c r="U144" s="387">
        <v>0</v>
      </c>
      <c r="V144" s="387">
        <v>0</v>
      </c>
      <c r="W144" s="387">
        <v>0</v>
      </c>
      <c r="X144" s="387">
        <v>0</v>
      </c>
      <c r="Y144" s="387">
        <v>0</v>
      </c>
      <c r="Z144" s="387">
        <v>0</v>
      </c>
      <c r="AA144" s="387">
        <v>0</v>
      </c>
      <c r="AB144" s="387">
        <v>47498.13</v>
      </c>
      <c r="AC144" s="387">
        <v>132979.69</v>
      </c>
      <c r="AD144" s="525">
        <v>13.48</v>
      </c>
      <c r="AE144" s="387">
        <v>124970.76</v>
      </c>
      <c r="AF144" s="526">
        <f t="shared" si="59"/>
        <v>9270.83</v>
      </c>
      <c r="AG144" s="526">
        <f t="shared" si="60"/>
        <v>9864.9599999999991</v>
      </c>
      <c r="AH144" s="527">
        <f t="shared" si="57"/>
        <v>594.13</v>
      </c>
      <c r="AI144" s="525">
        <v>4.9800000000000004</v>
      </c>
      <c r="AJ144" s="387">
        <v>45275.13</v>
      </c>
      <c r="AK144" s="526">
        <f t="shared" si="61"/>
        <v>9091.39</v>
      </c>
      <c r="AL144" s="526">
        <f t="shared" si="62"/>
        <v>9537.7800000000007</v>
      </c>
      <c r="AM144" s="527">
        <f t="shared" si="58"/>
        <v>446.39</v>
      </c>
      <c r="AN144" s="387">
        <v>0</v>
      </c>
      <c r="AO144" s="387">
        <v>0</v>
      </c>
      <c r="AP144" s="73"/>
      <c r="AQ144" s="241">
        <v>0</v>
      </c>
      <c r="AR144" s="659">
        <v>29617.879999999997</v>
      </c>
    </row>
    <row r="145" spans="1:44">
      <c r="A145" s="236" t="s">
        <v>234</v>
      </c>
      <c r="B145" s="236" t="s">
        <v>233</v>
      </c>
      <c r="C145" s="236" t="str">
        <f t="shared" si="56"/>
        <v>08122 LONGVIEW SCHOOL DISTRICT</v>
      </c>
      <c r="D145" s="387">
        <v>0</v>
      </c>
      <c r="E145" s="387">
        <v>270491.02</v>
      </c>
      <c r="F145" s="387">
        <v>59578.84</v>
      </c>
      <c r="G145" s="387">
        <v>13855826.949999999</v>
      </c>
      <c r="H145" s="387">
        <v>2630480.7000000002</v>
      </c>
      <c r="I145" s="387">
        <v>1821822.28</v>
      </c>
      <c r="J145" s="387">
        <v>2733979.09</v>
      </c>
      <c r="K145" s="387">
        <v>918839.83</v>
      </c>
      <c r="L145" s="387">
        <v>192375.07</v>
      </c>
      <c r="M145" s="387">
        <v>3590853.76</v>
      </c>
      <c r="N145" s="388">
        <v>4.1599999999999998E-2</v>
      </c>
      <c r="O145" s="389">
        <v>0.15049999999999999</v>
      </c>
      <c r="P145" s="387">
        <v>0</v>
      </c>
      <c r="Q145" s="387">
        <v>0</v>
      </c>
      <c r="R145" s="387">
        <v>0</v>
      </c>
      <c r="S145" s="387">
        <v>0</v>
      </c>
      <c r="T145" s="387">
        <v>0</v>
      </c>
      <c r="U145" s="387">
        <v>0</v>
      </c>
      <c r="V145" s="387">
        <v>0</v>
      </c>
      <c r="W145" s="387">
        <v>0</v>
      </c>
      <c r="X145" s="387">
        <v>0</v>
      </c>
      <c r="Y145" s="387">
        <v>464.09</v>
      </c>
      <c r="Z145" s="387">
        <v>39075.31</v>
      </c>
      <c r="AA145" s="387">
        <v>165544.72</v>
      </c>
      <c r="AB145" s="387">
        <v>441004.57</v>
      </c>
      <c r="AC145" s="387">
        <v>3368487.73</v>
      </c>
      <c r="AD145" s="525">
        <v>339.05</v>
      </c>
      <c r="AE145" s="387">
        <v>3141687.5</v>
      </c>
      <c r="AF145" s="526">
        <f t="shared" si="59"/>
        <v>9266.15</v>
      </c>
      <c r="AG145" s="526">
        <f t="shared" si="60"/>
        <v>9935.08</v>
      </c>
      <c r="AH145" s="527">
        <f t="shared" si="57"/>
        <v>668.93</v>
      </c>
      <c r="AI145" s="525">
        <v>46.19</v>
      </c>
      <c r="AJ145" s="387">
        <v>419643.33</v>
      </c>
      <c r="AK145" s="526">
        <f t="shared" si="61"/>
        <v>9085.16</v>
      </c>
      <c r="AL145" s="526">
        <f t="shared" si="62"/>
        <v>9547.6200000000008</v>
      </c>
      <c r="AM145" s="527">
        <f t="shared" si="58"/>
        <v>462.46</v>
      </c>
      <c r="AN145" s="387">
        <v>579.72</v>
      </c>
      <c r="AO145" s="387">
        <v>0</v>
      </c>
      <c r="AP145" s="73"/>
      <c r="AQ145" s="241">
        <v>0</v>
      </c>
      <c r="AR145" s="659">
        <v>724354.98</v>
      </c>
    </row>
    <row r="146" spans="1:44">
      <c r="A146" s="236" t="s">
        <v>629</v>
      </c>
      <c r="B146" s="236" t="s">
        <v>628</v>
      </c>
      <c r="C146" s="236" t="str">
        <f t="shared" si="56"/>
        <v>33183 LOON LAKE SCHOOL DISTRICT</v>
      </c>
      <c r="D146" s="387">
        <v>0</v>
      </c>
      <c r="E146" s="387">
        <v>0</v>
      </c>
      <c r="F146" s="387">
        <v>0</v>
      </c>
      <c r="G146" s="387">
        <v>204490.58</v>
      </c>
      <c r="H146" s="387">
        <v>29114.68</v>
      </c>
      <c r="I146" s="387">
        <v>31520.92</v>
      </c>
      <c r="J146" s="387">
        <v>86547.12</v>
      </c>
      <c r="K146" s="387">
        <v>0</v>
      </c>
      <c r="L146" s="387">
        <v>8015.64</v>
      </c>
      <c r="M146" s="387">
        <v>0</v>
      </c>
      <c r="N146" s="388">
        <v>8.5199999999999998E-2</v>
      </c>
      <c r="O146" s="389">
        <v>0.34670000000000001</v>
      </c>
      <c r="P146" s="387">
        <v>0</v>
      </c>
      <c r="Q146" s="387">
        <v>0</v>
      </c>
      <c r="R146" s="387">
        <v>0</v>
      </c>
      <c r="S146" s="387">
        <v>0</v>
      </c>
      <c r="T146" s="387">
        <v>0</v>
      </c>
      <c r="U146" s="387">
        <v>0</v>
      </c>
      <c r="V146" s="387">
        <v>0</v>
      </c>
      <c r="W146" s="387">
        <v>0</v>
      </c>
      <c r="X146" s="387">
        <v>0</v>
      </c>
      <c r="Y146" s="387">
        <v>314.60000000000002</v>
      </c>
      <c r="Z146" s="387">
        <v>0</v>
      </c>
      <c r="AA146" s="387">
        <v>0</v>
      </c>
      <c r="AB146" s="387">
        <v>0</v>
      </c>
      <c r="AC146" s="387">
        <v>0</v>
      </c>
      <c r="AD146" s="525">
        <v>0</v>
      </c>
      <c r="AE146" s="387">
        <v>0</v>
      </c>
      <c r="AF146" s="526">
        <f t="shared" si="59"/>
        <v>0</v>
      </c>
      <c r="AG146" s="526">
        <f t="shared" si="60"/>
        <v>0</v>
      </c>
      <c r="AH146" s="527">
        <f t="shared" si="57"/>
        <v>0</v>
      </c>
      <c r="AI146" s="525">
        <v>0</v>
      </c>
      <c r="AJ146" s="387">
        <v>0</v>
      </c>
      <c r="AK146" s="526">
        <f t="shared" si="61"/>
        <v>0</v>
      </c>
      <c r="AL146" s="526">
        <f t="shared" si="62"/>
        <v>0</v>
      </c>
      <c r="AM146" s="527">
        <f t="shared" si="58"/>
        <v>0</v>
      </c>
      <c r="AN146" s="387">
        <v>0</v>
      </c>
      <c r="AO146" s="387">
        <v>0</v>
      </c>
      <c r="AP146" s="73"/>
      <c r="AQ146" s="241">
        <v>0</v>
      </c>
      <c r="AR146" s="659">
        <v>13376.74</v>
      </c>
    </row>
    <row r="147" spans="1:44">
      <c r="A147" s="236" t="s">
        <v>540</v>
      </c>
      <c r="B147" s="236" t="s">
        <v>539</v>
      </c>
      <c r="C147" s="236" t="str">
        <f t="shared" si="56"/>
        <v>28144 LOPEZ SCHOOL DISTRICT</v>
      </c>
      <c r="D147" s="387">
        <v>0</v>
      </c>
      <c r="E147" s="387">
        <v>8216.3799999999992</v>
      </c>
      <c r="F147" s="387">
        <v>0</v>
      </c>
      <c r="G147" s="387">
        <v>706427.42</v>
      </c>
      <c r="H147" s="387">
        <v>53113.58</v>
      </c>
      <c r="I147" s="387">
        <v>74981.289999999994</v>
      </c>
      <c r="J147" s="387">
        <v>100812.16</v>
      </c>
      <c r="K147" s="387">
        <v>38844.26</v>
      </c>
      <c r="L147" s="387">
        <v>6816.48</v>
      </c>
      <c r="M147" s="387">
        <v>265665.49</v>
      </c>
      <c r="N147" s="388">
        <v>5.6899999999999999E-2</v>
      </c>
      <c r="O147" s="389">
        <v>0.24479999999999999</v>
      </c>
      <c r="P147" s="387">
        <v>0</v>
      </c>
      <c r="Q147" s="387">
        <v>0</v>
      </c>
      <c r="R147" s="387">
        <v>0</v>
      </c>
      <c r="S147" s="387">
        <v>0</v>
      </c>
      <c r="T147" s="387">
        <v>0</v>
      </c>
      <c r="U147" s="387">
        <v>0</v>
      </c>
      <c r="V147" s="387">
        <v>0</v>
      </c>
      <c r="W147" s="387">
        <v>0</v>
      </c>
      <c r="X147" s="387">
        <v>0</v>
      </c>
      <c r="Y147" s="387">
        <v>0</v>
      </c>
      <c r="Z147" s="387">
        <v>0</v>
      </c>
      <c r="AA147" s="387">
        <v>0</v>
      </c>
      <c r="AB147" s="387">
        <v>0</v>
      </c>
      <c r="AC147" s="387">
        <v>41609.449999999997</v>
      </c>
      <c r="AD147" s="525">
        <v>4.01</v>
      </c>
      <c r="AE147" s="387">
        <v>40237.01</v>
      </c>
      <c r="AF147" s="526">
        <f t="shared" si="59"/>
        <v>10034.17</v>
      </c>
      <c r="AG147" s="526">
        <f t="shared" si="60"/>
        <v>10376.42</v>
      </c>
      <c r="AH147" s="527">
        <f t="shared" si="57"/>
        <v>342.25</v>
      </c>
      <c r="AI147" s="525">
        <v>0</v>
      </c>
      <c r="AJ147" s="387">
        <v>0</v>
      </c>
      <c r="AK147" s="526">
        <f t="shared" si="61"/>
        <v>0</v>
      </c>
      <c r="AL147" s="526">
        <f t="shared" si="62"/>
        <v>0</v>
      </c>
      <c r="AM147" s="527">
        <f t="shared" si="58"/>
        <v>0</v>
      </c>
      <c r="AN147" s="387">
        <v>0</v>
      </c>
      <c r="AO147" s="387">
        <v>0</v>
      </c>
      <c r="AP147" s="73"/>
      <c r="AQ147" s="241">
        <v>26527.679999999993</v>
      </c>
      <c r="AR147" s="659">
        <v>37264.579999999994</v>
      </c>
    </row>
    <row r="148" spans="1:44">
      <c r="A148" s="236" t="s">
        <v>1642</v>
      </c>
      <c r="B148" s="428" t="s">
        <v>1627</v>
      </c>
      <c r="C148" s="236" t="str">
        <f>CONCATENATE(B148," ",A148," CHARTER")</f>
        <v>32903 LUMEN CHARTER</v>
      </c>
      <c r="D148" s="387">
        <v>0</v>
      </c>
      <c r="E148" s="387">
        <v>0</v>
      </c>
      <c r="F148" s="387">
        <v>0</v>
      </c>
      <c r="G148" s="387">
        <v>32789.379999999997</v>
      </c>
      <c r="H148" s="387">
        <v>3316.68</v>
      </c>
      <c r="I148" s="387">
        <v>8773.8700000000008</v>
      </c>
      <c r="J148" s="387">
        <v>16681.18</v>
      </c>
      <c r="K148" s="387">
        <v>0</v>
      </c>
      <c r="L148" s="387">
        <v>0</v>
      </c>
      <c r="M148" s="387">
        <v>4137.8999999999996</v>
      </c>
      <c r="N148" s="388">
        <v>3.5000000000000003E-2</v>
      </c>
      <c r="O148" s="389">
        <v>0.14979999999999999</v>
      </c>
      <c r="P148" s="387">
        <v>0</v>
      </c>
      <c r="Q148" s="387">
        <v>0</v>
      </c>
      <c r="R148" s="387">
        <v>0</v>
      </c>
      <c r="S148" s="387">
        <v>0</v>
      </c>
      <c r="T148" s="387">
        <v>0</v>
      </c>
      <c r="U148" s="387">
        <v>0</v>
      </c>
      <c r="V148" s="387">
        <v>0</v>
      </c>
      <c r="W148" s="387">
        <v>0</v>
      </c>
      <c r="X148" s="387">
        <v>0</v>
      </c>
      <c r="Y148" s="387">
        <v>0</v>
      </c>
      <c r="Z148" s="387">
        <v>0</v>
      </c>
      <c r="AA148" s="387">
        <v>0</v>
      </c>
      <c r="AB148" s="387">
        <v>0</v>
      </c>
      <c r="AC148" s="387">
        <v>0</v>
      </c>
      <c r="AD148" s="525">
        <v>0</v>
      </c>
      <c r="AE148" s="387">
        <v>0</v>
      </c>
      <c r="AF148" s="526">
        <f t="shared" si="59"/>
        <v>0</v>
      </c>
      <c r="AG148" s="526">
        <f t="shared" si="60"/>
        <v>0</v>
      </c>
      <c r="AH148" s="527">
        <f t="shared" si="57"/>
        <v>0</v>
      </c>
      <c r="AI148" s="525">
        <v>0</v>
      </c>
      <c r="AJ148" s="387">
        <v>0</v>
      </c>
      <c r="AK148" s="526">
        <f t="shared" si="61"/>
        <v>0</v>
      </c>
      <c r="AL148" s="526">
        <f t="shared" si="62"/>
        <v>0</v>
      </c>
      <c r="AM148" s="527">
        <f t="shared" si="58"/>
        <v>0</v>
      </c>
      <c r="AN148" s="387">
        <v>0</v>
      </c>
      <c r="AO148" s="387">
        <v>0</v>
      </c>
      <c r="AP148" s="73"/>
      <c r="AQ148" s="241">
        <v>0</v>
      </c>
      <c r="AR148" s="659">
        <v>14417.619999999999</v>
      </c>
    </row>
    <row r="149" spans="1:44">
      <c r="A149" s="236" t="s">
        <v>1688</v>
      </c>
      <c r="B149" s="236" t="s">
        <v>1179</v>
      </c>
      <c r="C149" s="236" t="str">
        <f>CONCATENATE(B149," ",A149," TRIBAL COMPACT")</f>
        <v>37903 LUMMI TRIBAL COMPACT</v>
      </c>
      <c r="D149" s="387">
        <v>4664.1099999999997</v>
      </c>
      <c r="E149" s="387">
        <v>0</v>
      </c>
      <c r="F149" s="387">
        <v>0</v>
      </c>
      <c r="G149" s="387">
        <v>951776.26</v>
      </c>
      <c r="H149" s="387">
        <v>194424.37</v>
      </c>
      <c r="I149" s="387">
        <v>134464.93</v>
      </c>
      <c r="J149" s="387">
        <v>272234.51</v>
      </c>
      <c r="K149" s="387">
        <v>0</v>
      </c>
      <c r="L149" s="387">
        <v>0</v>
      </c>
      <c r="M149" s="387">
        <v>629520.67000000004</v>
      </c>
      <c r="N149" s="388">
        <v>3.5000000000000003E-2</v>
      </c>
      <c r="O149" s="389">
        <v>0.14979999999999999</v>
      </c>
      <c r="P149" s="387">
        <v>0</v>
      </c>
      <c r="Q149" s="387">
        <v>0</v>
      </c>
      <c r="R149" s="387">
        <v>0</v>
      </c>
      <c r="S149" s="387">
        <v>0</v>
      </c>
      <c r="T149" s="387">
        <v>0</v>
      </c>
      <c r="U149" s="387">
        <v>0</v>
      </c>
      <c r="V149" s="387">
        <v>0</v>
      </c>
      <c r="W149" s="387">
        <v>0</v>
      </c>
      <c r="X149" s="387">
        <v>0</v>
      </c>
      <c r="Y149" s="387">
        <v>0</v>
      </c>
      <c r="Z149" s="387">
        <v>0</v>
      </c>
      <c r="AA149" s="387">
        <v>0</v>
      </c>
      <c r="AB149" s="387">
        <v>0</v>
      </c>
      <c r="AC149" s="387">
        <v>88729.44</v>
      </c>
      <c r="AD149" s="525">
        <v>7.82</v>
      </c>
      <c r="AE149" s="387">
        <v>75449.84</v>
      </c>
      <c r="AF149" s="526">
        <f t="shared" si="59"/>
        <v>9648.32</v>
      </c>
      <c r="AG149" s="526">
        <f t="shared" si="60"/>
        <v>11346.48</v>
      </c>
      <c r="AH149" s="527">
        <f t="shared" si="57"/>
        <v>1698.16</v>
      </c>
      <c r="AI149" s="525">
        <v>0</v>
      </c>
      <c r="AJ149" s="387">
        <v>0</v>
      </c>
      <c r="AK149" s="526">
        <f t="shared" si="61"/>
        <v>0</v>
      </c>
      <c r="AL149" s="526">
        <f t="shared" si="62"/>
        <v>0</v>
      </c>
      <c r="AM149" s="527">
        <f t="shared" si="58"/>
        <v>0</v>
      </c>
      <c r="AN149" s="387">
        <v>0</v>
      </c>
      <c r="AO149" s="387">
        <v>0</v>
      </c>
      <c r="AP149" s="73"/>
      <c r="AQ149" s="241">
        <v>203016.89</v>
      </c>
      <c r="AR149" s="659">
        <v>56814.289999999986</v>
      </c>
    </row>
    <row r="150" spans="1:44">
      <c r="A150" s="236" t="s">
        <v>415</v>
      </c>
      <c r="B150" s="236" t="s">
        <v>414</v>
      </c>
      <c r="C150" s="236" t="str">
        <f t="shared" ref="C150:C173" si="63">CONCATENATE(B150," ",A150," SCHOOL DISTRICT")</f>
        <v>20406 LYLE SCHOOL DISTRICT</v>
      </c>
      <c r="D150" s="387">
        <v>0</v>
      </c>
      <c r="E150" s="387">
        <v>10732.19</v>
      </c>
      <c r="F150" s="387">
        <v>6212.83</v>
      </c>
      <c r="G150" s="387">
        <v>0</v>
      </c>
      <c r="H150" s="387">
        <v>0</v>
      </c>
      <c r="I150" s="387">
        <v>63691.76</v>
      </c>
      <c r="J150" s="387">
        <v>86547.12</v>
      </c>
      <c r="K150" s="387">
        <v>18231.8</v>
      </c>
      <c r="L150" s="387">
        <v>0</v>
      </c>
      <c r="M150" s="387">
        <v>0</v>
      </c>
      <c r="N150" s="388">
        <v>2.35E-2</v>
      </c>
      <c r="O150" s="389">
        <v>0.19270000000000001</v>
      </c>
      <c r="P150" s="387">
        <v>0</v>
      </c>
      <c r="Q150" s="387">
        <v>0</v>
      </c>
      <c r="R150" s="387">
        <v>0</v>
      </c>
      <c r="S150" s="387">
        <v>0</v>
      </c>
      <c r="T150" s="387">
        <v>0</v>
      </c>
      <c r="U150" s="387">
        <v>0</v>
      </c>
      <c r="V150" s="387">
        <v>0</v>
      </c>
      <c r="W150" s="387">
        <v>0</v>
      </c>
      <c r="X150" s="387">
        <v>0</v>
      </c>
      <c r="Y150" s="387">
        <v>0</v>
      </c>
      <c r="Z150" s="387">
        <v>0</v>
      </c>
      <c r="AA150" s="387">
        <v>0</v>
      </c>
      <c r="AB150" s="387">
        <v>0</v>
      </c>
      <c r="AC150" s="387">
        <v>0</v>
      </c>
      <c r="AD150" s="525">
        <v>0</v>
      </c>
      <c r="AE150" s="387">
        <v>0</v>
      </c>
      <c r="AF150" s="526">
        <f t="shared" si="59"/>
        <v>0</v>
      </c>
      <c r="AG150" s="526">
        <f t="shared" si="60"/>
        <v>0</v>
      </c>
      <c r="AH150" s="527">
        <f t="shared" si="57"/>
        <v>0</v>
      </c>
      <c r="AI150" s="525">
        <v>0</v>
      </c>
      <c r="AJ150" s="387">
        <v>0</v>
      </c>
      <c r="AK150" s="526">
        <f t="shared" si="61"/>
        <v>0</v>
      </c>
      <c r="AL150" s="526">
        <f t="shared" si="62"/>
        <v>0</v>
      </c>
      <c r="AM150" s="527">
        <f t="shared" si="58"/>
        <v>0</v>
      </c>
      <c r="AN150" s="387">
        <v>0</v>
      </c>
      <c r="AO150" s="387">
        <v>0</v>
      </c>
      <c r="AP150" s="73"/>
      <c r="AQ150" s="241">
        <v>60204.800000000003</v>
      </c>
      <c r="AR150" s="659">
        <v>29562.27</v>
      </c>
    </row>
    <row r="151" spans="1:44">
      <c r="A151" s="236" t="s">
        <v>678</v>
      </c>
      <c r="B151" s="236" t="s">
        <v>677</v>
      </c>
      <c r="C151" s="236" t="str">
        <f t="shared" si="63"/>
        <v>37504 LYNDEN SCHOOL DISTRICT</v>
      </c>
      <c r="D151" s="387">
        <v>0</v>
      </c>
      <c r="E151" s="387">
        <v>15339.63</v>
      </c>
      <c r="F151" s="387">
        <v>0</v>
      </c>
      <c r="G151" s="387">
        <v>6869162.5800000001</v>
      </c>
      <c r="H151" s="387">
        <v>850589.84</v>
      </c>
      <c r="I151" s="387">
        <v>188350.09</v>
      </c>
      <c r="J151" s="387">
        <v>1093028.54</v>
      </c>
      <c r="K151" s="387">
        <v>873877.9</v>
      </c>
      <c r="L151" s="387">
        <v>119467.78</v>
      </c>
      <c r="M151" s="387">
        <v>2199604.36</v>
      </c>
      <c r="N151" s="388">
        <v>3.4000000000000002E-2</v>
      </c>
      <c r="O151" s="389">
        <v>0.1487</v>
      </c>
      <c r="P151" s="387">
        <v>0</v>
      </c>
      <c r="Q151" s="387">
        <v>0</v>
      </c>
      <c r="R151" s="387">
        <v>0</v>
      </c>
      <c r="S151" s="387">
        <v>0</v>
      </c>
      <c r="T151" s="387">
        <v>0</v>
      </c>
      <c r="U151" s="387">
        <v>0</v>
      </c>
      <c r="V151" s="387">
        <v>0</v>
      </c>
      <c r="W151" s="387">
        <v>0</v>
      </c>
      <c r="X151" s="387">
        <v>0</v>
      </c>
      <c r="Y151" s="387">
        <v>0</v>
      </c>
      <c r="Z151" s="387">
        <v>4199.6899999999996</v>
      </c>
      <c r="AA151" s="387">
        <v>5428.68</v>
      </c>
      <c r="AB151" s="387">
        <v>187170.71</v>
      </c>
      <c r="AC151" s="387">
        <v>1973849.67</v>
      </c>
      <c r="AD151" s="525">
        <v>170.02</v>
      </c>
      <c r="AE151" s="387">
        <v>1705736.08</v>
      </c>
      <c r="AF151" s="526">
        <f t="shared" si="59"/>
        <v>10032.56</v>
      </c>
      <c r="AG151" s="526">
        <f t="shared" si="60"/>
        <v>11609.51</v>
      </c>
      <c r="AH151" s="527">
        <f t="shared" si="57"/>
        <v>1576.95</v>
      </c>
      <c r="AI151" s="525">
        <v>18.07</v>
      </c>
      <c r="AJ151" s="387">
        <v>177953.45</v>
      </c>
      <c r="AK151" s="526">
        <f t="shared" si="61"/>
        <v>9848</v>
      </c>
      <c r="AL151" s="526">
        <f t="shared" si="62"/>
        <v>10358.09</v>
      </c>
      <c r="AM151" s="527">
        <f t="shared" si="58"/>
        <v>510.09</v>
      </c>
      <c r="AN151" s="387">
        <v>0</v>
      </c>
      <c r="AO151" s="387">
        <v>0</v>
      </c>
      <c r="AP151" s="73"/>
      <c r="AQ151" s="241">
        <v>59774.230000000098</v>
      </c>
      <c r="AR151" s="659">
        <v>384174.23</v>
      </c>
    </row>
    <row r="152" spans="1:44">
      <c r="A152" s="236" t="s">
        <v>721</v>
      </c>
      <c r="B152" s="236" t="s">
        <v>720</v>
      </c>
      <c r="C152" s="236" t="str">
        <f t="shared" si="63"/>
        <v>39120 MABTON SCHOOL DISTRICT</v>
      </c>
      <c r="D152" s="387">
        <v>68965.87</v>
      </c>
      <c r="E152" s="387">
        <v>0</v>
      </c>
      <c r="F152" s="387">
        <v>0</v>
      </c>
      <c r="G152" s="387">
        <v>833005.34</v>
      </c>
      <c r="H152" s="387">
        <v>133952.88</v>
      </c>
      <c r="I152" s="387">
        <v>240577.16</v>
      </c>
      <c r="J152" s="387">
        <v>519715.98</v>
      </c>
      <c r="K152" s="387">
        <v>536718.47</v>
      </c>
      <c r="L152" s="387">
        <v>21880.49</v>
      </c>
      <c r="M152" s="387">
        <v>199882.94</v>
      </c>
      <c r="N152" s="388">
        <v>2.3E-2</v>
      </c>
      <c r="O152" s="389">
        <v>0.1923</v>
      </c>
      <c r="P152" s="387">
        <v>0</v>
      </c>
      <c r="Q152" s="387">
        <v>0</v>
      </c>
      <c r="R152" s="387">
        <v>0</v>
      </c>
      <c r="S152" s="387">
        <v>0</v>
      </c>
      <c r="T152" s="387">
        <v>0</v>
      </c>
      <c r="U152" s="387">
        <v>0</v>
      </c>
      <c r="V152" s="387">
        <v>0</v>
      </c>
      <c r="W152" s="387">
        <v>0</v>
      </c>
      <c r="X152" s="387">
        <v>0</v>
      </c>
      <c r="Y152" s="387">
        <v>0</v>
      </c>
      <c r="Z152" s="387">
        <v>12366.58</v>
      </c>
      <c r="AA152" s="387">
        <v>52574.22</v>
      </c>
      <c r="AB152" s="387">
        <v>76460.52</v>
      </c>
      <c r="AC152" s="387">
        <v>540126.75</v>
      </c>
      <c r="AD152" s="525">
        <v>51.02</v>
      </c>
      <c r="AE152" s="387">
        <v>472738.48</v>
      </c>
      <c r="AF152" s="526">
        <f t="shared" si="59"/>
        <v>9265.75</v>
      </c>
      <c r="AG152" s="526">
        <f t="shared" si="60"/>
        <v>10586.57</v>
      </c>
      <c r="AH152" s="527">
        <f t="shared" si="57"/>
        <v>1320.82</v>
      </c>
      <c r="AI152" s="525">
        <v>8.01</v>
      </c>
      <c r="AJ152" s="387">
        <v>72702.679999999993</v>
      </c>
      <c r="AK152" s="526">
        <f t="shared" si="61"/>
        <v>9076.49</v>
      </c>
      <c r="AL152" s="526">
        <f t="shared" si="62"/>
        <v>9545.6299999999992</v>
      </c>
      <c r="AM152" s="527">
        <f t="shared" si="58"/>
        <v>469.14</v>
      </c>
      <c r="AN152" s="387">
        <v>2005</v>
      </c>
      <c r="AO152" s="387">
        <v>0</v>
      </c>
      <c r="AP152" s="73"/>
      <c r="AQ152" s="241">
        <v>159661.08999999997</v>
      </c>
      <c r="AR152" s="659">
        <v>89965.169999999984</v>
      </c>
    </row>
    <row r="153" spans="1:44">
      <c r="A153" s="236" t="s">
        <v>254</v>
      </c>
      <c r="B153" s="236" t="s">
        <v>253</v>
      </c>
      <c r="C153" s="236" t="str">
        <f t="shared" si="63"/>
        <v>09207 MANSFIELD SCHOOL DISTRICT</v>
      </c>
      <c r="D153" s="387">
        <v>0</v>
      </c>
      <c r="E153" s="387">
        <v>0</v>
      </c>
      <c r="F153" s="387">
        <v>0</v>
      </c>
      <c r="G153" s="387">
        <v>0</v>
      </c>
      <c r="H153" s="387">
        <v>0</v>
      </c>
      <c r="I153" s="387">
        <v>31737.55</v>
      </c>
      <c r="J153" s="387">
        <v>50910.07</v>
      </c>
      <c r="K153" s="387">
        <v>6610.36</v>
      </c>
      <c r="L153" s="387">
        <v>0</v>
      </c>
      <c r="M153" s="387">
        <v>174171.45</v>
      </c>
      <c r="N153" s="388">
        <v>8.2199999999999995E-2</v>
      </c>
      <c r="O153" s="389">
        <v>0.35859999999999997</v>
      </c>
      <c r="P153" s="387">
        <v>0</v>
      </c>
      <c r="Q153" s="387">
        <v>0</v>
      </c>
      <c r="R153" s="387">
        <v>0</v>
      </c>
      <c r="S153" s="387">
        <v>0</v>
      </c>
      <c r="T153" s="387">
        <v>0</v>
      </c>
      <c r="U153" s="387">
        <v>0</v>
      </c>
      <c r="V153" s="387">
        <v>0</v>
      </c>
      <c r="W153" s="387">
        <v>0</v>
      </c>
      <c r="X153" s="387">
        <v>0</v>
      </c>
      <c r="Y153" s="387">
        <v>119.37</v>
      </c>
      <c r="Z153" s="387">
        <v>0</v>
      </c>
      <c r="AA153" s="387">
        <v>0</v>
      </c>
      <c r="AB153" s="387">
        <v>14723.68</v>
      </c>
      <c r="AC153" s="387">
        <v>44812.02</v>
      </c>
      <c r="AD153" s="525">
        <v>4.7</v>
      </c>
      <c r="AE153" s="387">
        <v>43535.76</v>
      </c>
      <c r="AF153" s="526">
        <f t="shared" si="59"/>
        <v>9262.93</v>
      </c>
      <c r="AG153" s="526">
        <f t="shared" si="60"/>
        <v>9534.4699999999993</v>
      </c>
      <c r="AH153" s="527">
        <f t="shared" si="57"/>
        <v>271.54000000000002</v>
      </c>
      <c r="AI153" s="525">
        <v>1.53</v>
      </c>
      <c r="AJ153" s="387">
        <v>13802.56</v>
      </c>
      <c r="AK153" s="526">
        <f t="shared" si="61"/>
        <v>9021.2800000000007</v>
      </c>
      <c r="AL153" s="526">
        <f t="shared" si="62"/>
        <v>9623.32</v>
      </c>
      <c r="AM153" s="527">
        <f t="shared" si="58"/>
        <v>602.04</v>
      </c>
      <c r="AN153" s="387">
        <v>5359.49</v>
      </c>
      <c r="AO153" s="387">
        <v>0</v>
      </c>
      <c r="AP153" s="73"/>
      <c r="AQ153" s="241">
        <v>20714.609999999993</v>
      </c>
      <c r="AR153" s="659">
        <v>21791.84</v>
      </c>
    </row>
    <row r="154" spans="1:44">
      <c r="A154" s="236" t="s">
        <v>190</v>
      </c>
      <c r="B154" s="236" t="s">
        <v>189</v>
      </c>
      <c r="C154" s="236" t="str">
        <f t="shared" si="63"/>
        <v>04019 MANSON SCHOOL DISTRICT</v>
      </c>
      <c r="D154" s="387">
        <v>18524.98</v>
      </c>
      <c r="E154" s="387">
        <v>0</v>
      </c>
      <c r="F154" s="387">
        <v>0</v>
      </c>
      <c r="G154" s="387">
        <v>0</v>
      </c>
      <c r="H154" s="387">
        <v>0</v>
      </c>
      <c r="I154" s="387">
        <v>206239.94</v>
      </c>
      <c r="J154" s="387">
        <v>295928.32000000001</v>
      </c>
      <c r="K154" s="387">
        <v>389584.68</v>
      </c>
      <c r="L154" s="387">
        <v>18847.560000000001</v>
      </c>
      <c r="M154" s="387">
        <v>492262.82</v>
      </c>
      <c r="N154" s="388">
        <v>3.9E-2</v>
      </c>
      <c r="O154" s="389">
        <v>0.20899999999999999</v>
      </c>
      <c r="P154" s="387">
        <v>0</v>
      </c>
      <c r="Q154" s="387">
        <v>0</v>
      </c>
      <c r="R154" s="387">
        <v>0</v>
      </c>
      <c r="S154" s="387">
        <v>0</v>
      </c>
      <c r="T154" s="387">
        <v>0</v>
      </c>
      <c r="U154" s="387">
        <v>0</v>
      </c>
      <c r="V154" s="387">
        <v>0</v>
      </c>
      <c r="W154" s="387">
        <v>0</v>
      </c>
      <c r="X154" s="387">
        <v>0</v>
      </c>
      <c r="Y154" s="387">
        <v>740.76</v>
      </c>
      <c r="Z154" s="387">
        <v>0</v>
      </c>
      <c r="AA154" s="387">
        <v>10087.39</v>
      </c>
      <c r="AB154" s="387">
        <v>51557.03</v>
      </c>
      <c r="AC154" s="387">
        <v>525128.4</v>
      </c>
      <c r="AD154" s="525">
        <v>54.85</v>
      </c>
      <c r="AE154" s="387">
        <v>508215.46</v>
      </c>
      <c r="AF154" s="526">
        <f t="shared" si="59"/>
        <v>9265.5499999999993</v>
      </c>
      <c r="AG154" s="526">
        <f t="shared" si="60"/>
        <v>9573.9</v>
      </c>
      <c r="AH154" s="527">
        <f t="shared" si="57"/>
        <v>308.35000000000002</v>
      </c>
      <c r="AI154" s="525">
        <v>5.4</v>
      </c>
      <c r="AJ154" s="387">
        <v>48974.5</v>
      </c>
      <c r="AK154" s="526">
        <f t="shared" si="61"/>
        <v>9069.35</v>
      </c>
      <c r="AL154" s="526">
        <f t="shared" si="62"/>
        <v>9547.6</v>
      </c>
      <c r="AM154" s="527">
        <f t="shared" si="58"/>
        <v>478.25</v>
      </c>
      <c r="AN154" s="387">
        <v>0</v>
      </c>
      <c r="AO154" s="387">
        <v>0</v>
      </c>
      <c r="AP154" s="73"/>
      <c r="AQ154" s="241">
        <v>0</v>
      </c>
      <c r="AR154" s="659">
        <v>69843.53</v>
      </c>
    </row>
    <row r="155" spans="1:44">
      <c r="A155" s="236" t="s">
        <v>465</v>
      </c>
      <c r="B155" s="236" t="s">
        <v>464</v>
      </c>
      <c r="C155" s="236" t="str">
        <f t="shared" si="63"/>
        <v>23311 MARY M KNIGHT SCHOOL DISTRICT</v>
      </c>
      <c r="D155" s="387">
        <v>59867.14</v>
      </c>
      <c r="E155" s="387">
        <v>0</v>
      </c>
      <c r="F155" s="387">
        <v>0</v>
      </c>
      <c r="G155" s="387">
        <v>1285256.52</v>
      </c>
      <c r="H155" s="387">
        <v>221002.1</v>
      </c>
      <c r="I155" s="387">
        <v>56217.73</v>
      </c>
      <c r="J155" s="387">
        <v>224762.55</v>
      </c>
      <c r="K155" s="387">
        <v>20257.560000000001</v>
      </c>
      <c r="L155" s="387">
        <v>23505.29</v>
      </c>
      <c r="M155" s="387">
        <v>424703.72</v>
      </c>
      <c r="N155" s="388">
        <v>2.3099999999999999E-2</v>
      </c>
      <c r="O155" s="389">
        <v>7.7200000000000005E-2</v>
      </c>
      <c r="P155" s="387">
        <v>0</v>
      </c>
      <c r="Q155" s="387">
        <v>0</v>
      </c>
      <c r="R155" s="387">
        <v>0</v>
      </c>
      <c r="S155" s="387">
        <v>0</v>
      </c>
      <c r="T155" s="387">
        <v>0</v>
      </c>
      <c r="U155" s="387">
        <v>0</v>
      </c>
      <c r="V155" s="387">
        <v>0</v>
      </c>
      <c r="W155" s="387">
        <v>0</v>
      </c>
      <c r="X155" s="387">
        <v>0</v>
      </c>
      <c r="Y155" s="387">
        <v>205.27</v>
      </c>
      <c r="Z155" s="387">
        <v>0</v>
      </c>
      <c r="AA155" s="387">
        <v>0</v>
      </c>
      <c r="AB155" s="387">
        <v>66595.009999999995</v>
      </c>
      <c r="AC155" s="387">
        <v>116124.89</v>
      </c>
      <c r="AD155" s="525">
        <v>11.94</v>
      </c>
      <c r="AE155" s="387">
        <v>110598.8</v>
      </c>
      <c r="AF155" s="526">
        <f t="shared" si="59"/>
        <v>9262.8799999999992</v>
      </c>
      <c r="AG155" s="526">
        <f t="shared" si="60"/>
        <v>9725.7000000000007</v>
      </c>
      <c r="AH155" s="527">
        <f t="shared" si="57"/>
        <v>462.82</v>
      </c>
      <c r="AI155" s="525">
        <v>6.98</v>
      </c>
      <c r="AJ155" s="387">
        <v>63465.48</v>
      </c>
      <c r="AK155" s="526">
        <f t="shared" si="61"/>
        <v>9092.48</v>
      </c>
      <c r="AL155" s="526">
        <f t="shared" si="62"/>
        <v>9540.83</v>
      </c>
      <c r="AM155" s="527">
        <f t="shared" si="58"/>
        <v>448.35</v>
      </c>
      <c r="AN155" s="387">
        <v>0</v>
      </c>
      <c r="AO155" s="387">
        <v>0</v>
      </c>
      <c r="AP155" s="73"/>
      <c r="AQ155" s="241">
        <v>75015.329999999987</v>
      </c>
      <c r="AR155" s="659">
        <v>41392.33</v>
      </c>
    </row>
    <row r="156" spans="1:44">
      <c r="A156" s="236" t="s">
        <v>635</v>
      </c>
      <c r="B156" s="236" t="s">
        <v>634</v>
      </c>
      <c r="C156" s="236" t="str">
        <f t="shared" si="63"/>
        <v>33207 MARY WALKER SCHOOL DISTRICT</v>
      </c>
      <c r="D156" s="387">
        <v>78892.990000000005</v>
      </c>
      <c r="E156" s="387">
        <v>0</v>
      </c>
      <c r="F156" s="387">
        <v>0</v>
      </c>
      <c r="G156" s="387">
        <v>1008221.75</v>
      </c>
      <c r="H156" s="387">
        <v>148120.04</v>
      </c>
      <c r="I156" s="387">
        <v>158037.85</v>
      </c>
      <c r="J156" s="387">
        <v>269823.38</v>
      </c>
      <c r="K156" s="387">
        <v>0</v>
      </c>
      <c r="L156" s="387">
        <v>0</v>
      </c>
      <c r="M156" s="387">
        <v>435392.88</v>
      </c>
      <c r="N156" s="388">
        <v>3.1699999999999999E-2</v>
      </c>
      <c r="O156" s="389">
        <v>0.2051</v>
      </c>
      <c r="P156" s="387">
        <v>0</v>
      </c>
      <c r="Q156" s="387">
        <v>0</v>
      </c>
      <c r="R156" s="387">
        <v>0</v>
      </c>
      <c r="S156" s="387">
        <v>0</v>
      </c>
      <c r="T156" s="387">
        <v>0</v>
      </c>
      <c r="U156" s="387">
        <v>0</v>
      </c>
      <c r="V156" s="387">
        <v>0</v>
      </c>
      <c r="W156" s="387">
        <v>0</v>
      </c>
      <c r="X156" s="387">
        <v>0</v>
      </c>
      <c r="Y156" s="387">
        <v>622.51</v>
      </c>
      <c r="Z156" s="387">
        <v>0</v>
      </c>
      <c r="AA156" s="387">
        <v>0</v>
      </c>
      <c r="AB156" s="387">
        <v>0</v>
      </c>
      <c r="AC156" s="387">
        <v>233970.83</v>
      </c>
      <c r="AD156" s="525">
        <v>24.42</v>
      </c>
      <c r="AE156" s="387">
        <v>226454.73</v>
      </c>
      <c r="AF156" s="526">
        <f t="shared" si="59"/>
        <v>9273.33</v>
      </c>
      <c r="AG156" s="526">
        <f t="shared" si="60"/>
        <v>9581.1200000000008</v>
      </c>
      <c r="AH156" s="527">
        <f t="shared" si="57"/>
        <v>307.79000000000002</v>
      </c>
      <c r="AI156" s="525">
        <v>0</v>
      </c>
      <c r="AJ156" s="387">
        <v>0</v>
      </c>
      <c r="AK156" s="526">
        <f t="shared" si="61"/>
        <v>0</v>
      </c>
      <c r="AL156" s="526">
        <f t="shared" si="62"/>
        <v>0</v>
      </c>
      <c r="AM156" s="527">
        <f t="shared" si="58"/>
        <v>0</v>
      </c>
      <c r="AN156" s="387">
        <v>0</v>
      </c>
      <c r="AO156" s="387">
        <v>14767.62</v>
      </c>
      <c r="AP156" s="73"/>
      <c r="AQ156" s="241">
        <v>29071.46</v>
      </c>
      <c r="AR156" s="659">
        <v>56829.35</v>
      </c>
    </row>
    <row r="157" spans="1:44">
      <c r="A157" s="236" t="s">
        <v>575</v>
      </c>
      <c r="B157" s="236" t="s">
        <v>574</v>
      </c>
      <c r="C157" s="236" t="str">
        <f t="shared" si="63"/>
        <v>31025 MARYSVILLE SCHOOL DISTRICT</v>
      </c>
      <c r="D157" s="387">
        <v>0</v>
      </c>
      <c r="E157" s="387">
        <v>382374.61</v>
      </c>
      <c r="F157" s="387">
        <v>218109.79</v>
      </c>
      <c r="G157" s="387">
        <v>24733265.57</v>
      </c>
      <c r="H157" s="387">
        <v>4877358.03</v>
      </c>
      <c r="I157" s="387">
        <v>2205775</v>
      </c>
      <c r="J157" s="387">
        <v>3822758.97</v>
      </c>
      <c r="K157" s="387">
        <v>2617205.73</v>
      </c>
      <c r="L157" s="387">
        <v>332838.49</v>
      </c>
      <c r="M157" s="387">
        <v>9014989.7200000007</v>
      </c>
      <c r="N157" s="388">
        <v>3.6600000000000001E-2</v>
      </c>
      <c r="O157" s="389">
        <v>0.12909999999999999</v>
      </c>
      <c r="P157" s="387">
        <v>0</v>
      </c>
      <c r="Q157" s="387">
        <v>0</v>
      </c>
      <c r="R157" s="387">
        <v>0</v>
      </c>
      <c r="S157" s="387">
        <v>0</v>
      </c>
      <c r="T157" s="387">
        <v>0</v>
      </c>
      <c r="U157" s="387">
        <v>0</v>
      </c>
      <c r="V157" s="387">
        <v>0</v>
      </c>
      <c r="W157" s="387">
        <v>0</v>
      </c>
      <c r="X157" s="387">
        <v>0</v>
      </c>
      <c r="Y157" s="387">
        <v>10731.05</v>
      </c>
      <c r="Z157" s="387">
        <v>135186.93</v>
      </c>
      <c r="AA157" s="387">
        <v>304323.09999999998</v>
      </c>
      <c r="AB157" s="387">
        <v>2002164.58</v>
      </c>
      <c r="AC157" s="387">
        <v>6849144.04</v>
      </c>
      <c r="AD157" s="525">
        <v>619.92999999999995</v>
      </c>
      <c r="AE157" s="387">
        <v>6456036.9699999997</v>
      </c>
      <c r="AF157" s="526">
        <f t="shared" si="59"/>
        <v>10414.14</v>
      </c>
      <c r="AG157" s="526">
        <f t="shared" si="60"/>
        <v>11048.25</v>
      </c>
      <c r="AH157" s="527">
        <f t="shared" si="57"/>
        <v>634.11</v>
      </c>
      <c r="AI157" s="525">
        <v>186.19</v>
      </c>
      <c r="AJ157" s="387">
        <v>1905884.43</v>
      </c>
      <c r="AK157" s="526">
        <f t="shared" si="61"/>
        <v>10236.23</v>
      </c>
      <c r="AL157" s="526">
        <f t="shared" si="62"/>
        <v>10753.34</v>
      </c>
      <c r="AM157" s="527">
        <f t="shared" si="58"/>
        <v>517.11</v>
      </c>
      <c r="AN157" s="387">
        <v>0</v>
      </c>
      <c r="AO157" s="387">
        <v>0</v>
      </c>
      <c r="AP157" s="73"/>
      <c r="AQ157" s="241">
        <v>0</v>
      </c>
      <c r="AR157" s="659">
        <v>1223643.18</v>
      </c>
    </row>
    <row r="158" spans="1:44">
      <c r="A158" s="236" t="s">
        <v>304</v>
      </c>
      <c r="B158" s="236" t="s">
        <v>303</v>
      </c>
      <c r="C158" s="236" t="str">
        <f t="shared" si="63"/>
        <v>14065 MC CLEARY SCHOOL DISTRICT</v>
      </c>
      <c r="D158" s="387">
        <v>0</v>
      </c>
      <c r="E158" s="387">
        <v>0</v>
      </c>
      <c r="F158" s="387">
        <v>0</v>
      </c>
      <c r="G158" s="387">
        <v>723385.04</v>
      </c>
      <c r="H158" s="387">
        <v>99189.57</v>
      </c>
      <c r="I158" s="387">
        <v>101386.85</v>
      </c>
      <c r="J158" s="387">
        <v>138540.39000000001</v>
      </c>
      <c r="K158" s="387">
        <v>1919.14</v>
      </c>
      <c r="L158" s="387">
        <v>9640.42</v>
      </c>
      <c r="M158" s="387">
        <v>256420.98</v>
      </c>
      <c r="N158" s="388">
        <v>3.1099999999999999E-2</v>
      </c>
      <c r="O158" s="389">
        <v>0.18690000000000001</v>
      </c>
      <c r="P158" s="387">
        <v>0</v>
      </c>
      <c r="Q158" s="387">
        <v>0</v>
      </c>
      <c r="R158" s="387">
        <v>0</v>
      </c>
      <c r="S158" s="387">
        <v>0</v>
      </c>
      <c r="T158" s="387">
        <v>0</v>
      </c>
      <c r="U158" s="387">
        <v>0</v>
      </c>
      <c r="V158" s="387">
        <v>0</v>
      </c>
      <c r="W158" s="387">
        <v>0</v>
      </c>
      <c r="X158" s="387">
        <v>0</v>
      </c>
      <c r="Y158" s="387">
        <v>371.5</v>
      </c>
      <c r="Z158" s="387">
        <v>0</v>
      </c>
      <c r="AA158" s="387">
        <v>0</v>
      </c>
      <c r="AB158" s="387">
        <v>0</v>
      </c>
      <c r="AC158" s="387">
        <v>0</v>
      </c>
      <c r="AD158" s="525">
        <v>0</v>
      </c>
      <c r="AE158" s="387">
        <v>0</v>
      </c>
      <c r="AF158" s="526">
        <f t="shared" si="59"/>
        <v>0</v>
      </c>
      <c r="AG158" s="526">
        <f t="shared" si="60"/>
        <v>0</v>
      </c>
      <c r="AH158" s="527">
        <f t="shared" si="57"/>
        <v>0</v>
      </c>
      <c r="AI158" s="525">
        <v>0</v>
      </c>
      <c r="AJ158" s="387">
        <v>0</v>
      </c>
      <c r="AK158" s="526">
        <f t="shared" si="61"/>
        <v>0</v>
      </c>
      <c r="AL158" s="526">
        <f t="shared" si="62"/>
        <v>0</v>
      </c>
      <c r="AM158" s="527">
        <f t="shared" si="58"/>
        <v>0</v>
      </c>
      <c r="AN158" s="387">
        <v>0</v>
      </c>
      <c r="AO158" s="387">
        <v>0</v>
      </c>
      <c r="AP158" s="73"/>
      <c r="AQ158" s="241">
        <v>0</v>
      </c>
      <c r="AR158" s="659">
        <v>38605.210000000006</v>
      </c>
    </row>
    <row r="159" spans="1:44">
      <c r="A159" s="236" t="s">
        <v>603</v>
      </c>
      <c r="B159" s="236" t="s">
        <v>602</v>
      </c>
      <c r="C159" s="236" t="str">
        <f t="shared" si="63"/>
        <v>32354 MEAD SCHOOL DISTRICT</v>
      </c>
      <c r="D159" s="387">
        <v>0</v>
      </c>
      <c r="E159" s="387">
        <v>217683.41</v>
      </c>
      <c r="F159" s="387">
        <v>7824.34</v>
      </c>
      <c r="G159" s="387">
        <v>21379981.57</v>
      </c>
      <c r="H159" s="387">
        <v>4343744.66</v>
      </c>
      <c r="I159" s="387">
        <v>216269.42</v>
      </c>
      <c r="J159" s="387">
        <v>2256485.83</v>
      </c>
      <c r="K159" s="387">
        <v>782670.45</v>
      </c>
      <c r="L159" s="387">
        <v>330231.11</v>
      </c>
      <c r="M159" s="387">
        <v>6707304.5800000001</v>
      </c>
      <c r="N159" s="388">
        <v>2.47E-2</v>
      </c>
      <c r="O159" s="389">
        <v>0.16719999999999999</v>
      </c>
      <c r="P159" s="387">
        <v>0</v>
      </c>
      <c r="Q159" s="387">
        <v>0</v>
      </c>
      <c r="R159" s="387">
        <v>0</v>
      </c>
      <c r="S159" s="387">
        <v>0</v>
      </c>
      <c r="T159" s="387">
        <v>0</v>
      </c>
      <c r="U159" s="387">
        <v>0</v>
      </c>
      <c r="V159" s="387">
        <v>0</v>
      </c>
      <c r="W159" s="387">
        <v>0</v>
      </c>
      <c r="X159" s="387">
        <v>0</v>
      </c>
      <c r="Y159" s="387">
        <v>11470.7</v>
      </c>
      <c r="Z159" s="387">
        <v>183419.51999999999</v>
      </c>
      <c r="AA159" s="387">
        <v>40959.15</v>
      </c>
      <c r="AB159" s="387">
        <v>3246394.46</v>
      </c>
      <c r="AC159" s="387">
        <v>5192018.3</v>
      </c>
      <c r="AD159" s="525">
        <v>503.35</v>
      </c>
      <c r="AE159" s="387">
        <v>4756789.37</v>
      </c>
      <c r="AF159" s="526">
        <f t="shared" si="59"/>
        <v>9450.26</v>
      </c>
      <c r="AG159" s="526">
        <f t="shared" si="60"/>
        <v>10314.93</v>
      </c>
      <c r="AH159" s="527">
        <f t="shared" si="57"/>
        <v>864.67</v>
      </c>
      <c r="AI159" s="525">
        <v>333.03</v>
      </c>
      <c r="AJ159" s="387">
        <v>3087068.94</v>
      </c>
      <c r="AK159" s="526">
        <f t="shared" si="61"/>
        <v>9269.64</v>
      </c>
      <c r="AL159" s="526">
        <f t="shared" si="62"/>
        <v>9748.0499999999993</v>
      </c>
      <c r="AM159" s="527">
        <f t="shared" si="58"/>
        <v>478.41</v>
      </c>
      <c r="AN159" s="387">
        <v>0</v>
      </c>
      <c r="AO159" s="387">
        <v>0</v>
      </c>
      <c r="AP159" s="73"/>
      <c r="AQ159" s="241">
        <v>0</v>
      </c>
      <c r="AR159" s="659">
        <v>1073406.28</v>
      </c>
    </row>
    <row r="160" spans="1:44">
      <c r="A160" s="236" t="s">
        <v>601</v>
      </c>
      <c r="B160" s="236" t="s">
        <v>600</v>
      </c>
      <c r="C160" s="236" t="str">
        <f t="shared" si="63"/>
        <v>32326 MEDICAL LAKE SCHOOL DISTRICT</v>
      </c>
      <c r="D160" s="387">
        <v>0</v>
      </c>
      <c r="E160" s="387">
        <v>0</v>
      </c>
      <c r="F160" s="387">
        <v>0</v>
      </c>
      <c r="G160" s="387">
        <v>3009684.62</v>
      </c>
      <c r="H160" s="387">
        <v>340406.19</v>
      </c>
      <c r="I160" s="387">
        <v>146772.67000000001</v>
      </c>
      <c r="J160" s="387">
        <v>463823.24</v>
      </c>
      <c r="K160" s="387">
        <v>41794.53</v>
      </c>
      <c r="L160" s="387">
        <v>53184.78</v>
      </c>
      <c r="M160" s="387">
        <v>1344948.15</v>
      </c>
      <c r="N160" s="388">
        <v>4.5499999999999999E-2</v>
      </c>
      <c r="O160" s="389">
        <v>0.1875</v>
      </c>
      <c r="P160" s="387">
        <v>0</v>
      </c>
      <c r="Q160" s="387">
        <v>0</v>
      </c>
      <c r="R160" s="387">
        <v>0</v>
      </c>
      <c r="S160" s="387">
        <v>0</v>
      </c>
      <c r="T160" s="387">
        <v>0</v>
      </c>
      <c r="U160" s="387">
        <v>0</v>
      </c>
      <c r="V160" s="387">
        <v>226192.2</v>
      </c>
      <c r="W160" s="387">
        <v>0</v>
      </c>
      <c r="X160" s="387">
        <v>9302.2800000000007</v>
      </c>
      <c r="Y160" s="387">
        <v>0</v>
      </c>
      <c r="Z160" s="387">
        <v>0</v>
      </c>
      <c r="AA160" s="387">
        <v>0</v>
      </c>
      <c r="AB160" s="387">
        <v>0</v>
      </c>
      <c r="AC160" s="387">
        <v>1053642.48</v>
      </c>
      <c r="AD160" s="525">
        <v>109.96</v>
      </c>
      <c r="AE160" s="387">
        <v>1018978.89</v>
      </c>
      <c r="AF160" s="526">
        <f t="shared" si="59"/>
        <v>9266.81</v>
      </c>
      <c r="AG160" s="526">
        <f t="shared" si="60"/>
        <v>9582.0499999999993</v>
      </c>
      <c r="AH160" s="527">
        <f t="shared" si="57"/>
        <v>315.24</v>
      </c>
      <c r="AI160" s="525">
        <v>0</v>
      </c>
      <c r="AJ160" s="387">
        <v>0</v>
      </c>
      <c r="AK160" s="526">
        <f t="shared" si="61"/>
        <v>0</v>
      </c>
      <c r="AL160" s="526">
        <f t="shared" si="62"/>
        <v>0</v>
      </c>
      <c r="AM160" s="527">
        <f t="shared" si="58"/>
        <v>0</v>
      </c>
      <c r="AN160" s="387">
        <v>0</v>
      </c>
      <c r="AO160" s="387">
        <v>0</v>
      </c>
      <c r="AP160" s="73"/>
      <c r="AQ160" s="241">
        <v>14369.460000000021</v>
      </c>
      <c r="AR160" s="659">
        <v>184856.99999999997</v>
      </c>
    </row>
    <row r="161" spans="1:44">
      <c r="A161" s="236" t="s">
        <v>345</v>
      </c>
      <c r="B161" s="236" t="s">
        <v>344</v>
      </c>
      <c r="C161" s="236" t="str">
        <f t="shared" si="63"/>
        <v>17400 MERCER ISLAND SCHOOL DISTRICT</v>
      </c>
      <c r="D161" s="387">
        <v>0</v>
      </c>
      <c r="E161" s="387">
        <v>0</v>
      </c>
      <c r="F161" s="387">
        <v>0</v>
      </c>
      <c r="G161" s="387">
        <v>6775128.3499999996</v>
      </c>
      <c r="H161" s="387">
        <v>787325.01</v>
      </c>
      <c r="I161" s="387">
        <v>0</v>
      </c>
      <c r="J161" s="387">
        <v>182071.93</v>
      </c>
      <c r="K161" s="387">
        <v>368163.97</v>
      </c>
      <c r="L161" s="387">
        <v>142627.18</v>
      </c>
      <c r="M161" s="387">
        <v>2040149.63</v>
      </c>
      <c r="N161" s="388">
        <v>2.8500000000000001E-2</v>
      </c>
      <c r="O161" s="389">
        <v>0.14269999999999999</v>
      </c>
      <c r="P161" s="387">
        <v>0</v>
      </c>
      <c r="Q161" s="387">
        <v>0</v>
      </c>
      <c r="R161" s="387">
        <v>0</v>
      </c>
      <c r="S161" s="387">
        <v>0</v>
      </c>
      <c r="T161" s="387">
        <v>0</v>
      </c>
      <c r="U161" s="387">
        <v>0</v>
      </c>
      <c r="V161" s="387">
        <v>0</v>
      </c>
      <c r="W161" s="387">
        <v>0</v>
      </c>
      <c r="X161" s="387">
        <v>0</v>
      </c>
      <c r="Y161" s="387">
        <v>0</v>
      </c>
      <c r="Z161" s="387">
        <v>481.04</v>
      </c>
      <c r="AA161" s="387">
        <v>0</v>
      </c>
      <c r="AB161" s="387">
        <v>187135.18</v>
      </c>
      <c r="AC161" s="387">
        <v>3390661.35</v>
      </c>
      <c r="AD161" s="525">
        <v>311.41000000000003</v>
      </c>
      <c r="AE161" s="387">
        <v>3243354.67</v>
      </c>
      <c r="AF161" s="526">
        <f t="shared" si="59"/>
        <v>10415.06</v>
      </c>
      <c r="AG161" s="526">
        <f t="shared" si="60"/>
        <v>10888.09</v>
      </c>
      <c r="AH161" s="527">
        <f t="shared" si="57"/>
        <v>473.03</v>
      </c>
      <c r="AI161" s="525">
        <v>17.41</v>
      </c>
      <c r="AJ161" s="387">
        <v>178167.36</v>
      </c>
      <c r="AK161" s="526">
        <f t="shared" si="61"/>
        <v>10233.620000000001</v>
      </c>
      <c r="AL161" s="526">
        <f t="shared" si="62"/>
        <v>10748.72</v>
      </c>
      <c r="AM161" s="527">
        <f t="shared" si="58"/>
        <v>515.1</v>
      </c>
      <c r="AN161" s="387">
        <v>0</v>
      </c>
      <c r="AO161" s="387">
        <v>0</v>
      </c>
      <c r="AP161" s="73"/>
      <c r="AQ161" s="241">
        <v>0</v>
      </c>
      <c r="AR161" s="659">
        <v>458735.77999999997</v>
      </c>
    </row>
    <row r="162" spans="1:44">
      <c r="A162" s="236" t="s">
        <v>680</v>
      </c>
      <c r="B162" s="236" t="s">
        <v>679</v>
      </c>
      <c r="C162" s="236" t="str">
        <f t="shared" si="63"/>
        <v>37505 MERIDIAN SCHOOL DISTRICT</v>
      </c>
      <c r="D162" s="387">
        <v>0</v>
      </c>
      <c r="E162" s="387">
        <v>48256.57</v>
      </c>
      <c r="F162" s="387">
        <v>0</v>
      </c>
      <c r="G162" s="387">
        <v>3434132.1</v>
      </c>
      <c r="H162" s="387">
        <v>383221.19</v>
      </c>
      <c r="I162" s="387">
        <v>265125.2</v>
      </c>
      <c r="J162" s="387">
        <v>560745.17000000004</v>
      </c>
      <c r="K162" s="387">
        <v>506505.47</v>
      </c>
      <c r="L162" s="387">
        <v>63022.559999999998</v>
      </c>
      <c r="M162" s="387">
        <v>1505908.51</v>
      </c>
      <c r="N162" s="388">
        <v>5.2299999999999999E-2</v>
      </c>
      <c r="O162" s="389">
        <v>0.25169999999999998</v>
      </c>
      <c r="P162" s="387">
        <v>0</v>
      </c>
      <c r="Q162" s="387">
        <v>0</v>
      </c>
      <c r="R162" s="387">
        <v>0</v>
      </c>
      <c r="S162" s="387">
        <v>0</v>
      </c>
      <c r="T162" s="387">
        <v>0</v>
      </c>
      <c r="U162" s="387">
        <v>0</v>
      </c>
      <c r="V162" s="387">
        <v>0</v>
      </c>
      <c r="W162" s="387">
        <v>0</v>
      </c>
      <c r="X162" s="387">
        <v>0</v>
      </c>
      <c r="Y162" s="387">
        <v>2121.89</v>
      </c>
      <c r="Z162" s="387">
        <v>0</v>
      </c>
      <c r="AA162" s="387">
        <v>0</v>
      </c>
      <c r="AB162" s="387">
        <v>0</v>
      </c>
      <c r="AC162" s="387">
        <v>748219.77</v>
      </c>
      <c r="AD162" s="525">
        <v>68.08</v>
      </c>
      <c r="AE162" s="387">
        <v>682933.84</v>
      </c>
      <c r="AF162" s="526">
        <f t="shared" si="59"/>
        <v>10031.34</v>
      </c>
      <c r="AG162" s="526">
        <f t="shared" si="60"/>
        <v>10990.3</v>
      </c>
      <c r="AH162" s="527">
        <f t="shared" si="57"/>
        <v>958.96</v>
      </c>
      <c r="AI162" s="525">
        <v>0</v>
      </c>
      <c r="AJ162" s="387">
        <v>0</v>
      </c>
      <c r="AK162" s="526">
        <f t="shared" si="61"/>
        <v>0</v>
      </c>
      <c r="AL162" s="526">
        <f t="shared" si="62"/>
        <v>0</v>
      </c>
      <c r="AM162" s="527">
        <f t="shared" si="58"/>
        <v>0</v>
      </c>
      <c r="AN162" s="387">
        <v>0</v>
      </c>
      <c r="AO162" s="387">
        <v>0</v>
      </c>
      <c r="AP162" s="73"/>
      <c r="AQ162" s="241">
        <v>0</v>
      </c>
      <c r="AR162" s="659">
        <v>202277.68999999997</v>
      </c>
    </row>
    <row r="163" spans="1:44">
      <c r="A163" s="236" t="s">
        <v>483</v>
      </c>
      <c r="B163" s="236" t="s">
        <v>482</v>
      </c>
      <c r="C163" s="236" t="str">
        <f t="shared" si="63"/>
        <v>24350 METHOW VALLEY SCHOOL DISTRICT</v>
      </c>
      <c r="D163" s="387">
        <v>0</v>
      </c>
      <c r="E163" s="387">
        <v>0</v>
      </c>
      <c r="F163" s="387">
        <v>0</v>
      </c>
      <c r="G163" s="387">
        <v>0</v>
      </c>
      <c r="H163" s="387">
        <v>0</v>
      </c>
      <c r="I163" s="387">
        <v>12023.46</v>
      </c>
      <c r="J163" s="387">
        <v>201690.54</v>
      </c>
      <c r="K163" s="387">
        <v>43393.8</v>
      </c>
      <c r="L163" s="387">
        <v>23830.25</v>
      </c>
      <c r="M163" s="387">
        <v>843325.6</v>
      </c>
      <c r="N163" s="388">
        <v>3.1300000000000001E-2</v>
      </c>
      <c r="O163" s="389">
        <v>0.20200000000000001</v>
      </c>
      <c r="P163" s="387">
        <v>0</v>
      </c>
      <c r="Q163" s="387">
        <v>0</v>
      </c>
      <c r="R163" s="387">
        <v>0</v>
      </c>
      <c r="S163" s="387">
        <v>0</v>
      </c>
      <c r="T163" s="387">
        <v>0</v>
      </c>
      <c r="U163" s="387">
        <v>0</v>
      </c>
      <c r="V163" s="387">
        <v>0</v>
      </c>
      <c r="W163" s="387">
        <v>0</v>
      </c>
      <c r="X163" s="387">
        <v>0</v>
      </c>
      <c r="Y163" s="387">
        <v>0</v>
      </c>
      <c r="Z163" s="387">
        <v>0</v>
      </c>
      <c r="AA163" s="387">
        <v>0</v>
      </c>
      <c r="AB163" s="387">
        <v>103214.65</v>
      </c>
      <c r="AC163" s="387">
        <v>444330.74</v>
      </c>
      <c r="AD163" s="525">
        <v>45.27</v>
      </c>
      <c r="AE163" s="387">
        <v>419435.04</v>
      </c>
      <c r="AF163" s="526">
        <f t="shared" si="59"/>
        <v>9265.19</v>
      </c>
      <c r="AG163" s="526">
        <f t="shared" si="60"/>
        <v>9815.1299999999992</v>
      </c>
      <c r="AH163" s="527">
        <f t="shared" si="57"/>
        <v>549.94000000000005</v>
      </c>
      <c r="AI163" s="525">
        <v>10.81</v>
      </c>
      <c r="AJ163" s="387">
        <v>98269.96</v>
      </c>
      <c r="AK163" s="526">
        <f t="shared" si="61"/>
        <v>9090.65</v>
      </c>
      <c r="AL163" s="526">
        <f t="shared" si="62"/>
        <v>9548.07</v>
      </c>
      <c r="AM163" s="527">
        <f t="shared" si="58"/>
        <v>457.42</v>
      </c>
      <c r="AN163" s="387">
        <v>0</v>
      </c>
      <c r="AO163" s="387">
        <v>0</v>
      </c>
      <c r="AP163" s="73"/>
      <c r="AQ163" s="241">
        <v>0</v>
      </c>
      <c r="AR163" s="659">
        <v>69630.61</v>
      </c>
    </row>
    <row r="164" spans="1:44">
      <c r="A164" s="236" t="s">
        <v>561</v>
      </c>
      <c r="B164" s="236" t="s">
        <v>560</v>
      </c>
      <c r="C164" s="236" t="str">
        <f t="shared" si="63"/>
        <v>30031 MILL A SCHOOL DISTRICT</v>
      </c>
      <c r="D164" s="387">
        <v>0</v>
      </c>
      <c r="E164" s="387">
        <v>0</v>
      </c>
      <c r="F164" s="387">
        <v>0</v>
      </c>
      <c r="G164" s="387">
        <v>0</v>
      </c>
      <c r="H164" s="387">
        <v>0</v>
      </c>
      <c r="I164" s="387">
        <v>14298.15</v>
      </c>
      <c r="J164" s="387">
        <v>24046.89</v>
      </c>
      <c r="K164" s="387">
        <v>0</v>
      </c>
      <c r="L164" s="387">
        <v>0</v>
      </c>
      <c r="M164" s="387">
        <v>136434.26999999999</v>
      </c>
      <c r="N164" s="388">
        <v>4.24E-2</v>
      </c>
      <c r="O164" s="389">
        <v>0.33500000000000002</v>
      </c>
      <c r="P164" s="387">
        <v>0</v>
      </c>
      <c r="Q164" s="387">
        <v>0</v>
      </c>
      <c r="R164" s="387">
        <v>0</v>
      </c>
      <c r="S164" s="387">
        <v>0</v>
      </c>
      <c r="T164" s="387">
        <v>0</v>
      </c>
      <c r="U164" s="387">
        <v>0</v>
      </c>
      <c r="V164" s="387">
        <v>0</v>
      </c>
      <c r="W164" s="387">
        <v>0</v>
      </c>
      <c r="X164" s="387">
        <v>0</v>
      </c>
      <c r="Y164" s="387">
        <v>0</v>
      </c>
      <c r="Z164" s="387">
        <v>0</v>
      </c>
      <c r="AA164" s="387">
        <v>0</v>
      </c>
      <c r="AB164" s="387">
        <v>0</v>
      </c>
      <c r="AC164" s="387">
        <v>3060.47</v>
      </c>
      <c r="AD164" s="525">
        <v>0.33</v>
      </c>
      <c r="AE164" s="387">
        <v>3104.69</v>
      </c>
      <c r="AF164" s="526">
        <f t="shared" si="59"/>
        <v>9408.15</v>
      </c>
      <c r="AG164" s="526">
        <f t="shared" si="60"/>
        <v>9274.15</v>
      </c>
      <c r="AH164" s="527">
        <f t="shared" si="57"/>
        <v>-134</v>
      </c>
      <c r="AI164" s="525">
        <v>0</v>
      </c>
      <c r="AJ164" s="387">
        <v>0</v>
      </c>
      <c r="AK164" s="526">
        <f t="shared" si="61"/>
        <v>0</v>
      </c>
      <c r="AL164" s="526">
        <f t="shared" si="62"/>
        <v>0</v>
      </c>
      <c r="AM164" s="527">
        <f t="shared" si="58"/>
        <v>0</v>
      </c>
      <c r="AN164" s="387">
        <v>0</v>
      </c>
      <c r="AO164" s="387">
        <v>0</v>
      </c>
      <c r="AP164" s="73"/>
      <c r="AQ164" s="241">
        <v>63650.660000000018</v>
      </c>
      <c r="AR164" s="659">
        <v>19966.009999999998</v>
      </c>
    </row>
    <row r="165" spans="1:44">
      <c r="A165" s="236" t="s">
        <v>579</v>
      </c>
      <c r="B165" s="236" t="s">
        <v>578</v>
      </c>
      <c r="C165" s="236" t="str">
        <f t="shared" si="63"/>
        <v>31103 MONROE SCHOOL DISTRICT</v>
      </c>
      <c r="D165" s="387">
        <v>0</v>
      </c>
      <c r="E165" s="387">
        <v>0</v>
      </c>
      <c r="F165" s="387">
        <v>0</v>
      </c>
      <c r="G165" s="387">
        <v>12744032.43</v>
      </c>
      <c r="H165" s="387">
        <v>1562879.73</v>
      </c>
      <c r="I165" s="387">
        <v>222268</v>
      </c>
      <c r="J165" s="387">
        <v>1501529.83</v>
      </c>
      <c r="K165" s="387">
        <v>1646692.49</v>
      </c>
      <c r="L165" s="387">
        <v>201856.9</v>
      </c>
      <c r="M165" s="387">
        <v>4428732.51</v>
      </c>
      <c r="N165" s="388">
        <v>3.5799999999999998E-2</v>
      </c>
      <c r="O165" s="389">
        <v>0.1681</v>
      </c>
      <c r="P165" s="387">
        <v>0</v>
      </c>
      <c r="Q165" s="387">
        <v>0</v>
      </c>
      <c r="R165" s="387">
        <v>0</v>
      </c>
      <c r="S165" s="387">
        <v>0</v>
      </c>
      <c r="T165" s="387">
        <v>0</v>
      </c>
      <c r="U165" s="387">
        <v>0</v>
      </c>
      <c r="V165" s="387">
        <v>0</v>
      </c>
      <c r="W165" s="387">
        <v>0</v>
      </c>
      <c r="X165" s="387">
        <v>0</v>
      </c>
      <c r="Y165" s="387">
        <v>6620.03</v>
      </c>
      <c r="Z165" s="387">
        <v>85494.51</v>
      </c>
      <c r="AA165" s="387">
        <v>44549.49</v>
      </c>
      <c r="AB165" s="387">
        <v>745874.36</v>
      </c>
      <c r="AC165" s="387">
        <v>3938717.97</v>
      </c>
      <c r="AD165" s="525">
        <v>351.42</v>
      </c>
      <c r="AE165" s="387">
        <v>3659716.66</v>
      </c>
      <c r="AF165" s="526">
        <f t="shared" si="59"/>
        <v>10414.08</v>
      </c>
      <c r="AG165" s="526">
        <f t="shared" si="60"/>
        <v>11208.01</v>
      </c>
      <c r="AH165" s="527">
        <f t="shared" si="57"/>
        <v>793.93</v>
      </c>
      <c r="AI165" s="525">
        <v>69.36</v>
      </c>
      <c r="AJ165" s="387">
        <v>709824.74</v>
      </c>
      <c r="AK165" s="526">
        <f t="shared" si="61"/>
        <v>10233.92</v>
      </c>
      <c r="AL165" s="526">
        <f t="shared" si="62"/>
        <v>10753.67</v>
      </c>
      <c r="AM165" s="527">
        <f t="shared" si="58"/>
        <v>519.75</v>
      </c>
      <c r="AN165" s="387">
        <v>0</v>
      </c>
      <c r="AO165" s="387">
        <v>0</v>
      </c>
      <c r="AP165" s="73"/>
      <c r="AQ165" s="241">
        <v>0</v>
      </c>
      <c r="AR165" s="659">
        <v>627836.83000000007</v>
      </c>
    </row>
    <row r="166" spans="1:44">
      <c r="A166" s="236" t="s">
        <v>306</v>
      </c>
      <c r="B166" s="236" t="s">
        <v>305</v>
      </c>
      <c r="C166" s="236" t="str">
        <f t="shared" si="63"/>
        <v>14066 MONTESANO SCHOOL DISTRICT</v>
      </c>
      <c r="D166" s="387">
        <v>0</v>
      </c>
      <c r="E166" s="387">
        <v>0</v>
      </c>
      <c r="F166" s="387">
        <v>0</v>
      </c>
      <c r="G166" s="387">
        <v>2692357.49</v>
      </c>
      <c r="H166" s="387">
        <v>481721.33</v>
      </c>
      <c r="I166" s="387">
        <v>0</v>
      </c>
      <c r="J166" s="387">
        <v>396904.85</v>
      </c>
      <c r="K166" s="387">
        <v>69156.479999999996</v>
      </c>
      <c r="L166" s="387">
        <v>45943.25</v>
      </c>
      <c r="M166" s="387">
        <v>575601.22</v>
      </c>
      <c r="N166" s="388">
        <v>2.5600000000000001E-2</v>
      </c>
      <c r="O166" s="389">
        <v>0.1236</v>
      </c>
      <c r="P166" s="387">
        <v>0</v>
      </c>
      <c r="Q166" s="387">
        <v>0</v>
      </c>
      <c r="R166" s="387">
        <v>0</v>
      </c>
      <c r="S166" s="387">
        <v>0</v>
      </c>
      <c r="T166" s="387">
        <v>0</v>
      </c>
      <c r="U166" s="387">
        <v>0</v>
      </c>
      <c r="V166" s="387">
        <v>0</v>
      </c>
      <c r="W166" s="387">
        <v>0</v>
      </c>
      <c r="X166" s="387">
        <v>0</v>
      </c>
      <c r="Y166" s="387">
        <v>0</v>
      </c>
      <c r="Z166" s="387">
        <v>0</v>
      </c>
      <c r="AA166" s="387">
        <v>96373.94</v>
      </c>
      <c r="AB166" s="387">
        <v>273948.62</v>
      </c>
      <c r="AC166" s="387">
        <v>1406155.4</v>
      </c>
      <c r="AD166" s="525">
        <v>135.35</v>
      </c>
      <c r="AE166" s="387">
        <v>1279156.01</v>
      </c>
      <c r="AF166" s="526">
        <f t="shared" si="59"/>
        <v>9450.73</v>
      </c>
      <c r="AG166" s="526">
        <f t="shared" si="60"/>
        <v>10389.030000000001</v>
      </c>
      <c r="AH166" s="527">
        <f t="shared" si="57"/>
        <v>938.3</v>
      </c>
      <c r="AI166" s="525">
        <v>28.1</v>
      </c>
      <c r="AJ166" s="387">
        <v>260513.55</v>
      </c>
      <c r="AK166" s="526">
        <f t="shared" si="61"/>
        <v>9270.94</v>
      </c>
      <c r="AL166" s="526">
        <f t="shared" si="62"/>
        <v>9749.06</v>
      </c>
      <c r="AM166" s="527">
        <f t="shared" si="58"/>
        <v>478.12</v>
      </c>
      <c r="AN166" s="387">
        <v>2381.5</v>
      </c>
      <c r="AO166" s="387">
        <v>0</v>
      </c>
      <c r="AP166" s="73"/>
      <c r="AQ166" s="241">
        <v>0</v>
      </c>
      <c r="AR166" s="659">
        <v>158329.28000000003</v>
      </c>
    </row>
    <row r="167" spans="1:44">
      <c r="A167" s="236" t="s">
        <v>423</v>
      </c>
      <c r="B167" s="236" t="s">
        <v>422</v>
      </c>
      <c r="C167" s="236" t="str">
        <f t="shared" si="63"/>
        <v>21214 MORTON SCHOOL DISTRICT</v>
      </c>
      <c r="D167" s="387">
        <v>0</v>
      </c>
      <c r="E167" s="387">
        <v>0</v>
      </c>
      <c r="F167" s="387">
        <v>0</v>
      </c>
      <c r="G167" s="387">
        <v>900393.88</v>
      </c>
      <c r="H167" s="387">
        <v>161812.94</v>
      </c>
      <c r="I167" s="387">
        <v>138107.12</v>
      </c>
      <c r="J167" s="387">
        <v>167786.59</v>
      </c>
      <c r="K167" s="387">
        <v>0</v>
      </c>
      <c r="L167" s="387">
        <v>12890</v>
      </c>
      <c r="M167" s="387">
        <v>380451.75</v>
      </c>
      <c r="N167" s="388">
        <v>1.3599999999999999E-2</v>
      </c>
      <c r="O167" s="389">
        <v>0.26590000000000003</v>
      </c>
      <c r="P167" s="387">
        <v>0</v>
      </c>
      <c r="Q167" s="387">
        <v>0</v>
      </c>
      <c r="R167" s="387">
        <v>0</v>
      </c>
      <c r="S167" s="387">
        <v>0</v>
      </c>
      <c r="T167" s="387">
        <v>0</v>
      </c>
      <c r="U167" s="387">
        <v>0</v>
      </c>
      <c r="V167" s="387">
        <v>0</v>
      </c>
      <c r="W167" s="387">
        <v>0</v>
      </c>
      <c r="X167" s="387">
        <v>0</v>
      </c>
      <c r="Y167" s="387">
        <v>518.76</v>
      </c>
      <c r="Z167" s="387">
        <v>0</v>
      </c>
      <c r="AA167" s="387">
        <v>0</v>
      </c>
      <c r="AB167" s="387">
        <v>408741.91</v>
      </c>
      <c r="AC167" s="387">
        <v>978386.14</v>
      </c>
      <c r="AD167" s="525">
        <v>99.35</v>
      </c>
      <c r="AE167" s="387">
        <v>920422.94</v>
      </c>
      <c r="AF167" s="526">
        <f t="shared" si="59"/>
        <v>9264.4500000000007</v>
      </c>
      <c r="AG167" s="526">
        <f t="shared" si="60"/>
        <v>9847.8700000000008</v>
      </c>
      <c r="AH167" s="527">
        <f t="shared" si="57"/>
        <v>583.41999999999996</v>
      </c>
      <c r="AI167" s="525">
        <v>42.81</v>
      </c>
      <c r="AJ167" s="387">
        <v>388953.03</v>
      </c>
      <c r="AK167" s="526">
        <f t="shared" si="61"/>
        <v>9085.56</v>
      </c>
      <c r="AL167" s="526">
        <f t="shared" si="62"/>
        <v>9547.81</v>
      </c>
      <c r="AM167" s="527">
        <f t="shared" si="58"/>
        <v>462.25</v>
      </c>
      <c r="AN167" s="387">
        <v>0</v>
      </c>
      <c r="AO167" s="387">
        <v>0</v>
      </c>
      <c r="AP167" s="73"/>
      <c r="AQ167" s="241">
        <v>0</v>
      </c>
      <c r="AR167" s="659">
        <v>55687.049999999996</v>
      </c>
    </row>
    <row r="168" spans="1:44">
      <c r="A168" s="236" t="s">
        <v>290</v>
      </c>
      <c r="B168" s="236" t="s">
        <v>289</v>
      </c>
      <c r="C168" s="236" t="str">
        <f t="shared" si="63"/>
        <v>13161 MOSES LAKE SCHOOL DISTRICT</v>
      </c>
      <c r="D168" s="387">
        <v>0</v>
      </c>
      <c r="E168" s="387">
        <v>0</v>
      </c>
      <c r="F168" s="387">
        <v>0</v>
      </c>
      <c r="G168" s="387">
        <v>16278516.68</v>
      </c>
      <c r="H168" s="387">
        <v>2891553.6</v>
      </c>
      <c r="I168" s="387">
        <v>2396672.79</v>
      </c>
      <c r="J168" s="387">
        <v>3778502.08</v>
      </c>
      <c r="K168" s="387">
        <v>2108491.12</v>
      </c>
      <c r="L168" s="387">
        <v>263107.57</v>
      </c>
      <c r="M168" s="387">
        <v>5649504.5499999998</v>
      </c>
      <c r="N168" s="388">
        <v>0.04</v>
      </c>
      <c r="O168" s="389">
        <v>0.16200000000000001</v>
      </c>
      <c r="P168" s="387">
        <v>0</v>
      </c>
      <c r="Q168" s="387">
        <v>0</v>
      </c>
      <c r="R168" s="387">
        <v>0</v>
      </c>
      <c r="S168" s="387">
        <v>0</v>
      </c>
      <c r="T168" s="387">
        <v>0</v>
      </c>
      <c r="U168" s="387">
        <v>0</v>
      </c>
      <c r="V168" s="387">
        <v>0</v>
      </c>
      <c r="W168" s="387">
        <v>0</v>
      </c>
      <c r="X168" s="387">
        <v>0</v>
      </c>
      <c r="Y168" s="387">
        <v>728.49</v>
      </c>
      <c r="Z168" s="387">
        <v>0</v>
      </c>
      <c r="AA168" s="387">
        <v>0</v>
      </c>
      <c r="AB168" s="387">
        <v>386504.98</v>
      </c>
      <c r="AC168" s="387">
        <v>5185453.32</v>
      </c>
      <c r="AD168" s="525">
        <v>520.22</v>
      </c>
      <c r="AE168" s="387">
        <v>4820304.72</v>
      </c>
      <c r="AF168" s="526">
        <f t="shared" si="59"/>
        <v>9265.9</v>
      </c>
      <c r="AG168" s="526">
        <f t="shared" si="60"/>
        <v>9967.81</v>
      </c>
      <c r="AH168" s="527">
        <f t="shared" si="57"/>
        <v>701.91</v>
      </c>
      <c r="AI168" s="525">
        <v>40.479999999999997</v>
      </c>
      <c r="AJ168" s="387">
        <v>367859.4</v>
      </c>
      <c r="AK168" s="526">
        <f t="shared" si="61"/>
        <v>9087.44</v>
      </c>
      <c r="AL168" s="526">
        <f t="shared" si="62"/>
        <v>9548.0499999999993</v>
      </c>
      <c r="AM168" s="527">
        <f t="shared" si="58"/>
        <v>460.61</v>
      </c>
      <c r="AN168" s="387">
        <v>1700</v>
      </c>
      <c r="AO168" s="387">
        <v>0</v>
      </c>
      <c r="AP168" s="73"/>
      <c r="AQ168" s="241">
        <v>0</v>
      </c>
      <c r="AR168" s="659">
        <v>958065.30000000016</v>
      </c>
    </row>
    <row r="169" spans="1:44">
      <c r="A169" s="236" t="s">
        <v>421</v>
      </c>
      <c r="B169" s="236" t="s">
        <v>420</v>
      </c>
      <c r="C169" s="236" t="str">
        <f t="shared" si="63"/>
        <v>21206 MOSSYROCK SCHOOL DISTRICT</v>
      </c>
      <c r="D169" s="387">
        <v>0</v>
      </c>
      <c r="E169" s="387">
        <v>7008.8</v>
      </c>
      <c r="F169" s="387">
        <v>6454.37</v>
      </c>
      <c r="G169" s="387">
        <v>1174143.25</v>
      </c>
      <c r="H169" s="387">
        <v>281392.40999999997</v>
      </c>
      <c r="I169" s="387">
        <v>197032.81</v>
      </c>
      <c r="J169" s="387">
        <v>261049.51</v>
      </c>
      <c r="K169" s="387">
        <v>119199.67999999999</v>
      </c>
      <c r="L169" s="387">
        <v>19280.830000000002</v>
      </c>
      <c r="M169" s="387">
        <v>618027</v>
      </c>
      <c r="N169" s="388">
        <v>3.2099999999999997E-2</v>
      </c>
      <c r="O169" s="389">
        <v>0.16700000000000001</v>
      </c>
      <c r="P169" s="387">
        <v>0</v>
      </c>
      <c r="Q169" s="387">
        <v>0</v>
      </c>
      <c r="R169" s="387">
        <v>0</v>
      </c>
      <c r="S169" s="387">
        <v>0</v>
      </c>
      <c r="T169" s="387">
        <v>0</v>
      </c>
      <c r="U169" s="387">
        <v>0</v>
      </c>
      <c r="V169" s="387">
        <v>0</v>
      </c>
      <c r="W169" s="387">
        <v>0</v>
      </c>
      <c r="X169" s="387">
        <v>0</v>
      </c>
      <c r="Y169" s="387">
        <v>706.18</v>
      </c>
      <c r="Z169" s="387">
        <v>14245.04</v>
      </c>
      <c r="AA169" s="387">
        <v>37642.1</v>
      </c>
      <c r="AB169" s="387">
        <v>154651.48000000001</v>
      </c>
      <c r="AC169" s="387">
        <v>407065.88</v>
      </c>
      <c r="AD169" s="525">
        <v>39.68</v>
      </c>
      <c r="AE169" s="387">
        <v>367742.01</v>
      </c>
      <c r="AF169" s="526">
        <f t="shared" si="59"/>
        <v>9267.69</v>
      </c>
      <c r="AG169" s="526">
        <f t="shared" si="60"/>
        <v>10258.719999999999</v>
      </c>
      <c r="AH169" s="527">
        <f t="shared" si="57"/>
        <v>991.03</v>
      </c>
      <c r="AI169" s="525">
        <v>16.2</v>
      </c>
      <c r="AJ169" s="387">
        <v>147120.19</v>
      </c>
      <c r="AK169" s="526">
        <f t="shared" si="61"/>
        <v>9081.49</v>
      </c>
      <c r="AL169" s="526">
        <f t="shared" si="62"/>
        <v>9546.39</v>
      </c>
      <c r="AM169" s="527">
        <f t="shared" si="58"/>
        <v>464.9</v>
      </c>
      <c r="AN169" s="387">
        <v>0</v>
      </c>
      <c r="AO169" s="387">
        <v>0</v>
      </c>
      <c r="AP169" s="73"/>
      <c r="AQ169" s="241">
        <v>0</v>
      </c>
      <c r="AR169" s="659">
        <v>77287.89</v>
      </c>
    </row>
    <row r="170" spans="1:44">
      <c r="A170" s="236" t="s">
        <v>738</v>
      </c>
      <c r="B170" s="236" t="s">
        <v>737</v>
      </c>
      <c r="C170" s="236" t="str">
        <f t="shared" si="63"/>
        <v>39209 MOUNT ADAMS SCHOOL DISTRICT</v>
      </c>
      <c r="D170" s="387">
        <v>0</v>
      </c>
      <c r="E170" s="387">
        <v>0</v>
      </c>
      <c r="F170" s="387">
        <v>0</v>
      </c>
      <c r="G170" s="387">
        <v>1276452.6399999999</v>
      </c>
      <c r="H170" s="387">
        <v>191613.1</v>
      </c>
      <c r="I170" s="387">
        <v>276647.5</v>
      </c>
      <c r="J170" s="387">
        <v>600522.18999999994</v>
      </c>
      <c r="K170" s="387">
        <v>217928.6</v>
      </c>
      <c r="L170" s="387">
        <v>25779.99</v>
      </c>
      <c r="M170" s="387">
        <v>1012083.85</v>
      </c>
      <c r="N170" s="388">
        <v>5.3900000000000003E-2</v>
      </c>
      <c r="O170" s="389">
        <v>0.19220000000000001</v>
      </c>
      <c r="P170" s="387">
        <v>0</v>
      </c>
      <c r="Q170" s="387">
        <v>0</v>
      </c>
      <c r="R170" s="387">
        <v>0</v>
      </c>
      <c r="S170" s="387">
        <v>0</v>
      </c>
      <c r="T170" s="387">
        <v>0</v>
      </c>
      <c r="U170" s="387">
        <v>0</v>
      </c>
      <c r="V170" s="387">
        <v>0</v>
      </c>
      <c r="W170" s="387">
        <v>0</v>
      </c>
      <c r="X170" s="387">
        <v>0</v>
      </c>
      <c r="Y170" s="387">
        <v>949.38</v>
      </c>
      <c r="Z170" s="387">
        <v>0</v>
      </c>
      <c r="AA170" s="387">
        <v>0</v>
      </c>
      <c r="AB170" s="387">
        <v>0</v>
      </c>
      <c r="AC170" s="387">
        <v>637582.29</v>
      </c>
      <c r="AD170" s="525">
        <v>66.58</v>
      </c>
      <c r="AE170" s="387">
        <v>616987.49</v>
      </c>
      <c r="AF170" s="526">
        <f t="shared" si="59"/>
        <v>9266.86</v>
      </c>
      <c r="AG170" s="526">
        <f t="shared" si="60"/>
        <v>9576.18</v>
      </c>
      <c r="AH170" s="527">
        <f t="shared" si="57"/>
        <v>309.32</v>
      </c>
      <c r="AI170" s="525">
        <v>0</v>
      </c>
      <c r="AJ170" s="387">
        <v>0</v>
      </c>
      <c r="AK170" s="526">
        <f t="shared" si="61"/>
        <v>0</v>
      </c>
      <c r="AL170" s="526">
        <f t="shared" si="62"/>
        <v>0</v>
      </c>
      <c r="AM170" s="527">
        <f t="shared" si="58"/>
        <v>0</v>
      </c>
      <c r="AN170" s="387">
        <v>5500</v>
      </c>
      <c r="AO170" s="387">
        <v>0</v>
      </c>
      <c r="AP170" s="73"/>
      <c r="AQ170" s="241">
        <v>942.29999999997381</v>
      </c>
      <c r="AR170" s="659">
        <v>99295.64</v>
      </c>
    </row>
    <row r="171" spans="1:44">
      <c r="A171" s="236" t="s">
        <v>684</v>
      </c>
      <c r="B171" s="236" t="s">
        <v>683</v>
      </c>
      <c r="C171" s="236" t="str">
        <f t="shared" si="63"/>
        <v>37507 MOUNT BAKER SCHOOL DISTRICT</v>
      </c>
      <c r="D171" s="387">
        <v>0</v>
      </c>
      <c r="E171" s="387">
        <v>43803.12</v>
      </c>
      <c r="F171" s="387">
        <v>261.13</v>
      </c>
      <c r="G171" s="387">
        <v>3949529.2</v>
      </c>
      <c r="H171" s="387">
        <v>555788.06000000006</v>
      </c>
      <c r="I171" s="387">
        <v>268018.23</v>
      </c>
      <c r="J171" s="387">
        <v>609878.23</v>
      </c>
      <c r="K171" s="387">
        <v>173405.96</v>
      </c>
      <c r="L171" s="387">
        <v>50823.18</v>
      </c>
      <c r="M171" s="387">
        <v>2286260.7599999998</v>
      </c>
      <c r="N171" s="388">
        <v>3.6600000000000001E-2</v>
      </c>
      <c r="O171" s="389">
        <v>0.1678</v>
      </c>
      <c r="P171" s="387">
        <v>0</v>
      </c>
      <c r="Q171" s="387">
        <v>0</v>
      </c>
      <c r="R171" s="387">
        <v>0</v>
      </c>
      <c r="S171" s="387">
        <v>0</v>
      </c>
      <c r="T171" s="387">
        <v>0</v>
      </c>
      <c r="U171" s="387">
        <v>0</v>
      </c>
      <c r="V171" s="387">
        <v>0</v>
      </c>
      <c r="W171" s="387">
        <v>0</v>
      </c>
      <c r="X171" s="387">
        <v>0</v>
      </c>
      <c r="Y171" s="387">
        <v>1764.89</v>
      </c>
      <c r="Z171" s="387">
        <v>0</v>
      </c>
      <c r="AA171" s="387">
        <v>0</v>
      </c>
      <c r="AB171" s="387">
        <v>45523.18</v>
      </c>
      <c r="AC171" s="387">
        <v>816554.03</v>
      </c>
      <c r="AD171" s="525">
        <v>79.569999999999993</v>
      </c>
      <c r="AE171" s="387">
        <v>767704.23</v>
      </c>
      <c r="AF171" s="526">
        <f t="shared" si="59"/>
        <v>9648.16</v>
      </c>
      <c r="AG171" s="526">
        <f t="shared" si="60"/>
        <v>10262.08</v>
      </c>
      <c r="AH171" s="527">
        <f t="shared" si="57"/>
        <v>613.91999999999996</v>
      </c>
      <c r="AI171" s="525">
        <v>4.5599999999999996</v>
      </c>
      <c r="AJ171" s="387">
        <v>43129.98</v>
      </c>
      <c r="AK171" s="526">
        <f t="shared" si="61"/>
        <v>9458.33</v>
      </c>
      <c r="AL171" s="526">
        <f t="shared" si="62"/>
        <v>9983.15</v>
      </c>
      <c r="AM171" s="527">
        <f t="shared" si="58"/>
        <v>524.82000000000005</v>
      </c>
      <c r="AN171" s="387">
        <v>0</v>
      </c>
      <c r="AO171" s="387">
        <v>0</v>
      </c>
      <c r="AP171" s="73"/>
      <c r="AQ171" s="241">
        <v>442021.1</v>
      </c>
      <c r="AR171" s="659">
        <v>178478.87</v>
      </c>
    </row>
    <row r="172" spans="1:44">
      <c r="A172" s="236" t="s">
        <v>559</v>
      </c>
      <c r="B172" s="236" t="s">
        <v>558</v>
      </c>
      <c r="C172" s="236" t="str">
        <f t="shared" si="63"/>
        <v>30029 MOUNT PLEASANT SCHOOL DISTRICT</v>
      </c>
      <c r="D172" s="387">
        <v>0</v>
      </c>
      <c r="E172" s="387">
        <v>0</v>
      </c>
      <c r="F172" s="387">
        <v>0</v>
      </c>
      <c r="G172" s="387">
        <v>0</v>
      </c>
      <c r="H172" s="387">
        <v>0</v>
      </c>
      <c r="I172" s="387">
        <v>0</v>
      </c>
      <c r="J172" s="387">
        <v>17206.95</v>
      </c>
      <c r="K172" s="387">
        <v>0</v>
      </c>
      <c r="L172" s="387">
        <v>0</v>
      </c>
      <c r="M172" s="387">
        <v>80196.929999999993</v>
      </c>
      <c r="N172" s="388">
        <v>4.7E-2</v>
      </c>
      <c r="O172" s="389">
        <v>0.28070000000000001</v>
      </c>
      <c r="P172" s="387">
        <v>0</v>
      </c>
      <c r="Q172" s="387">
        <v>0</v>
      </c>
      <c r="R172" s="387">
        <v>0</v>
      </c>
      <c r="S172" s="387">
        <v>0</v>
      </c>
      <c r="T172" s="387">
        <v>0</v>
      </c>
      <c r="U172" s="387">
        <v>0</v>
      </c>
      <c r="V172" s="387">
        <v>0</v>
      </c>
      <c r="W172" s="387">
        <v>0</v>
      </c>
      <c r="X172" s="387">
        <v>0</v>
      </c>
      <c r="Y172" s="387">
        <v>0</v>
      </c>
      <c r="Z172" s="387">
        <v>0</v>
      </c>
      <c r="AA172" s="387">
        <v>0</v>
      </c>
      <c r="AB172" s="387">
        <v>0</v>
      </c>
      <c r="AC172" s="387">
        <v>0</v>
      </c>
      <c r="AD172" s="525">
        <v>0</v>
      </c>
      <c r="AE172" s="387">
        <v>0</v>
      </c>
      <c r="AF172" s="526">
        <f t="shared" si="59"/>
        <v>0</v>
      </c>
      <c r="AG172" s="526">
        <f t="shared" si="60"/>
        <v>0</v>
      </c>
      <c r="AH172" s="527">
        <f t="shared" si="57"/>
        <v>0</v>
      </c>
      <c r="AI172" s="525">
        <v>0</v>
      </c>
      <c r="AJ172" s="387">
        <v>0</v>
      </c>
      <c r="AK172" s="526">
        <f t="shared" si="61"/>
        <v>0</v>
      </c>
      <c r="AL172" s="526">
        <f t="shared" si="62"/>
        <v>0</v>
      </c>
      <c r="AM172" s="527">
        <f t="shared" si="58"/>
        <v>0</v>
      </c>
      <c r="AN172" s="387">
        <v>0</v>
      </c>
      <c r="AO172" s="387">
        <v>0</v>
      </c>
      <c r="AP172" s="73"/>
      <c r="AQ172" s="241">
        <v>0</v>
      </c>
      <c r="AR172" s="659">
        <v>8707.51</v>
      </c>
    </row>
    <row r="173" spans="1:44">
      <c r="A173" s="236" t="s">
        <v>555</v>
      </c>
      <c r="B173" s="236" t="s">
        <v>554</v>
      </c>
      <c r="C173" s="236" t="str">
        <f t="shared" si="63"/>
        <v>29320 MT VERNON SCHOOL DISTRICT</v>
      </c>
      <c r="D173" s="387">
        <v>0</v>
      </c>
      <c r="E173" s="387">
        <v>309591.93</v>
      </c>
      <c r="F173" s="387">
        <v>91684.160000000003</v>
      </c>
      <c r="G173" s="387">
        <v>14585727.960000001</v>
      </c>
      <c r="H173" s="387">
        <v>2404123.63</v>
      </c>
      <c r="I173" s="387">
        <v>2119207.7400000002</v>
      </c>
      <c r="J173" s="387">
        <v>3306590.72</v>
      </c>
      <c r="K173" s="387">
        <v>3429005.53</v>
      </c>
      <c r="L173" s="387">
        <v>220638.7</v>
      </c>
      <c r="M173" s="387">
        <v>4694230.2699999996</v>
      </c>
      <c r="N173" s="388">
        <v>2.7699999999999999E-2</v>
      </c>
      <c r="O173" s="389">
        <v>0.1242</v>
      </c>
      <c r="P173" s="387">
        <v>0</v>
      </c>
      <c r="Q173" s="387">
        <v>0</v>
      </c>
      <c r="R173" s="387">
        <v>0</v>
      </c>
      <c r="S173" s="387">
        <v>0</v>
      </c>
      <c r="T173" s="387">
        <v>0</v>
      </c>
      <c r="U173" s="387">
        <v>0</v>
      </c>
      <c r="V173" s="387">
        <v>0</v>
      </c>
      <c r="W173" s="387">
        <v>0</v>
      </c>
      <c r="X173" s="387">
        <v>0</v>
      </c>
      <c r="Y173" s="387">
        <v>0</v>
      </c>
      <c r="Z173" s="387">
        <v>0</v>
      </c>
      <c r="AA173" s="387">
        <v>157651.51999999999</v>
      </c>
      <c r="AB173" s="387">
        <v>254571.45</v>
      </c>
      <c r="AC173" s="387">
        <v>4998256.29</v>
      </c>
      <c r="AD173" s="525">
        <v>474.9</v>
      </c>
      <c r="AE173" s="387">
        <v>4764095.8899999997</v>
      </c>
      <c r="AF173" s="526">
        <f t="shared" si="59"/>
        <v>10031.790000000001</v>
      </c>
      <c r="AG173" s="526">
        <f t="shared" si="60"/>
        <v>10524.86</v>
      </c>
      <c r="AH173" s="527">
        <f t="shared" si="57"/>
        <v>493.07</v>
      </c>
      <c r="AI173" s="525">
        <v>24.59</v>
      </c>
      <c r="AJ173" s="387">
        <v>242207.95</v>
      </c>
      <c r="AK173" s="526">
        <f t="shared" si="61"/>
        <v>9849.86</v>
      </c>
      <c r="AL173" s="526">
        <f t="shared" si="62"/>
        <v>10352.64</v>
      </c>
      <c r="AM173" s="527">
        <f t="shared" si="58"/>
        <v>502.78</v>
      </c>
      <c r="AN173" s="387">
        <v>0</v>
      </c>
      <c r="AO173" s="387">
        <v>0</v>
      </c>
      <c r="AP173" s="73"/>
      <c r="AQ173" s="241">
        <v>0</v>
      </c>
      <c r="AR173" s="659">
        <v>849255.95</v>
      </c>
    </row>
    <row r="174" spans="1:44">
      <c r="A174" s="236" t="s">
        <v>1689</v>
      </c>
      <c r="B174" s="236" t="s">
        <v>1177</v>
      </c>
      <c r="C174" s="236" t="str">
        <f>CONCATENATE(B174," ",A174," TRIBAL COMPACT")</f>
        <v>17903 MUCKLESHOOT TRIBAL COMPACT</v>
      </c>
      <c r="D174" s="387">
        <v>94735.26</v>
      </c>
      <c r="E174" s="387">
        <v>28225.11</v>
      </c>
      <c r="F174" s="387">
        <v>0</v>
      </c>
      <c r="G174" s="387">
        <v>896225.49</v>
      </c>
      <c r="H174" s="387">
        <v>153879.04000000001</v>
      </c>
      <c r="I174" s="387">
        <v>186795.47</v>
      </c>
      <c r="J174" s="387">
        <v>306024.07</v>
      </c>
      <c r="K174" s="387">
        <v>0</v>
      </c>
      <c r="L174" s="387">
        <v>0</v>
      </c>
      <c r="M174" s="387">
        <v>451389.76</v>
      </c>
      <c r="N174" s="388">
        <v>3.5000000000000003E-2</v>
      </c>
      <c r="O174" s="389">
        <v>0.14979999999999999</v>
      </c>
      <c r="P174" s="387">
        <v>0</v>
      </c>
      <c r="Q174" s="387">
        <v>0</v>
      </c>
      <c r="R174" s="387">
        <v>0</v>
      </c>
      <c r="S174" s="387">
        <v>0</v>
      </c>
      <c r="T174" s="387">
        <v>0</v>
      </c>
      <c r="U174" s="387">
        <v>0</v>
      </c>
      <c r="V174" s="387">
        <v>0</v>
      </c>
      <c r="W174" s="387">
        <v>0</v>
      </c>
      <c r="X174" s="387">
        <v>0</v>
      </c>
      <c r="Y174" s="387">
        <v>0</v>
      </c>
      <c r="Z174" s="387">
        <v>0</v>
      </c>
      <c r="AA174" s="387">
        <v>0</v>
      </c>
      <c r="AB174" s="387">
        <v>0</v>
      </c>
      <c r="AC174" s="387">
        <v>231400.29</v>
      </c>
      <c r="AD174" s="525">
        <v>21.98</v>
      </c>
      <c r="AE174" s="387">
        <v>220500.03</v>
      </c>
      <c r="AF174" s="526">
        <f t="shared" si="59"/>
        <v>10031.85</v>
      </c>
      <c r="AG174" s="526">
        <f t="shared" si="60"/>
        <v>10527.77</v>
      </c>
      <c r="AH174" s="527">
        <f t="shared" si="57"/>
        <v>495.92</v>
      </c>
      <c r="AI174" s="525">
        <v>0</v>
      </c>
      <c r="AJ174" s="387">
        <v>0</v>
      </c>
      <c r="AK174" s="526">
        <f t="shared" si="61"/>
        <v>0</v>
      </c>
      <c r="AL174" s="526">
        <f t="shared" si="62"/>
        <v>0</v>
      </c>
      <c r="AM174" s="527">
        <f t="shared" si="58"/>
        <v>0</v>
      </c>
      <c r="AN174" s="387">
        <v>0</v>
      </c>
      <c r="AO174" s="387">
        <v>0</v>
      </c>
      <c r="AP174" s="73"/>
      <c r="AQ174" s="241">
        <v>169300.05</v>
      </c>
      <c r="AR174" s="659">
        <v>65177.740000000005</v>
      </c>
    </row>
    <row r="175" spans="1:44">
      <c r="A175" s="236" t="s">
        <v>569</v>
      </c>
      <c r="B175" s="236" t="s">
        <v>568</v>
      </c>
      <c r="C175" s="236" t="str">
        <f t="shared" ref="C175:C216" si="64">CONCATENATE(B175," ",A175," SCHOOL DISTRICT")</f>
        <v>31006 MUKILTEO SCHOOL DISTRICT</v>
      </c>
      <c r="D175" s="387">
        <v>0</v>
      </c>
      <c r="E175" s="387">
        <v>570116.57999999996</v>
      </c>
      <c r="F175" s="387">
        <v>0</v>
      </c>
      <c r="G175" s="387">
        <v>34588178.630000003</v>
      </c>
      <c r="H175" s="387">
        <v>6065730.9000000004</v>
      </c>
      <c r="I175" s="387">
        <v>3035241.57</v>
      </c>
      <c r="J175" s="387">
        <v>6079999.9800000004</v>
      </c>
      <c r="K175" s="387">
        <v>8217562.5199999996</v>
      </c>
      <c r="L175" s="387">
        <v>548094.09</v>
      </c>
      <c r="M175" s="387">
        <v>12829097.210000001</v>
      </c>
      <c r="N175" s="388">
        <v>4.2599999999999999E-2</v>
      </c>
      <c r="O175" s="389">
        <v>0.1191</v>
      </c>
      <c r="P175" s="387">
        <v>0</v>
      </c>
      <c r="Q175" s="387">
        <v>0</v>
      </c>
      <c r="R175" s="387">
        <v>0</v>
      </c>
      <c r="S175" s="387">
        <v>0</v>
      </c>
      <c r="T175" s="387">
        <v>0</v>
      </c>
      <c r="U175" s="387">
        <v>0</v>
      </c>
      <c r="V175" s="387">
        <v>0</v>
      </c>
      <c r="W175" s="387">
        <v>0</v>
      </c>
      <c r="X175" s="387">
        <v>0</v>
      </c>
      <c r="Y175" s="387">
        <v>8257.74</v>
      </c>
      <c r="Z175" s="387">
        <v>176096.61</v>
      </c>
      <c r="AA175" s="387">
        <v>469848.37</v>
      </c>
      <c r="AB175" s="387">
        <v>1962609.51</v>
      </c>
      <c r="AC175" s="387">
        <v>6088869.0199999996</v>
      </c>
      <c r="AD175" s="525">
        <v>526.16999999999996</v>
      </c>
      <c r="AE175" s="387">
        <v>5479583.2400000002</v>
      </c>
      <c r="AF175" s="526">
        <f t="shared" si="59"/>
        <v>10414.09</v>
      </c>
      <c r="AG175" s="526">
        <f t="shared" si="60"/>
        <v>11572.06</v>
      </c>
      <c r="AH175" s="527">
        <f t="shared" si="57"/>
        <v>1157.97</v>
      </c>
      <c r="AI175" s="525">
        <v>182.51</v>
      </c>
      <c r="AJ175" s="387">
        <v>1868403.02</v>
      </c>
      <c r="AK175" s="526">
        <f t="shared" si="61"/>
        <v>10237.26</v>
      </c>
      <c r="AL175" s="526">
        <f t="shared" si="62"/>
        <v>10753.44</v>
      </c>
      <c r="AM175" s="527">
        <f t="shared" si="58"/>
        <v>516.17999999999995</v>
      </c>
      <c r="AN175" s="387">
        <v>6600</v>
      </c>
      <c r="AO175" s="387">
        <v>0</v>
      </c>
      <c r="AP175" s="73"/>
      <c r="AQ175" s="241">
        <v>0</v>
      </c>
      <c r="AR175" s="659">
        <v>2079644.7099999995</v>
      </c>
    </row>
    <row r="176" spans="1:44">
      <c r="A176" s="236" t="s">
        <v>714</v>
      </c>
      <c r="B176" s="236" t="s">
        <v>713</v>
      </c>
      <c r="C176" s="236" t="str">
        <f t="shared" si="64"/>
        <v>39003 NACHES VALLEY SCHOOL DISTRICT</v>
      </c>
      <c r="D176" s="387">
        <v>0</v>
      </c>
      <c r="E176" s="387">
        <v>46596.19</v>
      </c>
      <c r="F176" s="387">
        <v>39230.14</v>
      </c>
      <c r="G176" s="387">
        <v>2192414.92</v>
      </c>
      <c r="H176" s="387">
        <v>244570.69</v>
      </c>
      <c r="I176" s="387">
        <v>411613.34</v>
      </c>
      <c r="J176" s="387">
        <v>483645.66</v>
      </c>
      <c r="K176" s="387">
        <v>130181.41</v>
      </c>
      <c r="L176" s="387">
        <v>39428.230000000003</v>
      </c>
      <c r="M176" s="387">
        <v>1156341.1100000001</v>
      </c>
      <c r="N176" s="388">
        <v>4.7600000000000003E-2</v>
      </c>
      <c r="O176" s="389">
        <v>0.2223</v>
      </c>
      <c r="P176" s="387">
        <v>0</v>
      </c>
      <c r="Q176" s="387">
        <v>0</v>
      </c>
      <c r="R176" s="387">
        <v>0</v>
      </c>
      <c r="S176" s="387">
        <v>0</v>
      </c>
      <c r="T176" s="387">
        <v>0</v>
      </c>
      <c r="U176" s="387">
        <v>0</v>
      </c>
      <c r="V176" s="387">
        <v>0</v>
      </c>
      <c r="W176" s="387">
        <v>0</v>
      </c>
      <c r="X176" s="387">
        <v>0</v>
      </c>
      <c r="Y176" s="387">
        <v>0</v>
      </c>
      <c r="Z176" s="387">
        <v>1621.95</v>
      </c>
      <c r="AA176" s="387">
        <v>51535.55</v>
      </c>
      <c r="AB176" s="387">
        <v>605552.53</v>
      </c>
      <c r="AC176" s="387">
        <v>1039617.62</v>
      </c>
      <c r="AD176" s="525">
        <v>106.75</v>
      </c>
      <c r="AE176" s="387">
        <v>989050.67</v>
      </c>
      <c r="AF176" s="526">
        <f t="shared" si="59"/>
        <v>9265.11</v>
      </c>
      <c r="AG176" s="526">
        <f t="shared" si="60"/>
        <v>9738.81</v>
      </c>
      <c r="AH176" s="527">
        <f t="shared" si="57"/>
        <v>473.7</v>
      </c>
      <c r="AI176" s="525">
        <v>63.4</v>
      </c>
      <c r="AJ176" s="387">
        <v>576146.75</v>
      </c>
      <c r="AK176" s="526">
        <f t="shared" si="61"/>
        <v>9087.49</v>
      </c>
      <c r="AL176" s="526">
        <f t="shared" si="62"/>
        <v>9551.2999999999993</v>
      </c>
      <c r="AM176" s="527">
        <f t="shared" si="58"/>
        <v>463.81</v>
      </c>
      <c r="AN176" s="387">
        <v>110749.1</v>
      </c>
      <c r="AO176" s="387">
        <v>0</v>
      </c>
      <c r="AP176" s="73"/>
      <c r="AQ176" s="241">
        <v>48143.69</v>
      </c>
      <c r="AR176" s="659">
        <v>143895.66999999998</v>
      </c>
    </row>
    <row r="177" spans="1:44">
      <c r="A177" s="236" t="s">
        <v>417</v>
      </c>
      <c r="B177" s="236" t="s">
        <v>416</v>
      </c>
      <c r="C177" s="236" t="str">
        <f t="shared" si="64"/>
        <v>21014 NAPAVINE SCHOOL DISTRICT</v>
      </c>
      <c r="D177" s="387">
        <v>0</v>
      </c>
      <c r="E177" s="387">
        <v>0</v>
      </c>
      <c r="F177" s="387">
        <v>0</v>
      </c>
      <c r="G177" s="387">
        <v>1594963.1</v>
      </c>
      <c r="H177" s="387">
        <v>138038.85</v>
      </c>
      <c r="I177" s="387">
        <v>123917.28</v>
      </c>
      <c r="J177" s="387">
        <v>260182.96</v>
      </c>
      <c r="K177" s="387">
        <v>35717.26</v>
      </c>
      <c r="L177" s="387">
        <v>25563.34</v>
      </c>
      <c r="M177" s="387">
        <v>420187.84</v>
      </c>
      <c r="N177" s="388">
        <v>3.4799999999999998E-2</v>
      </c>
      <c r="O177" s="389">
        <v>0.1895</v>
      </c>
      <c r="P177" s="387">
        <v>0</v>
      </c>
      <c r="Q177" s="387">
        <v>0</v>
      </c>
      <c r="R177" s="387">
        <v>0</v>
      </c>
      <c r="S177" s="387">
        <v>0</v>
      </c>
      <c r="T177" s="387">
        <v>0</v>
      </c>
      <c r="U177" s="387">
        <v>0</v>
      </c>
      <c r="V177" s="387">
        <v>0</v>
      </c>
      <c r="W177" s="387">
        <v>0</v>
      </c>
      <c r="X177" s="387">
        <v>0</v>
      </c>
      <c r="Y177" s="387">
        <v>931.53</v>
      </c>
      <c r="Z177" s="387">
        <v>18886.38</v>
      </c>
      <c r="AA177" s="387">
        <v>112556.64</v>
      </c>
      <c r="AB177" s="387">
        <v>391696.88</v>
      </c>
      <c r="AC177" s="387">
        <v>1236459.79</v>
      </c>
      <c r="AD177" s="525">
        <v>122.35</v>
      </c>
      <c r="AE177" s="387">
        <v>1133675.33</v>
      </c>
      <c r="AF177" s="526">
        <f t="shared" si="59"/>
        <v>9265.84</v>
      </c>
      <c r="AG177" s="526">
        <f t="shared" si="60"/>
        <v>10105.92</v>
      </c>
      <c r="AH177" s="527">
        <f t="shared" si="57"/>
        <v>840.08</v>
      </c>
      <c r="AI177" s="525">
        <v>41.02</v>
      </c>
      <c r="AJ177" s="387">
        <v>372463.43</v>
      </c>
      <c r="AK177" s="526">
        <f t="shared" si="61"/>
        <v>9080.0400000000009</v>
      </c>
      <c r="AL177" s="526">
        <f t="shared" si="62"/>
        <v>9548.92</v>
      </c>
      <c r="AM177" s="527">
        <f t="shared" si="58"/>
        <v>468.88</v>
      </c>
      <c r="AN177" s="387">
        <v>0</v>
      </c>
      <c r="AO177" s="387">
        <v>0</v>
      </c>
      <c r="AP177" s="73"/>
      <c r="AQ177" s="241">
        <v>4600.1700000000128</v>
      </c>
      <c r="AR177" s="659">
        <v>86976.219999999987</v>
      </c>
    </row>
    <row r="178" spans="1:44">
      <c r="A178" s="236" t="s">
        <v>976</v>
      </c>
      <c r="B178" s="236" t="s">
        <v>494</v>
      </c>
      <c r="C178" s="236" t="str">
        <f t="shared" si="64"/>
        <v>25155 NASELLE GRAYS RIVER SCHOOL DISTRICT</v>
      </c>
      <c r="D178" s="387">
        <v>0</v>
      </c>
      <c r="E178" s="387">
        <v>0</v>
      </c>
      <c r="F178" s="387">
        <v>0</v>
      </c>
      <c r="G178" s="387">
        <v>0</v>
      </c>
      <c r="H178" s="387">
        <v>0</v>
      </c>
      <c r="I178" s="387">
        <v>99420.83</v>
      </c>
      <c r="J178" s="387">
        <v>115153.35</v>
      </c>
      <c r="K178" s="387">
        <v>16991.060000000001</v>
      </c>
      <c r="L178" s="387">
        <v>9942.08</v>
      </c>
      <c r="M178" s="387">
        <v>376247.4</v>
      </c>
      <c r="N178" s="388">
        <v>1.89E-2</v>
      </c>
      <c r="O178" s="389">
        <v>0.20419999999999999</v>
      </c>
      <c r="P178" s="387">
        <v>0</v>
      </c>
      <c r="Q178" s="387">
        <v>0</v>
      </c>
      <c r="R178" s="387">
        <v>0</v>
      </c>
      <c r="S178" s="387">
        <v>0</v>
      </c>
      <c r="T178" s="387">
        <v>0</v>
      </c>
      <c r="U178" s="387">
        <v>0</v>
      </c>
      <c r="V178" s="387">
        <v>0</v>
      </c>
      <c r="W178" s="387">
        <v>0</v>
      </c>
      <c r="X178" s="387">
        <v>0</v>
      </c>
      <c r="Y178" s="387">
        <v>355.88</v>
      </c>
      <c r="Z178" s="387">
        <v>0</v>
      </c>
      <c r="AA178" s="387">
        <v>0</v>
      </c>
      <c r="AB178" s="387">
        <v>57343.93</v>
      </c>
      <c r="AC178" s="387">
        <v>148256.42000000001</v>
      </c>
      <c r="AD178" s="525">
        <v>13.98</v>
      </c>
      <c r="AE178" s="387">
        <v>130214.42</v>
      </c>
      <c r="AF178" s="526">
        <f t="shared" si="59"/>
        <v>9314.34</v>
      </c>
      <c r="AG178" s="526">
        <f t="shared" si="60"/>
        <v>10604.89</v>
      </c>
      <c r="AH178" s="527">
        <f t="shared" si="57"/>
        <v>1290.55</v>
      </c>
      <c r="AI178" s="525">
        <v>5.98</v>
      </c>
      <c r="AJ178" s="387">
        <v>54680.67</v>
      </c>
      <c r="AK178" s="526">
        <f t="shared" si="61"/>
        <v>9143.92</v>
      </c>
      <c r="AL178" s="526">
        <f t="shared" si="62"/>
        <v>9589.2900000000009</v>
      </c>
      <c r="AM178" s="527">
        <f t="shared" si="58"/>
        <v>445.37</v>
      </c>
      <c r="AN178" s="387">
        <v>2502.5700000000002</v>
      </c>
      <c r="AO178" s="387">
        <v>1225.68</v>
      </c>
      <c r="AP178" s="73"/>
      <c r="AQ178" s="241">
        <v>1511.4399999999951</v>
      </c>
      <c r="AR178" s="659">
        <v>37282.119999999995</v>
      </c>
    </row>
    <row r="179" spans="1:44">
      <c r="A179" s="236" t="s">
        <v>473</v>
      </c>
      <c r="B179" s="236" t="s">
        <v>472</v>
      </c>
      <c r="C179" s="236" t="str">
        <f t="shared" si="64"/>
        <v>24014 NESPELEM SCHOOL DISTRICT</v>
      </c>
      <c r="D179" s="387">
        <v>0</v>
      </c>
      <c r="E179" s="387">
        <v>0</v>
      </c>
      <c r="F179" s="387">
        <v>323.82</v>
      </c>
      <c r="G179" s="387">
        <v>390645.53</v>
      </c>
      <c r="H179" s="387">
        <v>43307.94</v>
      </c>
      <c r="I179" s="387">
        <v>39861.5</v>
      </c>
      <c r="J179" s="387">
        <v>86980.41</v>
      </c>
      <c r="K179" s="387">
        <v>0</v>
      </c>
      <c r="L179" s="387">
        <v>0</v>
      </c>
      <c r="M179" s="387">
        <v>210574.03</v>
      </c>
      <c r="N179" s="388">
        <v>6.8500000000000005E-2</v>
      </c>
      <c r="O179" s="389">
        <v>0.27229999999999999</v>
      </c>
      <c r="P179" s="387">
        <v>0</v>
      </c>
      <c r="Q179" s="387">
        <v>0</v>
      </c>
      <c r="R179" s="387">
        <v>0</v>
      </c>
      <c r="S179" s="387">
        <v>0</v>
      </c>
      <c r="T179" s="387">
        <v>0</v>
      </c>
      <c r="U179" s="387">
        <v>0</v>
      </c>
      <c r="V179" s="387">
        <v>0</v>
      </c>
      <c r="W179" s="387">
        <v>0</v>
      </c>
      <c r="X179" s="387">
        <v>0</v>
      </c>
      <c r="Y179" s="387">
        <v>0</v>
      </c>
      <c r="Z179" s="387">
        <v>1936.65</v>
      </c>
      <c r="AA179" s="387">
        <v>0</v>
      </c>
      <c r="AB179" s="387">
        <v>91558.53</v>
      </c>
      <c r="AC179" s="387">
        <v>24188.19</v>
      </c>
      <c r="AD179" s="525">
        <v>2.5299999999999998</v>
      </c>
      <c r="AE179" s="387">
        <v>23401.05</v>
      </c>
      <c r="AF179" s="526">
        <f t="shared" si="59"/>
        <v>9249.43</v>
      </c>
      <c r="AG179" s="526">
        <f t="shared" si="60"/>
        <v>9560.5499999999993</v>
      </c>
      <c r="AH179" s="527">
        <f t="shared" si="57"/>
        <v>311.12</v>
      </c>
      <c r="AI179" s="525">
        <v>9.59</v>
      </c>
      <c r="AJ179" s="387">
        <v>87147.91</v>
      </c>
      <c r="AK179" s="526">
        <f t="shared" si="61"/>
        <v>9087.3700000000008</v>
      </c>
      <c r="AL179" s="526">
        <f t="shared" si="62"/>
        <v>9547.2900000000009</v>
      </c>
      <c r="AM179" s="527">
        <f t="shared" si="58"/>
        <v>459.92</v>
      </c>
      <c r="AN179" s="387">
        <v>0</v>
      </c>
      <c r="AO179" s="387">
        <v>0</v>
      </c>
      <c r="AP179" s="73"/>
      <c r="AQ179" s="241">
        <v>12995.839999999997</v>
      </c>
      <c r="AR179" s="659">
        <v>29776.44</v>
      </c>
    </row>
    <row r="180" spans="1:44">
      <c r="A180" s="236" t="s">
        <v>500</v>
      </c>
      <c r="B180" s="236" t="s">
        <v>499</v>
      </c>
      <c r="C180" s="236" t="str">
        <f t="shared" si="64"/>
        <v>26056 NEWPORT SCHOOL DISTRICT</v>
      </c>
      <c r="D180" s="387">
        <v>65576.73</v>
      </c>
      <c r="E180" s="387">
        <v>7367.28</v>
      </c>
      <c r="F180" s="387">
        <v>1204.4000000000001</v>
      </c>
      <c r="G180" s="387">
        <v>2238568.17</v>
      </c>
      <c r="H180" s="387">
        <v>375516.57</v>
      </c>
      <c r="I180" s="387">
        <v>347813.26</v>
      </c>
      <c r="J180" s="387">
        <v>494802.55</v>
      </c>
      <c r="K180" s="387">
        <v>0</v>
      </c>
      <c r="L180" s="387">
        <v>36286.97</v>
      </c>
      <c r="M180" s="387">
        <v>872709.5</v>
      </c>
      <c r="N180" s="388">
        <v>2.1999999999999999E-2</v>
      </c>
      <c r="O180" s="389">
        <v>0.1782</v>
      </c>
      <c r="P180" s="387">
        <v>0</v>
      </c>
      <c r="Q180" s="387">
        <v>0</v>
      </c>
      <c r="R180" s="387">
        <v>0</v>
      </c>
      <c r="S180" s="387">
        <v>0</v>
      </c>
      <c r="T180" s="387">
        <v>0</v>
      </c>
      <c r="U180" s="387">
        <v>0</v>
      </c>
      <c r="V180" s="387">
        <v>0</v>
      </c>
      <c r="W180" s="387">
        <v>0</v>
      </c>
      <c r="X180" s="387">
        <v>0</v>
      </c>
      <c r="Y180" s="387">
        <v>0</v>
      </c>
      <c r="Z180" s="387">
        <v>1267.73</v>
      </c>
      <c r="AA180" s="387">
        <v>0</v>
      </c>
      <c r="AB180" s="387">
        <v>279274.75</v>
      </c>
      <c r="AC180" s="387">
        <v>908163.73</v>
      </c>
      <c r="AD180" s="525">
        <v>93.78</v>
      </c>
      <c r="AE180" s="387">
        <v>869025.08</v>
      </c>
      <c r="AF180" s="526">
        <f t="shared" si="59"/>
        <v>9266.64</v>
      </c>
      <c r="AG180" s="526">
        <f t="shared" si="60"/>
        <v>9683.98</v>
      </c>
      <c r="AH180" s="527">
        <f t="shared" si="57"/>
        <v>417.34</v>
      </c>
      <c r="AI180" s="525">
        <v>29.24</v>
      </c>
      <c r="AJ180" s="387">
        <v>265786.40999999997</v>
      </c>
      <c r="AK180" s="526">
        <f t="shared" si="61"/>
        <v>9089.82</v>
      </c>
      <c r="AL180" s="526">
        <f t="shared" si="62"/>
        <v>9551.1200000000008</v>
      </c>
      <c r="AM180" s="527">
        <f t="shared" si="58"/>
        <v>461.3</v>
      </c>
      <c r="AN180" s="387">
        <v>391.05</v>
      </c>
      <c r="AO180" s="387">
        <v>0</v>
      </c>
      <c r="AP180" s="73"/>
      <c r="AQ180" s="241">
        <v>0</v>
      </c>
      <c r="AR180" s="659">
        <v>115157.68000000001</v>
      </c>
    </row>
    <row r="181" spans="1:44">
      <c r="A181" s="236" t="s">
        <v>599</v>
      </c>
      <c r="B181" s="236" t="s">
        <v>598</v>
      </c>
      <c r="C181" s="236" t="str">
        <f t="shared" si="64"/>
        <v>32325 NINE MILE FALLS SCHOOL DISTRICT</v>
      </c>
      <c r="D181" s="387">
        <v>0</v>
      </c>
      <c r="E181" s="387">
        <v>0</v>
      </c>
      <c r="F181" s="387">
        <v>0</v>
      </c>
      <c r="G181" s="387">
        <v>2223411.48</v>
      </c>
      <c r="H181" s="387">
        <v>336355.94</v>
      </c>
      <c r="I181" s="387">
        <v>0</v>
      </c>
      <c r="J181" s="387">
        <v>331575.78999999998</v>
      </c>
      <c r="K181" s="387">
        <v>22831.56</v>
      </c>
      <c r="L181" s="387">
        <v>44038.29</v>
      </c>
      <c r="M181" s="387">
        <v>1467140.53</v>
      </c>
      <c r="N181" s="388">
        <v>2.86E-2</v>
      </c>
      <c r="O181" s="389">
        <v>0.19700000000000001</v>
      </c>
      <c r="P181" s="387">
        <v>0</v>
      </c>
      <c r="Q181" s="387">
        <v>0</v>
      </c>
      <c r="R181" s="387">
        <v>0</v>
      </c>
      <c r="S181" s="387">
        <v>0</v>
      </c>
      <c r="T181" s="387">
        <v>0</v>
      </c>
      <c r="U181" s="387">
        <v>0</v>
      </c>
      <c r="V181" s="387">
        <v>0</v>
      </c>
      <c r="W181" s="387">
        <v>0</v>
      </c>
      <c r="X181" s="387">
        <v>0</v>
      </c>
      <c r="Y181" s="387">
        <v>1547.35</v>
      </c>
      <c r="Z181" s="387">
        <v>0</v>
      </c>
      <c r="AA181" s="387">
        <v>0</v>
      </c>
      <c r="AB181" s="387">
        <v>50338.57</v>
      </c>
      <c r="AC181" s="387">
        <v>989925.64</v>
      </c>
      <c r="AD181" s="525">
        <v>97.54</v>
      </c>
      <c r="AE181" s="387">
        <v>922049.28</v>
      </c>
      <c r="AF181" s="526">
        <f t="shared" si="59"/>
        <v>9453.0400000000009</v>
      </c>
      <c r="AG181" s="526">
        <f t="shared" si="60"/>
        <v>10148.92</v>
      </c>
      <c r="AH181" s="527">
        <f t="shared" si="57"/>
        <v>695.88</v>
      </c>
      <c r="AI181" s="525">
        <v>5.16</v>
      </c>
      <c r="AJ181" s="387">
        <v>47949.25</v>
      </c>
      <c r="AK181" s="526">
        <f t="shared" si="61"/>
        <v>9292.49</v>
      </c>
      <c r="AL181" s="526">
        <f t="shared" si="62"/>
        <v>9755.5400000000009</v>
      </c>
      <c r="AM181" s="527">
        <f t="shared" si="58"/>
        <v>463.05</v>
      </c>
      <c r="AN181" s="387">
        <v>0</v>
      </c>
      <c r="AO181" s="387">
        <v>0</v>
      </c>
      <c r="AP181" s="73"/>
      <c r="AQ181" s="241">
        <v>0</v>
      </c>
      <c r="AR181" s="659">
        <v>143492.15999999997</v>
      </c>
    </row>
    <row r="182" spans="1:44">
      <c r="A182" s="236" t="s">
        <v>682</v>
      </c>
      <c r="B182" s="236" t="s">
        <v>681</v>
      </c>
      <c r="C182" s="236" t="str">
        <f t="shared" si="64"/>
        <v>37506 NOOKSACK VALLEY SCHOOL DISTRICT</v>
      </c>
      <c r="D182" s="387">
        <v>0</v>
      </c>
      <c r="E182" s="387">
        <v>74053.27</v>
      </c>
      <c r="F182" s="387">
        <v>21607.66</v>
      </c>
      <c r="G182" s="387">
        <v>4280385.62</v>
      </c>
      <c r="H182" s="387">
        <v>843556.87</v>
      </c>
      <c r="I182" s="387">
        <v>644292.15</v>
      </c>
      <c r="J182" s="387">
        <v>710954.85</v>
      </c>
      <c r="K182" s="387">
        <v>546352.13</v>
      </c>
      <c r="L182" s="387">
        <v>63358.06</v>
      </c>
      <c r="M182" s="387">
        <v>1813573.4</v>
      </c>
      <c r="N182" s="388">
        <v>2.12E-2</v>
      </c>
      <c r="O182" s="389">
        <v>0.1452</v>
      </c>
      <c r="P182" s="387">
        <v>0</v>
      </c>
      <c r="Q182" s="387">
        <v>0</v>
      </c>
      <c r="R182" s="387">
        <v>0</v>
      </c>
      <c r="S182" s="387">
        <v>0</v>
      </c>
      <c r="T182" s="387">
        <v>0</v>
      </c>
      <c r="U182" s="387">
        <v>0</v>
      </c>
      <c r="V182" s="387">
        <v>0</v>
      </c>
      <c r="W182" s="387">
        <v>0</v>
      </c>
      <c r="X182" s="387">
        <v>0</v>
      </c>
      <c r="Y182" s="387">
        <v>1943.39</v>
      </c>
      <c r="Z182" s="387">
        <v>0</v>
      </c>
      <c r="AA182" s="387">
        <v>0</v>
      </c>
      <c r="AB182" s="387">
        <v>142689.18</v>
      </c>
      <c r="AC182" s="387">
        <v>1358107.31</v>
      </c>
      <c r="AD182" s="525">
        <v>129.69</v>
      </c>
      <c r="AE182" s="387">
        <v>1251163.83</v>
      </c>
      <c r="AF182" s="526">
        <f t="shared" si="59"/>
        <v>9647.34</v>
      </c>
      <c r="AG182" s="526">
        <f t="shared" si="60"/>
        <v>10471.950000000001</v>
      </c>
      <c r="AH182" s="527">
        <f t="shared" si="57"/>
        <v>824.61</v>
      </c>
      <c r="AI182" s="525">
        <v>14.33</v>
      </c>
      <c r="AJ182" s="387">
        <v>135704.95000000001</v>
      </c>
      <c r="AK182" s="526">
        <f t="shared" si="61"/>
        <v>9469.99</v>
      </c>
      <c r="AL182" s="526">
        <f t="shared" si="62"/>
        <v>9957.3700000000008</v>
      </c>
      <c r="AM182" s="527">
        <f t="shared" si="58"/>
        <v>487.38</v>
      </c>
      <c r="AN182" s="387">
        <v>0</v>
      </c>
      <c r="AO182" s="387">
        <v>0</v>
      </c>
      <c r="AP182" s="73"/>
      <c r="AQ182" s="241">
        <v>0</v>
      </c>
      <c r="AR182" s="659">
        <v>250462.63999999996</v>
      </c>
    </row>
    <row r="183" spans="1:44">
      <c r="A183" s="236" t="s">
        <v>302</v>
      </c>
      <c r="B183" s="236" t="s">
        <v>301</v>
      </c>
      <c r="C183" s="236" t="str">
        <f t="shared" si="64"/>
        <v>14064 NORTH BEACH SCHOOL DISTRICT</v>
      </c>
      <c r="D183" s="387">
        <v>0</v>
      </c>
      <c r="E183" s="387">
        <v>0</v>
      </c>
      <c r="F183" s="387">
        <v>0</v>
      </c>
      <c r="G183" s="387">
        <v>1186797.3799999999</v>
      </c>
      <c r="H183" s="387">
        <v>155246.85999999999</v>
      </c>
      <c r="I183" s="387">
        <v>205914.98</v>
      </c>
      <c r="J183" s="387">
        <v>327990.83</v>
      </c>
      <c r="K183" s="387">
        <v>14286.91</v>
      </c>
      <c r="L183" s="387">
        <v>18847.560000000001</v>
      </c>
      <c r="M183" s="387">
        <v>787035.42</v>
      </c>
      <c r="N183" s="388">
        <v>2.8500000000000001E-2</v>
      </c>
      <c r="O183" s="389">
        <v>0.23350000000000001</v>
      </c>
      <c r="P183" s="387">
        <v>0</v>
      </c>
      <c r="Q183" s="387">
        <v>0</v>
      </c>
      <c r="R183" s="387">
        <v>0</v>
      </c>
      <c r="S183" s="387">
        <v>0</v>
      </c>
      <c r="T183" s="387">
        <v>0</v>
      </c>
      <c r="U183" s="387">
        <v>0</v>
      </c>
      <c r="V183" s="387">
        <v>0</v>
      </c>
      <c r="W183" s="387">
        <v>0</v>
      </c>
      <c r="X183" s="387">
        <v>0</v>
      </c>
      <c r="Y183" s="387">
        <v>430.63</v>
      </c>
      <c r="Z183" s="387">
        <v>0</v>
      </c>
      <c r="AA183" s="387">
        <v>0</v>
      </c>
      <c r="AB183" s="387">
        <v>91558.53</v>
      </c>
      <c r="AC183" s="387">
        <v>276358.96000000002</v>
      </c>
      <c r="AD183" s="525">
        <v>24.19</v>
      </c>
      <c r="AE183" s="387">
        <v>224181.25</v>
      </c>
      <c r="AF183" s="526">
        <f t="shared" si="59"/>
        <v>9267.52</v>
      </c>
      <c r="AG183" s="526">
        <f t="shared" si="60"/>
        <v>11424.51</v>
      </c>
      <c r="AH183" s="527">
        <f t="shared" si="57"/>
        <v>2156.9899999999998</v>
      </c>
      <c r="AI183" s="525">
        <v>9.59</v>
      </c>
      <c r="AJ183" s="387">
        <v>87147.91</v>
      </c>
      <c r="AK183" s="526">
        <f t="shared" si="61"/>
        <v>9087.3700000000008</v>
      </c>
      <c r="AL183" s="526">
        <f t="shared" si="62"/>
        <v>9547.2900000000009</v>
      </c>
      <c r="AM183" s="527">
        <f t="shared" si="58"/>
        <v>459.92</v>
      </c>
      <c r="AN183" s="387">
        <v>480.63</v>
      </c>
      <c r="AO183" s="387">
        <v>0</v>
      </c>
      <c r="AP183" s="73"/>
      <c r="AQ183" s="241">
        <v>0</v>
      </c>
      <c r="AR183" s="659">
        <v>74358.390000000014</v>
      </c>
    </row>
    <row r="184" spans="1:44">
      <c r="A184" s="236" t="s">
        <v>270</v>
      </c>
      <c r="B184" s="236" t="s">
        <v>269</v>
      </c>
      <c r="C184" s="236" t="str">
        <f t="shared" si="64"/>
        <v>11051 NORTH FRANKLIN SCHOOL DISTRICT</v>
      </c>
      <c r="D184" s="387">
        <v>0</v>
      </c>
      <c r="E184" s="387">
        <v>100890.87</v>
      </c>
      <c r="F184" s="387">
        <v>60164.66</v>
      </c>
      <c r="G184" s="387">
        <v>3519530.43</v>
      </c>
      <c r="H184" s="387">
        <v>615929.06999999995</v>
      </c>
      <c r="I184" s="387">
        <v>618394.87</v>
      </c>
      <c r="J184" s="387">
        <v>1045931.15</v>
      </c>
      <c r="K184" s="387">
        <v>1253089.42</v>
      </c>
      <c r="L184" s="387">
        <v>62825.2</v>
      </c>
      <c r="M184" s="387">
        <v>1937105.13</v>
      </c>
      <c r="N184" s="388">
        <v>1.4800000000000001E-2</v>
      </c>
      <c r="O184" s="389">
        <v>0.14960000000000001</v>
      </c>
      <c r="P184" s="387">
        <v>0</v>
      </c>
      <c r="Q184" s="387">
        <v>0</v>
      </c>
      <c r="R184" s="387">
        <v>0</v>
      </c>
      <c r="S184" s="387">
        <v>0</v>
      </c>
      <c r="T184" s="387">
        <v>0</v>
      </c>
      <c r="U184" s="387">
        <v>0</v>
      </c>
      <c r="V184" s="387">
        <v>0</v>
      </c>
      <c r="W184" s="387">
        <v>0</v>
      </c>
      <c r="X184" s="387">
        <v>0</v>
      </c>
      <c r="Y184" s="387">
        <v>368.15</v>
      </c>
      <c r="Z184" s="387">
        <v>15294.31</v>
      </c>
      <c r="AA184" s="387">
        <v>44843.26</v>
      </c>
      <c r="AB184" s="387">
        <v>209091.04</v>
      </c>
      <c r="AC184" s="387">
        <v>1210870.24</v>
      </c>
      <c r="AD184" s="525">
        <v>123.41</v>
      </c>
      <c r="AE184" s="387">
        <v>1143611.94</v>
      </c>
      <c r="AF184" s="526">
        <f t="shared" si="59"/>
        <v>9266.77</v>
      </c>
      <c r="AG184" s="526">
        <f t="shared" si="60"/>
        <v>9811.77</v>
      </c>
      <c r="AH184" s="527">
        <f t="shared" si="57"/>
        <v>545</v>
      </c>
      <c r="AI184" s="525">
        <v>21.91</v>
      </c>
      <c r="AJ184" s="387">
        <v>199101.41</v>
      </c>
      <c r="AK184" s="526">
        <f t="shared" si="61"/>
        <v>9087.24</v>
      </c>
      <c r="AL184" s="526">
        <f t="shared" si="62"/>
        <v>9543.18</v>
      </c>
      <c r="AM184" s="527">
        <f t="shared" si="58"/>
        <v>455.94</v>
      </c>
      <c r="AN184" s="387">
        <v>0</v>
      </c>
      <c r="AO184" s="387">
        <v>0</v>
      </c>
      <c r="AP184" s="73"/>
      <c r="AQ184" s="241">
        <v>92953.870000000024</v>
      </c>
      <c r="AR184" s="659">
        <v>244316.75999999998</v>
      </c>
    </row>
    <row r="185" spans="1:44">
      <c r="A185" s="236" t="s">
        <v>379</v>
      </c>
      <c r="B185" s="236" t="s">
        <v>378</v>
      </c>
      <c r="C185" s="236" t="str">
        <f t="shared" si="64"/>
        <v>18400 NORTH KITSAP SCHOOL DISTRICT</v>
      </c>
      <c r="D185" s="387">
        <v>0</v>
      </c>
      <c r="E185" s="387">
        <v>65497.71</v>
      </c>
      <c r="F185" s="387">
        <v>1278.8599999999999</v>
      </c>
      <c r="G185" s="387">
        <v>11604441.73</v>
      </c>
      <c r="H185" s="387">
        <v>1348068.76</v>
      </c>
      <c r="I185" s="387">
        <v>121350.23</v>
      </c>
      <c r="J185" s="387">
        <v>1573297.45</v>
      </c>
      <c r="K185" s="387">
        <v>580596.82999999996</v>
      </c>
      <c r="L185" s="387">
        <v>193567.16</v>
      </c>
      <c r="M185" s="387">
        <v>3873493.67</v>
      </c>
      <c r="N185" s="388">
        <v>3.8100000000000002E-2</v>
      </c>
      <c r="O185" s="389">
        <v>0.20169999999999999</v>
      </c>
      <c r="P185" s="387">
        <v>0</v>
      </c>
      <c r="Q185" s="387">
        <v>0</v>
      </c>
      <c r="R185" s="387">
        <v>0</v>
      </c>
      <c r="S185" s="387">
        <v>0</v>
      </c>
      <c r="T185" s="387">
        <v>0</v>
      </c>
      <c r="U185" s="387">
        <v>0</v>
      </c>
      <c r="V185" s="387">
        <v>0</v>
      </c>
      <c r="W185" s="387">
        <v>0</v>
      </c>
      <c r="X185" s="387">
        <v>0</v>
      </c>
      <c r="Y185" s="387">
        <v>6003.1</v>
      </c>
      <c r="Z185" s="387">
        <v>86327.82</v>
      </c>
      <c r="AA185" s="387">
        <v>336852.12</v>
      </c>
      <c r="AB185" s="387">
        <v>910660.52</v>
      </c>
      <c r="AC185" s="387">
        <v>3532641.81</v>
      </c>
      <c r="AD185" s="525">
        <v>310.58</v>
      </c>
      <c r="AE185" s="387">
        <v>3291709.27</v>
      </c>
      <c r="AF185" s="526">
        <f t="shared" si="59"/>
        <v>10598.59</v>
      </c>
      <c r="AG185" s="526">
        <f t="shared" si="60"/>
        <v>11374.34</v>
      </c>
      <c r="AH185" s="527">
        <f t="shared" si="57"/>
        <v>775.75</v>
      </c>
      <c r="AI185" s="525">
        <v>83.15</v>
      </c>
      <c r="AJ185" s="387">
        <v>866578.86</v>
      </c>
      <c r="AK185" s="526">
        <f t="shared" si="61"/>
        <v>10421.870000000001</v>
      </c>
      <c r="AL185" s="526">
        <f t="shared" si="62"/>
        <v>10952.02</v>
      </c>
      <c r="AM185" s="527">
        <f t="shared" si="58"/>
        <v>530.15</v>
      </c>
      <c r="AN185" s="387">
        <v>0</v>
      </c>
      <c r="AO185" s="387">
        <v>0</v>
      </c>
      <c r="AP185" s="73"/>
      <c r="AQ185" s="241">
        <v>0</v>
      </c>
      <c r="AR185" s="659">
        <v>665265.63</v>
      </c>
    </row>
    <row r="186" spans="1:44">
      <c r="A186" s="236" t="s">
        <v>469</v>
      </c>
      <c r="B186" s="236" t="s">
        <v>468</v>
      </c>
      <c r="C186" s="236" t="str">
        <f t="shared" si="64"/>
        <v>23403 NORTH MASON SCHOOL DISTRICT</v>
      </c>
      <c r="D186" s="387">
        <v>0</v>
      </c>
      <c r="E186" s="387">
        <v>0</v>
      </c>
      <c r="F186" s="387">
        <v>0</v>
      </c>
      <c r="G186" s="387">
        <v>4332811.32</v>
      </c>
      <c r="H186" s="387">
        <v>544269.1</v>
      </c>
      <c r="I186" s="387">
        <v>526304.01</v>
      </c>
      <c r="J186" s="387">
        <v>1000228.74</v>
      </c>
      <c r="K186" s="387">
        <v>724386.39</v>
      </c>
      <c r="L186" s="387">
        <v>78329.73</v>
      </c>
      <c r="M186" s="387">
        <v>2723233.75</v>
      </c>
      <c r="N186" s="388">
        <v>7.3800000000000004E-2</v>
      </c>
      <c r="O186" s="389">
        <v>0.1764</v>
      </c>
      <c r="P186" s="387">
        <v>0</v>
      </c>
      <c r="Q186" s="387">
        <v>0</v>
      </c>
      <c r="R186" s="387">
        <v>0</v>
      </c>
      <c r="S186" s="387">
        <v>0</v>
      </c>
      <c r="T186" s="387">
        <v>0</v>
      </c>
      <c r="U186" s="387">
        <v>0</v>
      </c>
      <c r="V186" s="387">
        <v>0</v>
      </c>
      <c r="W186" s="387">
        <v>0</v>
      </c>
      <c r="X186" s="387">
        <v>0</v>
      </c>
      <c r="Y186" s="387">
        <v>2616.1</v>
      </c>
      <c r="Z186" s="387">
        <v>0.03</v>
      </c>
      <c r="AA186" s="387">
        <v>835.26</v>
      </c>
      <c r="AB186" s="387">
        <v>695835.08</v>
      </c>
      <c r="AC186" s="387">
        <v>2298611.66</v>
      </c>
      <c r="AD186" s="525">
        <v>213.89</v>
      </c>
      <c r="AE186" s="387">
        <v>2145521.91</v>
      </c>
      <c r="AF186" s="526">
        <f t="shared" si="59"/>
        <v>10030.959999999999</v>
      </c>
      <c r="AG186" s="526">
        <f t="shared" si="60"/>
        <v>10746.7</v>
      </c>
      <c r="AH186" s="527">
        <f t="shared" si="57"/>
        <v>715.74</v>
      </c>
      <c r="AI186" s="525">
        <v>67.209999999999994</v>
      </c>
      <c r="AJ186" s="387">
        <v>662162.79</v>
      </c>
      <c r="AK186" s="526">
        <f t="shared" si="61"/>
        <v>9852.15</v>
      </c>
      <c r="AL186" s="526">
        <f t="shared" si="62"/>
        <v>10353.15</v>
      </c>
      <c r="AM186" s="527">
        <f t="shared" si="58"/>
        <v>501</v>
      </c>
      <c r="AN186" s="387">
        <v>56.6</v>
      </c>
      <c r="AO186" s="387">
        <v>0</v>
      </c>
      <c r="AP186" s="73"/>
      <c r="AQ186" s="241">
        <v>92339.620000000054</v>
      </c>
      <c r="AR186" s="659">
        <v>283293.38</v>
      </c>
    </row>
    <row r="187" spans="1:44">
      <c r="A187" s="236" t="s">
        <v>498</v>
      </c>
      <c r="B187" s="236" t="s">
        <v>497</v>
      </c>
      <c r="C187" s="236" t="str">
        <f t="shared" si="64"/>
        <v>25200 NORTH RIVER SCHOOL DISTRICT</v>
      </c>
      <c r="D187" s="387">
        <v>0</v>
      </c>
      <c r="E187" s="387">
        <v>0</v>
      </c>
      <c r="F187" s="387">
        <v>0</v>
      </c>
      <c r="G187" s="387">
        <v>50067.68</v>
      </c>
      <c r="H187" s="387">
        <v>3121.43</v>
      </c>
      <c r="I187" s="387">
        <v>18414.27</v>
      </c>
      <c r="J187" s="387">
        <v>30329.41</v>
      </c>
      <c r="K187" s="387">
        <v>0</v>
      </c>
      <c r="L187" s="387">
        <v>0</v>
      </c>
      <c r="M187" s="387">
        <v>165456.1</v>
      </c>
      <c r="N187" s="388">
        <v>0</v>
      </c>
      <c r="O187" s="389">
        <v>0.26850000000000002</v>
      </c>
      <c r="P187" s="387">
        <v>0</v>
      </c>
      <c r="Q187" s="387">
        <v>0</v>
      </c>
      <c r="R187" s="387">
        <v>0</v>
      </c>
      <c r="S187" s="387">
        <v>0</v>
      </c>
      <c r="T187" s="387">
        <v>0</v>
      </c>
      <c r="U187" s="387">
        <v>0</v>
      </c>
      <c r="V187" s="387">
        <v>0</v>
      </c>
      <c r="W187" s="387">
        <v>0</v>
      </c>
      <c r="X187" s="387">
        <v>0</v>
      </c>
      <c r="Y187" s="387">
        <v>60.24</v>
      </c>
      <c r="Z187" s="387">
        <v>0</v>
      </c>
      <c r="AA187" s="387">
        <v>0</v>
      </c>
      <c r="AB187" s="387">
        <v>0</v>
      </c>
      <c r="AC187" s="387">
        <v>2741.22</v>
      </c>
      <c r="AD187" s="525">
        <v>0</v>
      </c>
      <c r="AE187" s="387">
        <v>0</v>
      </c>
      <c r="AF187" s="526">
        <f t="shared" si="59"/>
        <v>0</v>
      </c>
      <c r="AG187" s="526">
        <f t="shared" si="60"/>
        <v>0</v>
      </c>
      <c r="AH187" s="527">
        <f t="shared" si="57"/>
        <v>0</v>
      </c>
      <c r="AI187" s="525">
        <v>0</v>
      </c>
      <c r="AJ187" s="387">
        <v>0</v>
      </c>
      <c r="AK187" s="526">
        <f t="shared" si="61"/>
        <v>0</v>
      </c>
      <c r="AL187" s="526">
        <f t="shared" si="62"/>
        <v>0</v>
      </c>
      <c r="AM187" s="527">
        <f t="shared" si="58"/>
        <v>0</v>
      </c>
      <c r="AN187" s="387">
        <v>0</v>
      </c>
      <c r="AO187" s="387">
        <v>0</v>
      </c>
      <c r="AP187" s="73"/>
      <c r="AQ187" s="241">
        <v>42847.39</v>
      </c>
      <c r="AR187" s="659">
        <v>20652.810000000001</v>
      </c>
    </row>
    <row r="188" spans="1:44">
      <c r="A188" s="236" t="s">
        <v>643</v>
      </c>
      <c r="B188" s="236" t="s">
        <v>642</v>
      </c>
      <c r="C188" s="236" t="str">
        <f t="shared" si="64"/>
        <v>34003 NORTH THURSTON SCHOOL DISTRICT</v>
      </c>
      <c r="D188" s="387">
        <v>0</v>
      </c>
      <c r="E188" s="387">
        <v>170783.26</v>
      </c>
      <c r="F188" s="387">
        <v>77490.63</v>
      </c>
      <c r="G188" s="387">
        <v>36956597.670000002</v>
      </c>
      <c r="H188" s="387">
        <v>6206638.0499999998</v>
      </c>
      <c r="I188" s="387">
        <v>1252712.69</v>
      </c>
      <c r="J188" s="387">
        <v>4608011.2699999996</v>
      </c>
      <c r="K188" s="387">
        <v>1846848.87</v>
      </c>
      <c r="L188" s="387">
        <v>460465.34</v>
      </c>
      <c r="M188" s="387">
        <v>11288478.83</v>
      </c>
      <c r="N188" s="388">
        <v>4.0899999999999999E-2</v>
      </c>
      <c r="O188" s="389">
        <v>0.127</v>
      </c>
      <c r="P188" s="387">
        <v>0</v>
      </c>
      <c r="Q188" s="387">
        <v>0</v>
      </c>
      <c r="R188" s="387">
        <v>0</v>
      </c>
      <c r="S188" s="387">
        <v>0</v>
      </c>
      <c r="T188" s="387">
        <v>0</v>
      </c>
      <c r="U188" s="387">
        <v>0</v>
      </c>
      <c r="V188" s="387">
        <v>0</v>
      </c>
      <c r="W188" s="387">
        <v>0</v>
      </c>
      <c r="X188" s="387">
        <v>0</v>
      </c>
      <c r="Y188" s="387">
        <v>17055.439999999999</v>
      </c>
      <c r="Z188" s="387">
        <v>0</v>
      </c>
      <c r="AA188" s="387">
        <v>0</v>
      </c>
      <c r="AB188" s="387">
        <v>1932406.86</v>
      </c>
      <c r="AC188" s="387">
        <v>8299875.9900000002</v>
      </c>
      <c r="AD188" s="525">
        <v>823.33</v>
      </c>
      <c r="AE188" s="387">
        <v>7628743.7599999998</v>
      </c>
      <c r="AF188" s="526">
        <f t="shared" si="59"/>
        <v>9265.7199999999993</v>
      </c>
      <c r="AG188" s="526">
        <f t="shared" si="60"/>
        <v>10080.86</v>
      </c>
      <c r="AH188" s="527">
        <f t="shared" si="57"/>
        <v>815.14</v>
      </c>
      <c r="AI188" s="525">
        <v>202.37</v>
      </c>
      <c r="AJ188" s="387">
        <v>1838356.15</v>
      </c>
      <c r="AK188" s="526">
        <f t="shared" si="61"/>
        <v>9084.1299999999992</v>
      </c>
      <c r="AL188" s="526">
        <f t="shared" si="62"/>
        <v>9548.8799999999992</v>
      </c>
      <c r="AM188" s="527">
        <f t="shared" si="58"/>
        <v>464.75</v>
      </c>
      <c r="AN188" s="387">
        <v>5387.72</v>
      </c>
      <c r="AO188" s="387">
        <v>0</v>
      </c>
      <c r="AP188" s="73"/>
      <c r="AQ188" s="241">
        <v>0</v>
      </c>
      <c r="AR188" s="659">
        <v>1623596.9100000004</v>
      </c>
    </row>
    <row r="189" spans="1:44">
      <c r="A189" s="236" t="s">
        <v>637</v>
      </c>
      <c r="B189" s="236" t="s">
        <v>636</v>
      </c>
      <c r="C189" s="236" t="str">
        <f t="shared" si="64"/>
        <v>33211 NORTHPORT SCHOOL DISTRICT</v>
      </c>
      <c r="D189" s="387">
        <v>0</v>
      </c>
      <c r="E189" s="387">
        <v>0</v>
      </c>
      <c r="F189" s="387">
        <v>0</v>
      </c>
      <c r="G189" s="387">
        <v>487141.48</v>
      </c>
      <c r="H189" s="387">
        <v>55878.89</v>
      </c>
      <c r="I189" s="387">
        <v>50368.47</v>
      </c>
      <c r="J189" s="387">
        <v>115901.65</v>
      </c>
      <c r="K189" s="387">
        <v>0</v>
      </c>
      <c r="L189" s="387">
        <v>8340.58</v>
      </c>
      <c r="M189" s="387">
        <v>393441.79</v>
      </c>
      <c r="N189" s="388">
        <v>8.72E-2</v>
      </c>
      <c r="O189" s="389">
        <v>0.25380000000000003</v>
      </c>
      <c r="P189" s="387">
        <v>0</v>
      </c>
      <c r="Q189" s="387">
        <v>0</v>
      </c>
      <c r="R189" s="387">
        <v>0</v>
      </c>
      <c r="S189" s="387">
        <v>0</v>
      </c>
      <c r="T189" s="387">
        <v>0</v>
      </c>
      <c r="U189" s="387">
        <v>0</v>
      </c>
      <c r="V189" s="387">
        <v>0</v>
      </c>
      <c r="W189" s="387">
        <v>0</v>
      </c>
      <c r="X189" s="387">
        <v>0</v>
      </c>
      <c r="Y189" s="387">
        <v>0</v>
      </c>
      <c r="Z189" s="387">
        <v>0</v>
      </c>
      <c r="AA189" s="387">
        <v>0</v>
      </c>
      <c r="AB189" s="387">
        <v>0</v>
      </c>
      <c r="AC189" s="387">
        <v>72721.820000000007</v>
      </c>
      <c r="AD189" s="525">
        <v>7.1</v>
      </c>
      <c r="AE189" s="387">
        <v>65772.399999999994</v>
      </c>
      <c r="AF189" s="526">
        <f t="shared" si="59"/>
        <v>9263.7199999999993</v>
      </c>
      <c r="AG189" s="526">
        <f t="shared" si="60"/>
        <v>10242.51</v>
      </c>
      <c r="AH189" s="527">
        <f t="shared" si="57"/>
        <v>978.79</v>
      </c>
      <c r="AI189" s="525">
        <v>0</v>
      </c>
      <c r="AJ189" s="387">
        <v>0</v>
      </c>
      <c r="AK189" s="526">
        <f t="shared" si="61"/>
        <v>0</v>
      </c>
      <c r="AL189" s="526">
        <f t="shared" si="62"/>
        <v>0</v>
      </c>
      <c r="AM189" s="527">
        <f t="shared" si="58"/>
        <v>0</v>
      </c>
      <c r="AN189" s="387">
        <v>0</v>
      </c>
      <c r="AO189" s="387">
        <v>0</v>
      </c>
      <c r="AP189" s="73"/>
      <c r="AQ189" s="241">
        <v>9762.2600000000057</v>
      </c>
      <c r="AR189" s="659">
        <v>29673</v>
      </c>
    </row>
    <row r="190" spans="1:44">
      <c r="A190" s="236" t="s">
        <v>373</v>
      </c>
      <c r="B190" s="236" t="s">
        <v>372</v>
      </c>
      <c r="C190" s="236" t="str">
        <f t="shared" si="64"/>
        <v>17417 NORTHSHORE SCHOOL DISTRICT</v>
      </c>
      <c r="D190" s="387">
        <v>0</v>
      </c>
      <c r="E190" s="387">
        <v>240452.9</v>
      </c>
      <c r="F190" s="387">
        <v>0</v>
      </c>
      <c r="G190" s="387">
        <v>52720812.740000002</v>
      </c>
      <c r="H190" s="387">
        <v>6084282.9199999999</v>
      </c>
      <c r="I190" s="387">
        <v>0</v>
      </c>
      <c r="J190" s="387">
        <v>3003685.78</v>
      </c>
      <c r="K190" s="387">
        <v>5101542.0999999996</v>
      </c>
      <c r="L190" s="387">
        <v>798036</v>
      </c>
      <c r="M190" s="387">
        <v>14431662.300000001</v>
      </c>
      <c r="N190" s="388">
        <v>3.44E-2</v>
      </c>
      <c r="O190" s="389">
        <v>0.1206</v>
      </c>
      <c r="P190" s="387">
        <v>0</v>
      </c>
      <c r="Q190" s="387">
        <v>0</v>
      </c>
      <c r="R190" s="387">
        <v>0</v>
      </c>
      <c r="S190" s="387">
        <v>193602.75</v>
      </c>
      <c r="T190" s="387">
        <v>0</v>
      </c>
      <c r="U190" s="387">
        <v>6635.21</v>
      </c>
      <c r="V190" s="387">
        <v>0</v>
      </c>
      <c r="W190" s="387">
        <v>0</v>
      </c>
      <c r="X190" s="387">
        <v>0</v>
      </c>
      <c r="Y190" s="387">
        <v>14762.86</v>
      </c>
      <c r="Z190" s="387">
        <v>0</v>
      </c>
      <c r="AA190" s="387">
        <v>0</v>
      </c>
      <c r="AB190" s="387">
        <v>2064738.65</v>
      </c>
      <c r="AC190" s="387">
        <v>11570051.6</v>
      </c>
      <c r="AD190" s="525">
        <v>1050.83</v>
      </c>
      <c r="AE190" s="387">
        <v>10943515.92</v>
      </c>
      <c r="AF190" s="526">
        <f t="shared" si="59"/>
        <v>10414.16</v>
      </c>
      <c r="AG190" s="526">
        <f t="shared" si="60"/>
        <v>11010.39</v>
      </c>
      <c r="AH190" s="527">
        <f t="shared" si="57"/>
        <v>596.23</v>
      </c>
      <c r="AI190" s="525">
        <v>192.02</v>
      </c>
      <c r="AJ190" s="387">
        <v>1965599.14</v>
      </c>
      <c r="AK190" s="526">
        <f t="shared" si="61"/>
        <v>10236.43</v>
      </c>
      <c r="AL190" s="526">
        <f t="shared" si="62"/>
        <v>10752.73</v>
      </c>
      <c r="AM190" s="527">
        <f t="shared" si="58"/>
        <v>516.29999999999995</v>
      </c>
      <c r="AN190" s="387">
        <v>0</v>
      </c>
      <c r="AO190" s="387">
        <v>0</v>
      </c>
      <c r="AP190" s="73"/>
      <c r="AQ190" s="241">
        <v>0</v>
      </c>
      <c r="AR190" s="659">
        <v>2685081.7699999996</v>
      </c>
    </row>
    <row r="191" spans="1:44">
      <c r="A191" s="236" t="s">
        <v>323</v>
      </c>
      <c r="B191" s="236" t="s">
        <v>322</v>
      </c>
      <c r="C191" s="236" t="str">
        <f t="shared" si="64"/>
        <v>15201 OAK HARBOR SCHOOL DISTRICT</v>
      </c>
      <c r="D191" s="387">
        <v>0</v>
      </c>
      <c r="E191" s="387">
        <v>73746.320000000007</v>
      </c>
      <c r="F191" s="387">
        <v>27070</v>
      </c>
      <c r="G191" s="387">
        <v>14987284.52</v>
      </c>
      <c r="H191" s="387">
        <v>2974107.19</v>
      </c>
      <c r="I191" s="387">
        <v>307339.55</v>
      </c>
      <c r="J191" s="387">
        <v>1778383.74</v>
      </c>
      <c r="K191" s="387">
        <v>474723.81</v>
      </c>
      <c r="L191" s="387">
        <v>186556.29</v>
      </c>
      <c r="M191" s="387">
        <v>3250679.89</v>
      </c>
      <c r="N191" s="388">
        <v>3.39E-2</v>
      </c>
      <c r="O191" s="389">
        <v>0.1363</v>
      </c>
      <c r="P191" s="387">
        <v>0</v>
      </c>
      <c r="Q191" s="387">
        <v>0</v>
      </c>
      <c r="R191" s="387">
        <v>0</v>
      </c>
      <c r="S191" s="387">
        <v>0</v>
      </c>
      <c r="T191" s="387">
        <v>0</v>
      </c>
      <c r="U191" s="387">
        <v>0</v>
      </c>
      <c r="V191" s="387">
        <v>0</v>
      </c>
      <c r="W191" s="387">
        <v>0</v>
      </c>
      <c r="X191" s="387">
        <v>0</v>
      </c>
      <c r="Y191" s="387">
        <v>0</v>
      </c>
      <c r="Z191" s="387">
        <v>0</v>
      </c>
      <c r="AA191" s="387">
        <v>0</v>
      </c>
      <c r="AB191" s="387">
        <v>437652.57</v>
      </c>
      <c r="AC191" s="387">
        <v>4261494.09</v>
      </c>
      <c r="AD191" s="525">
        <v>406.08</v>
      </c>
      <c r="AE191" s="387">
        <v>4073506.51</v>
      </c>
      <c r="AF191" s="526">
        <f t="shared" si="59"/>
        <v>10031.290000000001</v>
      </c>
      <c r="AG191" s="526">
        <f t="shared" si="60"/>
        <v>10494.22</v>
      </c>
      <c r="AH191" s="527">
        <f t="shared" si="57"/>
        <v>462.93</v>
      </c>
      <c r="AI191" s="525">
        <v>42.29</v>
      </c>
      <c r="AJ191" s="387">
        <v>416708.56</v>
      </c>
      <c r="AK191" s="526">
        <f t="shared" si="61"/>
        <v>9853.6</v>
      </c>
      <c r="AL191" s="526">
        <f t="shared" si="62"/>
        <v>10348.84</v>
      </c>
      <c r="AM191" s="527">
        <f t="shared" si="58"/>
        <v>495.24</v>
      </c>
      <c r="AN191" s="387">
        <v>0</v>
      </c>
      <c r="AO191" s="387">
        <v>0</v>
      </c>
      <c r="AP191" s="73"/>
      <c r="AQ191" s="241">
        <v>0</v>
      </c>
      <c r="AR191" s="659">
        <v>651722.30000000005</v>
      </c>
    </row>
    <row r="192" spans="1:44">
      <c r="A192" s="236" t="s">
        <v>710</v>
      </c>
      <c r="B192" s="236" t="s">
        <v>709</v>
      </c>
      <c r="C192" s="236" t="str">
        <f t="shared" si="64"/>
        <v>38324 OAKESDALE SCHOOL DISTRICT</v>
      </c>
      <c r="D192" s="387">
        <v>341.72</v>
      </c>
      <c r="E192" s="387">
        <v>0</v>
      </c>
      <c r="F192" s="387">
        <v>0</v>
      </c>
      <c r="G192" s="387">
        <v>274631</v>
      </c>
      <c r="H192" s="387">
        <v>32381.759999999998</v>
      </c>
      <c r="I192" s="387">
        <v>0</v>
      </c>
      <c r="J192" s="387">
        <v>36599.96</v>
      </c>
      <c r="K192" s="387">
        <v>0</v>
      </c>
      <c r="L192" s="387">
        <v>4370.1499999999996</v>
      </c>
      <c r="M192" s="387">
        <v>416374.38</v>
      </c>
      <c r="N192" s="388">
        <v>4.9599999999999998E-2</v>
      </c>
      <c r="O192" s="389">
        <v>0.26569999999999999</v>
      </c>
      <c r="P192" s="387">
        <v>0</v>
      </c>
      <c r="Q192" s="387">
        <v>0</v>
      </c>
      <c r="R192" s="387">
        <v>0</v>
      </c>
      <c r="S192" s="387">
        <v>0</v>
      </c>
      <c r="T192" s="387">
        <v>0</v>
      </c>
      <c r="U192" s="387">
        <v>0</v>
      </c>
      <c r="V192" s="387">
        <v>0</v>
      </c>
      <c r="W192" s="387">
        <v>0</v>
      </c>
      <c r="X192" s="387">
        <v>0</v>
      </c>
      <c r="Y192" s="387">
        <v>0</v>
      </c>
      <c r="Z192" s="387">
        <v>0</v>
      </c>
      <c r="AA192" s="387">
        <v>0</v>
      </c>
      <c r="AB192" s="387">
        <v>38335.33</v>
      </c>
      <c r="AC192" s="387">
        <v>133590.31</v>
      </c>
      <c r="AD192" s="525">
        <v>13.61</v>
      </c>
      <c r="AE192" s="387">
        <v>126804.65</v>
      </c>
      <c r="AF192" s="526">
        <f t="shared" si="59"/>
        <v>9317.02</v>
      </c>
      <c r="AG192" s="526">
        <f t="shared" si="60"/>
        <v>9815.6</v>
      </c>
      <c r="AH192" s="527">
        <f t="shared" si="57"/>
        <v>498.58</v>
      </c>
      <c r="AI192" s="525">
        <v>3.98</v>
      </c>
      <c r="AJ192" s="387">
        <v>36333.68</v>
      </c>
      <c r="AK192" s="526">
        <f t="shared" si="61"/>
        <v>9129.07</v>
      </c>
      <c r="AL192" s="526">
        <f t="shared" si="62"/>
        <v>9631.99</v>
      </c>
      <c r="AM192" s="527">
        <f t="shared" si="58"/>
        <v>502.92</v>
      </c>
      <c r="AN192" s="387">
        <v>0</v>
      </c>
      <c r="AO192" s="387">
        <v>0</v>
      </c>
      <c r="AP192" s="73"/>
      <c r="AQ192" s="241">
        <v>2283.8100000000013</v>
      </c>
      <c r="AR192" s="659">
        <v>26389.670000000002</v>
      </c>
    </row>
    <row r="193" spans="1:44">
      <c r="A193" s="236" t="s">
        <v>321</v>
      </c>
      <c r="B193" s="236" t="s">
        <v>320</v>
      </c>
      <c r="C193" s="236" t="str">
        <f t="shared" si="64"/>
        <v>14400 OAKVILLE SCHOOL DISTRICT</v>
      </c>
      <c r="D193" s="387">
        <v>0</v>
      </c>
      <c r="E193" s="387">
        <v>0</v>
      </c>
      <c r="F193" s="387">
        <v>0</v>
      </c>
      <c r="G193" s="387">
        <v>823359.61</v>
      </c>
      <c r="H193" s="387">
        <v>100612.76</v>
      </c>
      <c r="I193" s="387">
        <v>95320.99</v>
      </c>
      <c r="J193" s="387">
        <v>166270.14000000001</v>
      </c>
      <c r="K193" s="387">
        <v>0</v>
      </c>
      <c r="L193" s="387">
        <v>0</v>
      </c>
      <c r="M193" s="387">
        <v>224948.42</v>
      </c>
      <c r="N193" s="388">
        <v>0</v>
      </c>
      <c r="O193" s="389">
        <v>0.2429</v>
      </c>
      <c r="P193" s="387">
        <v>0</v>
      </c>
      <c r="Q193" s="387">
        <v>0</v>
      </c>
      <c r="R193" s="387">
        <v>0</v>
      </c>
      <c r="S193" s="387">
        <v>0</v>
      </c>
      <c r="T193" s="387">
        <v>0</v>
      </c>
      <c r="U193" s="387">
        <v>0</v>
      </c>
      <c r="V193" s="387">
        <v>0</v>
      </c>
      <c r="W193" s="387">
        <v>0</v>
      </c>
      <c r="X193" s="387">
        <v>0</v>
      </c>
      <c r="Y193" s="387">
        <v>363.69</v>
      </c>
      <c r="Z193" s="387">
        <v>0</v>
      </c>
      <c r="AA193" s="387">
        <v>0</v>
      </c>
      <c r="AB193" s="387">
        <v>13206.91</v>
      </c>
      <c r="AC193" s="387">
        <v>190283.01</v>
      </c>
      <c r="AD193" s="525">
        <v>17.04</v>
      </c>
      <c r="AE193" s="387">
        <v>157818.54999999999</v>
      </c>
      <c r="AF193" s="526">
        <f t="shared" si="59"/>
        <v>9261.65</v>
      </c>
      <c r="AG193" s="526">
        <f t="shared" si="60"/>
        <v>11166.84</v>
      </c>
      <c r="AH193" s="527">
        <f t="shared" si="57"/>
        <v>1905.19</v>
      </c>
      <c r="AI193" s="525">
        <v>1.39</v>
      </c>
      <c r="AJ193" s="387">
        <v>12497.85</v>
      </c>
      <c r="AK193" s="526">
        <f t="shared" si="61"/>
        <v>8991.26</v>
      </c>
      <c r="AL193" s="526">
        <f t="shared" si="62"/>
        <v>9501.3700000000008</v>
      </c>
      <c r="AM193" s="527">
        <f t="shared" si="58"/>
        <v>510.11</v>
      </c>
      <c r="AN193" s="387">
        <v>4069.68</v>
      </c>
      <c r="AO193" s="387">
        <v>0</v>
      </c>
      <c r="AP193" s="73"/>
      <c r="AQ193" s="241">
        <v>17551.54</v>
      </c>
      <c r="AR193" s="659">
        <v>44052.509999999995</v>
      </c>
    </row>
    <row r="194" spans="1:44">
      <c r="A194" s="236" t="s">
        <v>489</v>
      </c>
      <c r="B194" s="236" t="s">
        <v>488</v>
      </c>
      <c r="C194" s="236" t="str">
        <f t="shared" si="64"/>
        <v>25101 OCEAN BEACH SCHOOL DISTRICT</v>
      </c>
      <c r="D194" s="387">
        <v>0</v>
      </c>
      <c r="E194" s="387">
        <v>43063.81</v>
      </c>
      <c r="F194" s="387">
        <v>30722.53</v>
      </c>
      <c r="G194" s="387">
        <v>396</v>
      </c>
      <c r="H194" s="387">
        <v>0</v>
      </c>
      <c r="I194" s="387">
        <v>315317.46999999997</v>
      </c>
      <c r="J194" s="387">
        <v>461873.48</v>
      </c>
      <c r="K194" s="387">
        <v>100221.55</v>
      </c>
      <c r="L194" s="387">
        <v>28704.61</v>
      </c>
      <c r="M194" s="387">
        <v>1258892.69</v>
      </c>
      <c r="N194" s="388">
        <v>2.46E-2</v>
      </c>
      <c r="O194" s="389">
        <v>0.16239999999999999</v>
      </c>
      <c r="P194" s="387">
        <v>0</v>
      </c>
      <c r="Q194" s="387">
        <v>0</v>
      </c>
      <c r="R194" s="387">
        <v>0</v>
      </c>
      <c r="S194" s="387">
        <v>0</v>
      </c>
      <c r="T194" s="387">
        <v>0</v>
      </c>
      <c r="U194" s="387">
        <v>0</v>
      </c>
      <c r="V194" s="387">
        <v>0</v>
      </c>
      <c r="W194" s="387">
        <v>0</v>
      </c>
      <c r="X194" s="387">
        <v>0</v>
      </c>
      <c r="Y194" s="387">
        <v>1070.99</v>
      </c>
      <c r="Z194" s="387">
        <v>0</v>
      </c>
      <c r="AA194" s="387">
        <v>79091.48</v>
      </c>
      <c r="AB194" s="387">
        <v>0</v>
      </c>
      <c r="AC194" s="387">
        <v>1014487.3</v>
      </c>
      <c r="AD194" s="525">
        <v>104.88</v>
      </c>
      <c r="AE194" s="387">
        <v>971793.9</v>
      </c>
      <c r="AF194" s="526">
        <f t="shared" si="59"/>
        <v>9265.77</v>
      </c>
      <c r="AG194" s="526">
        <f t="shared" si="60"/>
        <v>9672.84</v>
      </c>
      <c r="AH194" s="527">
        <f t="shared" si="57"/>
        <v>407.07</v>
      </c>
      <c r="AI194" s="525">
        <v>0</v>
      </c>
      <c r="AJ194" s="387">
        <v>0</v>
      </c>
      <c r="AK194" s="526">
        <f t="shared" si="61"/>
        <v>0</v>
      </c>
      <c r="AL194" s="526">
        <f t="shared" si="62"/>
        <v>0</v>
      </c>
      <c r="AM194" s="527">
        <f t="shared" si="58"/>
        <v>0</v>
      </c>
      <c r="AN194" s="387">
        <v>0</v>
      </c>
      <c r="AO194" s="387">
        <v>2022.77</v>
      </c>
      <c r="AP194" s="73"/>
      <c r="AQ194" s="241">
        <v>12211.299999999988</v>
      </c>
      <c r="AR194" s="659">
        <v>90682.59</v>
      </c>
    </row>
    <row r="195" spans="1:44">
      <c r="A195" s="236" t="s">
        <v>319</v>
      </c>
      <c r="B195" s="236" t="s">
        <v>318</v>
      </c>
      <c r="C195" s="236" t="str">
        <f t="shared" si="64"/>
        <v>14172 OCOSTA SCHOOL DISTRICT</v>
      </c>
      <c r="D195" s="387">
        <v>0</v>
      </c>
      <c r="E195" s="387">
        <v>0</v>
      </c>
      <c r="F195" s="387">
        <v>0</v>
      </c>
      <c r="G195" s="387">
        <v>685396.83</v>
      </c>
      <c r="H195" s="387">
        <v>75256.69</v>
      </c>
      <c r="I195" s="387">
        <v>185659.29</v>
      </c>
      <c r="J195" s="387">
        <v>286071.27</v>
      </c>
      <c r="K195" s="387">
        <v>127089.47</v>
      </c>
      <c r="L195" s="387">
        <v>0</v>
      </c>
      <c r="M195" s="387">
        <v>657988.56999999995</v>
      </c>
      <c r="N195" s="388">
        <v>2.7199999999999998E-2</v>
      </c>
      <c r="O195" s="389">
        <v>0.24479999999999999</v>
      </c>
      <c r="P195" s="387">
        <v>0</v>
      </c>
      <c r="Q195" s="387">
        <v>0</v>
      </c>
      <c r="R195" s="387">
        <v>0</v>
      </c>
      <c r="S195" s="387">
        <v>0</v>
      </c>
      <c r="T195" s="387">
        <v>0</v>
      </c>
      <c r="U195" s="387">
        <v>0</v>
      </c>
      <c r="V195" s="387">
        <v>0</v>
      </c>
      <c r="W195" s="387">
        <v>0</v>
      </c>
      <c r="X195" s="387">
        <v>0</v>
      </c>
      <c r="Y195" s="387">
        <v>667.13</v>
      </c>
      <c r="Z195" s="387">
        <v>0</v>
      </c>
      <c r="AA195" s="387">
        <v>0</v>
      </c>
      <c r="AB195" s="387">
        <v>101466.92</v>
      </c>
      <c r="AC195" s="387">
        <v>320427.51</v>
      </c>
      <c r="AD195" s="525">
        <v>31.2</v>
      </c>
      <c r="AE195" s="387">
        <v>289185.53999999998</v>
      </c>
      <c r="AF195" s="526">
        <f t="shared" si="59"/>
        <v>9268.77</v>
      </c>
      <c r="AG195" s="526">
        <f t="shared" si="60"/>
        <v>10270.11</v>
      </c>
      <c r="AH195" s="527">
        <f t="shared" si="57"/>
        <v>1001.34</v>
      </c>
      <c r="AI195" s="525">
        <v>10.62</v>
      </c>
      <c r="AJ195" s="387">
        <v>96582.399999999994</v>
      </c>
      <c r="AK195" s="526">
        <f t="shared" si="61"/>
        <v>9094.39</v>
      </c>
      <c r="AL195" s="526">
        <f t="shared" si="62"/>
        <v>9554.32</v>
      </c>
      <c r="AM195" s="527">
        <f t="shared" si="58"/>
        <v>459.93</v>
      </c>
      <c r="AN195" s="387">
        <v>12636.93</v>
      </c>
      <c r="AO195" s="387">
        <v>0</v>
      </c>
      <c r="AP195" s="73"/>
      <c r="AQ195" s="241">
        <v>53851.140000000007</v>
      </c>
      <c r="AR195" s="659">
        <v>67210.429999999993</v>
      </c>
    </row>
    <row r="196" spans="1:44">
      <c r="A196" s="236" t="s">
        <v>451</v>
      </c>
      <c r="B196" s="236" t="s">
        <v>450</v>
      </c>
      <c r="C196" s="236" t="str">
        <f t="shared" si="64"/>
        <v>22105 ODESSA SCHOOL DISTRICT</v>
      </c>
      <c r="D196" s="387">
        <v>0</v>
      </c>
      <c r="E196" s="387">
        <v>0</v>
      </c>
      <c r="F196" s="387">
        <v>0</v>
      </c>
      <c r="G196" s="387">
        <v>395715.96</v>
      </c>
      <c r="H196" s="387">
        <v>73661.97</v>
      </c>
      <c r="I196" s="387">
        <v>69699.259999999995</v>
      </c>
      <c r="J196" s="387">
        <v>82249.62</v>
      </c>
      <c r="K196" s="387">
        <v>0</v>
      </c>
      <c r="L196" s="387">
        <v>6611.33</v>
      </c>
      <c r="M196" s="387">
        <v>396647.75</v>
      </c>
      <c r="N196" s="388">
        <v>2.9700000000000001E-2</v>
      </c>
      <c r="O196" s="389">
        <v>0.22009999999999999</v>
      </c>
      <c r="P196" s="387">
        <v>0</v>
      </c>
      <c r="Q196" s="387">
        <v>0</v>
      </c>
      <c r="R196" s="387">
        <v>0</v>
      </c>
      <c r="S196" s="387">
        <v>0</v>
      </c>
      <c r="T196" s="387">
        <v>0</v>
      </c>
      <c r="U196" s="387">
        <v>0</v>
      </c>
      <c r="V196" s="387">
        <v>0</v>
      </c>
      <c r="W196" s="387">
        <v>0</v>
      </c>
      <c r="X196" s="387">
        <v>0</v>
      </c>
      <c r="Y196" s="387">
        <v>0</v>
      </c>
      <c r="Z196" s="387">
        <v>0</v>
      </c>
      <c r="AA196" s="387">
        <v>0</v>
      </c>
      <c r="AB196" s="387">
        <v>8793.4599999999991</v>
      </c>
      <c r="AC196" s="387">
        <v>120512.5</v>
      </c>
      <c r="AD196" s="525">
        <v>11.6</v>
      </c>
      <c r="AE196" s="387">
        <v>109593.95</v>
      </c>
      <c r="AF196" s="526">
        <f t="shared" si="59"/>
        <v>9447.75</v>
      </c>
      <c r="AG196" s="526">
        <f t="shared" si="60"/>
        <v>10389.01</v>
      </c>
      <c r="AH196" s="527">
        <f t="shared" si="57"/>
        <v>941.26</v>
      </c>
      <c r="AI196" s="525">
        <v>0.9</v>
      </c>
      <c r="AJ196" s="387">
        <v>8376.49</v>
      </c>
      <c r="AK196" s="526">
        <f t="shared" si="61"/>
        <v>9307.2099999999991</v>
      </c>
      <c r="AL196" s="526">
        <f t="shared" si="62"/>
        <v>9770.51</v>
      </c>
      <c r="AM196" s="527">
        <f t="shared" si="58"/>
        <v>463.3</v>
      </c>
      <c r="AN196" s="387">
        <v>0</v>
      </c>
      <c r="AO196" s="387">
        <v>0</v>
      </c>
      <c r="AP196" s="73"/>
      <c r="AQ196" s="241">
        <v>0</v>
      </c>
      <c r="AR196" s="659">
        <v>35026.479999999996</v>
      </c>
    </row>
    <row r="197" spans="1:44">
      <c r="A197" s="236" t="s">
        <v>477</v>
      </c>
      <c r="B197" s="236" t="s">
        <v>476</v>
      </c>
      <c r="C197" s="236" t="str">
        <f t="shared" si="64"/>
        <v>24105 OKANOGAN SCHOOL DISTRICT</v>
      </c>
      <c r="D197" s="387">
        <v>0</v>
      </c>
      <c r="E197" s="387">
        <v>0</v>
      </c>
      <c r="F197" s="387">
        <v>0</v>
      </c>
      <c r="G197" s="387">
        <v>1846089.24</v>
      </c>
      <c r="H197" s="387">
        <v>213656.71</v>
      </c>
      <c r="I197" s="387">
        <v>337703.03</v>
      </c>
      <c r="J197" s="387">
        <v>484758.45</v>
      </c>
      <c r="K197" s="387">
        <v>153887.41</v>
      </c>
      <c r="L197" s="387">
        <v>33103.86</v>
      </c>
      <c r="M197" s="387">
        <v>845279.33</v>
      </c>
      <c r="N197" s="388">
        <v>1.83E-2</v>
      </c>
      <c r="O197" s="389">
        <v>0.18240000000000001</v>
      </c>
      <c r="P197" s="387">
        <v>0</v>
      </c>
      <c r="Q197" s="387">
        <v>0</v>
      </c>
      <c r="R197" s="387">
        <v>0</v>
      </c>
      <c r="S197" s="387">
        <v>162968.76</v>
      </c>
      <c r="T197" s="387">
        <v>9421.5400000000063</v>
      </c>
      <c r="U197" s="387">
        <v>5765.86</v>
      </c>
      <c r="V197" s="387">
        <v>0</v>
      </c>
      <c r="W197" s="387">
        <v>0</v>
      </c>
      <c r="X197" s="387">
        <v>0</v>
      </c>
      <c r="Y197" s="387">
        <v>0</v>
      </c>
      <c r="Z197" s="387">
        <v>4785.55</v>
      </c>
      <c r="AA197" s="387">
        <v>51108.480000000003</v>
      </c>
      <c r="AB197" s="387">
        <v>193893.39</v>
      </c>
      <c r="AC197" s="387">
        <v>772947.24</v>
      </c>
      <c r="AD197" s="525">
        <v>79.77</v>
      </c>
      <c r="AE197" s="387">
        <v>742864.54</v>
      </c>
      <c r="AF197" s="526">
        <f t="shared" si="59"/>
        <v>9312.58</v>
      </c>
      <c r="AG197" s="526">
        <f t="shared" si="60"/>
        <v>9689.7000000000007</v>
      </c>
      <c r="AH197" s="527">
        <f t="shared" si="57"/>
        <v>377.12</v>
      </c>
      <c r="AI197" s="525">
        <v>20.190000000000001</v>
      </c>
      <c r="AJ197" s="387">
        <v>184265.22</v>
      </c>
      <c r="AK197" s="526">
        <f t="shared" si="61"/>
        <v>9126.56</v>
      </c>
      <c r="AL197" s="526">
        <f t="shared" si="62"/>
        <v>9603.44</v>
      </c>
      <c r="AM197" s="527">
        <f t="shared" si="58"/>
        <v>476.88</v>
      </c>
      <c r="AN197" s="387">
        <v>0</v>
      </c>
      <c r="AO197" s="387">
        <v>0</v>
      </c>
      <c r="AP197" s="73"/>
      <c r="AQ197" s="241">
        <v>21487.199999999968</v>
      </c>
      <c r="AR197" s="659">
        <v>115048.37</v>
      </c>
    </row>
    <row r="198" spans="1:44">
      <c r="A198" s="236" t="s">
        <v>647</v>
      </c>
      <c r="B198" s="236" t="s">
        <v>646</v>
      </c>
      <c r="C198" s="236" t="str">
        <f t="shared" si="64"/>
        <v>34111 OLYMPIA SCHOOL DISTRICT</v>
      </c>
      <c r="D198" s="387">
        <v>0</v>
      </c>
      <c r="E198" s="387">
        <v>116390.65</v>
      </c>
      <c r="F198" s="387">
        <v>11279.9</v>
      </c>
      <c r="G198" s="387">
        <v>20993144.870000001</v>
      </c>
      <c r="H198" s="387">
        <v>3617912.78</v>
      </c>
      <c r="I198" s="387">
        <v>200693.56</v>
      </c>
      <c r="J198" s="387">
        <v>2106105.73</v>
      </c>
      <c r="K198" s="387">
        <v>732705.72</v>
      </c>
      <c r="L198" s="387">
        <v>306475.09000000003</v>
      </c>
      <c r="M198" s="387">
        <v>5642560.7000000002</v>
      </c>
      <c r="N198" s="388">
        <v>3.8199999999999998E-2</v>
      </c>
      <c r="O198" s="389">
        <v>0.1542</v>
      </c>
      <c r="P198" s="387">
        <v>0</v>
      </c>
      <c r="Q198" s="387">
        <v>0</v>
      </c>
      <c r="R198" s="387">
        <v>0</v>
      </c>
      <c r="S198" s="387">
        <v>154947.49</v>
      </c>
      <c r="T198" s="387">
        <v>16898.860000000041</v>
      </c>
      <c r="U198" s="387">
        <v>5759.66</v>
      </c>
      <c r="V198" s="387">
        <v>0</v>
      </c>
      <c r="W198" s="387">
        <v>0</v>
      </c>
      <c r="X198" s="387">
        <v>0</v>
      </c>
      <c r="Y198" s="387">
        <v>1512.77</v>
      </c>
      <c r="Z198" s="387">
        <v>0</v>
      </c>
      <c r="AA198" s="387">
        <v>0</v>
      </c>
      <c r="AB198" s="387">
        <v>1305513.05</v>
      </c>
      <c r="AC198" s="387">
        <v>6205922.7800000003</v>
      </c>
      <c r="AD198" s="525">
        <v>574.41999999999996</v>
      </c>
      <c r="AE198" s="387">
        <v>5428441.3600000003</v>
      </c>
      <c r="AF198" s="526">
        <f t="shared" si="59"/>
        <v>9450.2999999999993</v>
      </c>
      <c r="AG198" s="526">
        <f t="shared" si="60"/>
        <v>10803.81</v>
      </c>
      <c r="AH198" s="527">
        <f t="shared" si="57"/>
        <v>1353.51</v>
      </c>
      <c r="AI198" s="525">
        <v>133.91999999999999</v>
      </c>
      <c r="AJ198" s="387">
        <v>1241364.76</v>
      </c>
      <c r="AK198" s="526">
        <f t="shared" si="61"/>
        <v>9269.4500000000007</v>
      </c>
      <c r="AL198" s="526">
        <f t="shared" si="62"/>
        <v>9748.4500000000007</v>
      </c>
      <c r="AM198" s="527">
        <f t="shared" si="58"/>
        <v>479</v>
      </c>
      <c r="AN198" s="387">
        <v>29100.66</v>
      </c>
      <c r="AO198" s="387">
        <v>0</v>
      </c>
      <c r="AP198" s="73"/>
      <c r="AQ198" s="241">
        <v>0</v>
      </c>
      <c r="AR198" s="659">
        <v>984741.94000000006</v>
      </c>
    </row>
    <row r="199" spans="1:44">
      <c r="A199" s="236" t="s">
        <v>475</v>
      </c>
      <c r="B199" s="236" t="s">
        <v>474</v>
      </c>
      <c r="C199" s="236" t="str">
        <f t="shared" si="64"/>
        <v>24019 OMAK SCHOOL DISTRICT</v>
      </c>
      <c r="D199" s="387">
        <v>0</v>
      </c>
      <c r="E199" s="387">
        <v>204855.31</v>
      </c>
      <c r="F199" s="387">
        <v>55465.27</v>
      </c>
      <c r="G199" s="387">
        <v>10407972.75</v>
      </c>
      <c r="H199" s="387">
        <v>1599120.62</v>
      </c>
      <c r="I199" s="387">
        <v>1850418.57</v>
      </c>
      <c r="J199" s="387">
        <v>2333522.64</v>
      </c>
      <c r="K199" s="387">
        <v>599410.23</v>
      </c>
      <c r="L199" s="387">
        <v>186309.19</v>
      </c>
      <c r="M199" s="387">
        <v>1278458.55</v>
      </c>
      <c r="N199" s="388">
        <v>5.16E-2</v>
      </c>
      <c r="O199" s="389">
        <v>0.1178</v>
      </c>
      <c r="P199" s="387">
        <v>0</v>
      </c>
      <c r="Q199" s="387">
        <v>0</v>
      </c>
      <c r="R199" s="387">
        <v>0</v>
      </c>
      <c r="S199" s="387">
        <v>0</v>
      </c>
      <c r="T199" s="387">
        <v>0</v>
      </c>
      <c r="U199" s="387">
        <v>0</v>
      </c>
      <c r="V199" s="387">
        <v>0</v>
      </c>
      <c r="W199" s="387">
        <v>0</v>
      </c>
      <c r="X199" s="387">
        <v>0</v>
      </c>
      <c r="Y199" s="387">
        <v>6766.17</v>
      </c>
      <c r="Z199" s="387">
        <v>13939.89</v>
      </c>
      <c r="AA199" s="387">
        <v>77175.929999999993</v>
      </c>
      <c r="AB199" s="387">
        <v>327046.06</v>
      </c>
      <c r="AC199" s="387">
        <v>1406404.96</v>
      </c>
      <c r="AD199" s="525">
        <v>124.25</v>
      </c>
      <c r="AE199" s="387">
        <v>1151181.45</v>
      </c>
      <c r="AF199" s="526">
        <f t="shared" si="59"/>
        <v>9265.0400000000009</v>
      </c>
      <c r="AG199" s="526">
        <f t="shared" si="60"/>
        <v>11319.15</v>
      </c>
      <c r="AH199" s="527">
        <f t="shared" ref="AH199:AH262" si="65">ROUND(AG199-AF199,2)</f>
        <v>2054.11</v>
      </c>
      <c r="AI199" s="525">
        <v>34.26</v>
      </c>
      <c r="AJ199" s="387">
        <v>311145.99</v>
      </c>
      <c r="AK199" s="526">
        <f t="shared" si="61"/>
        <v>9081.9</v>
      </c>
      <c r="AL199" s="526">
        <f t="shared" si="62"/>
        <v>9546</v>
      </c>
      <c r="AM199" s="527">
        <f t="shared" ref="AM199:AM262" si="66">ROUND(AL199-AK199,2)</f>
        <v>464.1</v>
      </c>
      <c r="AN199" s="387">
        <v>0</v>
      </c>
      <c r="AO199" s="387">
        <v>0</v>
      </c>
      <c r="AP199" s="73"/>
      <c r="AQ199" s="241">
        <v>0</v>
      </c>
      <c r="AR199" s="659">
        <v>278382.30000000005</v>
      </c>
    </row>
    <row r="200" spans="1:44">
      <c r="A200" s="236" t="s">
        <v>433</v>
      </c>
      <c r="B200" s="236" t="s">
        <v>432</v>
      </c>
      <c r="C200" s="236" t="str">
        <f t="shared" si="64"/>
        <v>21300 ONALASKA SCHOOL DISTRICT</v>
      </c>
      <c r="D200" s="387">
        <v>0</v>
      </c>
      <c r="E200" s="387">
        <v>1205.56</v>
      </c>
      <c r="F200" s="387">
        <v>0</v>
      </c>
      <c r="G200" s="387">
        <v>1858255.85</v>
      </c>
      <c r="H200" s="387">
        <v>333597.21000000002</v>
      </c>
      <c r="I200" s="387">
        <v>269498.42</v>
      </c>
      <c r="J200" s="387">
        <v>329940.58</v>
      </c>
      <c r="K200" s="387">
        <v>49151.22</v>
      </c>
      <c r="L200" s="387">
        <v>26646.55</v>
      </c>
      <c r="M200" s="387">
        <v>768328.34</v>
      </c>
      <c r="N200" s="388">
        <v>4.41E-2</v>
      </c>
      <c r="O200" s="389">
        <v>0.19389999999999999</v>
      </c>
      <c r="P200" s="387">
        <v>0</v>
      </c>
      <c r="Q200" s="387">
        <v>0</v>
      </c>
      <c r="R200" s="387">
        <v>0</v>
      </c>
      <c r="S200" s="387">
        <v>0</v>
      </c>
      <c r="T200" s="387">
        <v>0</v>
      </c>
      <c r="U200" s="387">
        <v>0</v>
      </c>
      <c r="V200" s="387">
        <v>0</v>
      </c>
      <c r="W200" s="387">
        <v>0</v>
      </c>
      <c r="X200" s="387">
        <v>0</v>
      </c>
      <c r="Y200" s="387">
        <v>1033.05</v>
      </c>
      <c r="Z200" s="387">
        <v>408.12</v>
      </c>
      <c r="AA200" s="387">
        <v>80443.58</v>
      </c>
      <c r="AB200" s="387">
        <v>158292.70000000001</v>
      </c>
      <c r="AC200" s="387">
        <v>907044.95</v>
      </c>
      <c r="AD200" s="525">
        <v>90.52</v>
      </c>
      <c r="AE200" s="387">
        <v>838835.36</v>
      </c>
      <c r="AF200" s="526">
        <f t="shared" ref="AF200:AF263" si="67">IFERROR(ROUND(AE200/AD200,2),0)</f>
        <v>9266.85</v>
      </c>
      <c r="AG200" s="526">
        <f t="shared" ref="AG200:AG263" si="68">IFERROR(ROUND(AC200/AD200,2),0)</f>
        <v>10020.379999999999</v>
      </c>
      <c r="AH200" s="527">
        <f t="shared" si="65"/>
        <v>753.53</v>
      </c>
      <c r="AI200" s="525">
        <v>16.579999999999998</v>
      </c>
      <c r="AJ200" s="387">
        <v>150540.38</v>
      </c>
      <c r="AK200" s="526">
        <f t="shared" ref="AK200:AK263" si="69">IFERROR(ROUND(AJ200/AI200,2),0)</f>
        <v>9079.64</v>
      </c>
      <c r="AL200" s="526">
        <f t="shared" ref="AL200:AL263" si="70">IFERROR(ROUND(AB200/AI200,2),0)</f>
        <v>9547.2099999999991</v>
      </c>
      <c r="AM200" s="527">
        <f t="shared" si="66"/>
        <v>467.57</v>
      </c>
      <c r="AN200" s="387">
        <v>0</v>
      </c>
      <c r="AO200" s="387">
        <v>0</v>
      </c>
      <c r="AP200" s="73"/>
      <c r="AQ200" s="241">
        <v>0</v>
      </c>
      <c r="AR200" s="659">
        <v>97355.700000000012</v>
      </c>
    </row>
    <row r="201" spans="1:44">
      <c r="A201" s="236" t="s">
        <v>619</v>
      </c>
      <c r="B201" s="238" t="s">
        <v>618</v>
      </c>
      <c r="C201" s="236" t="str">
        <f t="shared" si="64"/>
        <v>33030 ONION CREEK SCHOOL DISTRICT</v>
      </c>
      <c r="D201" s="387">
        <v>0</v>
      </c>
      <c r="E201" s="387">
        <v>0</v>
      </c>
      <c r="F201" s="387">
        <v>0</v>
      </c>
      <c r="G201" s="387">
        <v>68842.429999999993</v>
      </c>
      <c r="H201" s="387">
        <v>8799.93</v>
      </c>
      <c r="I201" s="387">
        <v>12673.43</v>
      </c>
      <c r="J201" s="387">
        <v>20539.68</v>
      </c>
      <c r="K201" s="387">
        <v>0</v>
      </c>
      <c r="L201" s="387">
        <v>0</v>
      </c>
      <c r="M201" s="387">
        <v>108650.78</v>
      </c>
      <c r="N201" s="388">
        <v>6.6799999999999998E-2</v>
      </c>
      <c r="O201" s="389">
        <v>0.2223</v>
      </c>
      <c r="P201" s="387">
        <v>0</v>
      </c>
      <c r="Q201" s="387">
        <v>0</v>
      </c>
      <c r="R201" s="387">
        <v>0</v>
      </c>
      <c r="S201" s="387">
        <v>0</v>
      </c>
      <c r="T201" s="387">
        <v>0</v>
      </c>
      <c r="U201" s="387">
        <v>0</v>
      </c>
      <c r="V201" s="387">
        <v>0</v>
      </c>
      <c r="W201" s="387">
        <v>0</v>
      </c>
      <c r="X201" s="387">
        <v>0</v>
      </c>
      <c r="Y201" s="387">
        <v>0</v>
      </c>
      <c r="Z201" s="387">
        <v>0</v>
      </c>
      <c r="AA201" s="387">
        <v>0</v>
      </c>
      <c r="AB201" s="387">
        <v>0</v>
      </c>
      <c r="AC201" s="387">
        <v>0</v>
      </c>
      <c r="AD201" s="525">
        <v>0</v>
      </c>
      <c r="AE201" s="387">
        <v>0</v>
      </c>
      <c r="AF201" s="526">
        <f t="shared" si="67"/>
        <v>0</v>
      </c>
      <c r="AG201" s="526">
        <f t="shared" si="68"/>
        <v>0</v>
      </c>
      <c r="AH201" s="527">
        <f t="shared" si="65"/>
        <v>0</v>
      </c>
      <c r="AI201" s="525">
        <v>0</v>
      </c>
      <c r="AJ201" s="387">
        <v>0</v>
      </c>
      <c r="AK201" s="526">
        <f t="shared" si="69"/>
        <v>0</v>
      </c>
      <c r="AL201" s="526">
        <f t="shared" si="70"/>
        <v>0</v>
      </c>
      <c r="AM201" s="527">
        <f t="shared" si="66"/>
        <v>0</v>
      </c>
      <c r="AN201" s="387">
        <v>0</v>
      </c>
      <c r="AO201" s="387">
        <v>0</v>
      </c>
      <c r="AP201" s="73"/>
      <c r="AQ201" s="241">
        <v>15378.309999999994</v>
      </c>
      <c r="AR201" s="659">
        <v>6783</v>
      </c>
    </row>
    <row r="202" spans="1:44">
      <c r="A202" s="236" t="s">
        <v>538</v>
      </c>
      <c r="B202" s="236" t="s">
        <v>537</v>
      </c>
      <c r="C202" s="236" t="str">
        <f t="shared" si="64"/>
        <v>28137 ORCAS SCHOOL DISTRICT</v>
      </c>
      <c r="D202" s="387">
        <v>0</v>
      </c>
      <c r="E202" s="387">
        <v>0</v>
      </c>
      <c r="F202" s="387">
        <v>0</v>
      </c>
      <c r="G202" s="387">
        <v>1731389.27</v>
      </c>
      <c r="H202" s="387">
        <v>134059.10999999999</v>
      </c>
      <c r="I202" s="387">
        <v>0</v>
      </c>
      <c r="J202" s="387">
        <v>151875.95000000001</v>
      </c>
      <c r="K202" s="387">
        <v>107939.92</v>
      </c>
      <c r="L202" s="387">
        <v>26787.56</v>
      </c>
      <c r="M202" s="387">
        <v>216402.52</v>
      </c>
      <c r="N202" s="388">
        <v>0.1123</v>
      </c>
      <c r="O202" s="389">
        <v>0.2611</v>
      </c>
      <c r="P202" s="387">
        <v>0</v>
      </c>
      <c r="Q202" s="387">
        <v>0</v>
      </c>
      <c r="R202" s="387">
        <v>0</v>
      </c>
      <c r="S202" s="387">
        <v>0</v>
      </c>
      <c r="T202" s="387">
        <v>0</v>
      </c>
      <c r="U202" s="387">
        <v>0</v>
      </c>
      <c r="V202" s="387">
        <v>0</v>
      </c>
      <c r="W202" s="387">
        <v>0</v>
      </c>
      <c r="X202" s="387">
        <v>0</v>
      </c>
      <c r="Y202" s="387">
        <v>0</v>
      </c>
      <c r="Z202" s="387">
        <v>0</v>
      </c>
      <c r="AA202" s="387">
        <v>9941.42</v>
      </c>
      <c r="AB202" s="387">
        <v>0</v>
      </c>
      <c r="AC202" s="387">
        <v>131815.13</v>
      </c>
      <c r="AD202" s="525">
        <v>12.73</v>
      </c>
      <c r="AE202" s="387">
        <v>127912.78</v>
      </c>
      <c r="AF202" s="526">
        <f t="shared" si="67"/>
        <v>10048.14</v>
      </c>
      <c r="AG202" s="526">
        <f t="shared" si="68"/>
        <v>10354.68</v>
      </c>
      <c r="AH202" s="527">
        <f t="shared" si="65"/>
        <v>306.54000000000002</v>
      </c>
      <c r="AI202" s="525">
        <v>0</v>
      </c>
      <c r="AJ202" s="387">
        <v>0</v>
      </c>
      <c r="AK202" s="526">
        <f t="shared" si="69"/>
        <v>0</v>
      </c>
      <c r="AL202" s="526">
        <f t="shared" si="70"/>
        <v>0</v>
      </c>
      <c r="AM202" s="527">
        <f t="shared" si="66"/>
        <v>0</v>
      </c>
      <c r="AN202" s="387">
        <v>2460.4299999999998</v>
      </c>
      <c r="AO202" s="387">
        <v>0</v>
      </c>
      <c r="AP202" s="73"/>
      <c r="AQ202" s="241">
        <v>130214.12</v>
      </c>
      <c r="AR202" s="659">
        <v>64214.799999999996</v>
      </c>
    </row>
    <row r="203" spans="1:44">
      <c r="A203" s="236" t="s">
        <v>595</v>
      </c>
      <c r="B203" s="236" t="s">
        <v>594</v>
      </c>
      <c r="C203" s="236" t="str">
        <f t="shared" si="64"/>
        <v>32123 ORCHARD PRAIRIE SCHOOL DISTRICT</v>
      </c>
      <c r="D203" s="387">
        <v>0</v>
      </c>
      <c r="E203" s="387">
        <v>0</v>
      </c>
      <c r="F203" s="387">
        <v>0</v>
      </c>
      <c r="G203" s="387">
        <v>85465.51</v>
      </c>
      <c r="H203" s="387">
        <v>6906.9</v>
      </c>
      <c r="I203" s="387">
        <v>0</v>
      </c>
      <c r="J203" s="387">
        <v>2058.0700000000002</v>
      </c>
      <c r="K203" s="387">
        <v>0</v>
      </c>
      <c r="L203" s="387">
        <v>0</v>
      </c>
      <c r="M203" s="387">
        <v>41417.230000000003</v>
      </c>
      <c r="N203" s="388">
        <v>3.0599999999999999E-2</v>
      </c>
      <c r="O203" s="389">
        <v>0.2918</v>
      </c>
      <c r="P203" s="387">
        <v>0</v>
      </c>
      <c r="Q203" s="387">
        <v>0</v>
      </c>
      <c r="R203" s="387">
        <v>0</v>
      </c>
      <c r="S203" s="387">
        <v>0</v>
      </c>
      <c r="T203" s="387">
        <v>0</v>
      </c>
      <c r="U203" s="387">
        <v>0</v>
      </c>
      <c r="V203" s="387">
        <v>0</v>
      </c>
      <c r="W203" s="387">
        <v>0</v>
      </c>
      <c r="X203" s="387">
        <v>0</v>
      </c>
      <c r="Y203" s="387">
        <v>88.13</v>
      </c>
      <c r="Z203" s="387">
        <v>0</v>
      </c>
      <c r="AA203" s="387">
        <v>0</v>
      </c>
      <c r="AB203" s="387">
        <v>0</v>
      </c>
      <c r="AC203" s="387">
        <v>0</v>
      </c>
      <c r="AD203" s="525">
        <v>0</v>
      </c>
      <c r="AE203" s="387">
        <v>0</v>
      </c>
      <c r="AF203" s="526">
        <f t="shared" si="67"/>
        <v>0</v>
      </c>
      <c r="AG203" s="526">
        <f t="shared" si="68"/>
        <v>0</v>
      </c>
      <c r="AH203" s="527">
        <f t="shared" si="65"/>
        <v>0</v>
      </c>
      <c r="AI203" s="525">
        <v>0</v>
      </c>
      <c r="AJ203" s="387">
        <v>0</v>
      </c>
      <c r="AK203" s="526">
        <f t="shared" si="69"/>
        <v>0</v>
      </c>
      <c r="AL203" s="526">
        <f t="shared" si="70"/>
        <v>0</v>
      </c>
      <c r="AM203" s="527">
        <f t="shared" si="66"/>
        <v>0</v>
      </c>
      <c r="AN203" s="387">
        <v>0</v>
      </c>
      <c r="AO203" s="387">
        <v>0</v>
      </c>
      <c r="AP203" s="73"/>
      <c r="AQ203" s="241">
        <v>29664.219999999994</v>
      </c>
      <c r="AR203" s="659">
        <v>9986.4700000000012</v>
      </c>
    </row>
    <row r="204" spans="1:44">
      <c r="A204" s="236" t="s">
        <v>262</v>
      </c>
      <c r="B204" s="236" t="s">
        <v>261</v>
      </c>
      <c r="C204" s="236" t="str">
        <f t="shared" si="64"/>
        <v>10065 ORIENT SCHOOL DISTRICT</v>
      </c>
      <c r="D204" s="387">
        <v>0</v>
      </c>
      <c r="E204" s="387">
        <v>0</v>
      </c>
      <c r="F204" s="387">
        <v>998.25</v>
      </c>
      <c r="G204" s="387">
        <v>80235.13</v>
      </c>
      <c r="H204" s="387">
        <v>6546.72</v>
      </c>
      <c r="I204" s="387">
        <v>10925.36</v>
      </c>
      <c r="J204" s="387">
        <v>17152.82</v>
      </c>
      <c r="K204" s="387">
        <v>0</v>
      </c>
      <c r="L204" s="387">
        <v>1311.04</v>
      </c>
      <c r="M204" s="387">
        <v>305471.28999999998</v>
      </c>
      <c r="N204" s="388">
        <v>4.0300000000000002E-2</v>
      </c>
      <c r="O204" s="389">
        <v>0.24210000000000001</v>
      </c>
      <c r="P204" s="387">
        <v>0</v>
      </c>
      <c r="Q204" s="387">
        <v>0</v>
      </c>
      <c r="R204" s="387">
        <v>0</v>
      </c>
      <c r="S204" s="387">
        <v>0</v>
      </c>
      <c r="T204" s="387">
        <v>0</v>
      </c>
      <c r="U204" s="387">
        <v>0</v>
      </c>
      <c r="V204" s="387">
        <v>0</v>
      </c>
      <c r="W204" s="387">
        <v>0</v>
      </c>
      <c r="X204" s="387">
        <v>0</v>
      </c>
      <c r="Y204" s="387">
        <v>0</v>
      </c>
      <c r="Z204" s="387">
        <v>0</v>
      </c>
      <c r="AA204" s="387">
        <v>0</v>
      </c>
      <c r="AB204" s="387">
        <v>0</v>
      </c>
      <c r="AC204" s="387">
        <v>0</v>
      </c>
      <c r="AD204" s="525">
        <v>0</v>
      </c>
      <c r="AE204" s="387">
        <v>0</v>
      </c>
      <c r="AF204" s="526">
        <f t="shared" si="67"/>
        <v>0</v>
      </c>
      <c r="AG204" s="526">
        <f t="shared" si="68"/>
        <v>0</v>
      </c>
      <c r="AH204" s="527">
        <f t="shared" si="65"/>
        <v>0</v>
      </c>
      <c r="AI204" s="525">
        <v>0</v>
      </c>
      <c r="AJ204" s="387">
        <v>0</v>
      </c>
      <c r="AK204" s="526">
        <f t="shared" si="69"/>
        <v>0</v>
      </c>
      <c r="AL204" s="526">
        <f t="shared" si="70"/>
        <v>0</v>
      </c>
      <c r="AM204" s="527">
        <f t="shared" si="66"/>
        <v>0</v>
      </c>
      <c r="AN204" s="387">
        <v>373.33</v>
      </c>
      <c r="AO204" s="387">
        <v>0</v>
      </c>
      <c r="AP204" s="73"/>
      <c r="AQ204" s="241">
        <v>4420.3200000000006</v>
      </c>
      <c r="AR204" s="659">
        <v>6831.3799999999992</v>
      </c>
    </row>
    <row r="205" spans="1:44">
      <c r="A205" s="236" t="s">
        <v>246</v>
      </c>
      <c r="B205" s="236" t="s">
        <v>245</v>
      </c>
      <c r="C205" s="236" t="str">
        <f t="shared" si="64"/>
        <v>09013 ORONDO SCHOOL DISTRICT</v>
      </c>
      <c r="D205" s="387">
        <v>0</v>
      </c>
      <c r="E205" s="387">
        <v>0</v>
      </c>
      <c r="F205" s="387">
        <v>0</v>
      </c>
      <c r="G205" s="387">
        <v>0</v>
      </c>
      <c r="H205" s="387">
        <v>0</v>
      </c>
      <c r="I205" s="387">
        <v>34662.17</v>
      </c>
      <c r="J205" s="387">
        <v>67482.92</v>
      </c>
      <c r="K205" s="387">
        <v>91265.58</v>
      </c>
      <c r="L205" s="387">
        <v>3357.9</v>
      </c>
      <c r="M205" s="387">
        <v>349175.07</v>
      </c>
      <c r="N205" s="388">
        <v>0.14829999999999999</v>
      </c>
      <c r="O205" s="389">
        <v>0.27489999999999998</v>
      </c>
      <c r="P205" s="387">
        <v>0</v>
      </c>
      <c r="Q205" s="387">
        <v>0</v>
      </c>
      <c r="R205" s="387">
        <v>0</v>
      </c>
      <c r="S205" s="387">
        <v>0</v>
      </c>
      <c r="T205" s="387">
        <v>0</v>
      </c>
      <c r="U205" s="387">
        <v>0</v>
      </c>
      <c r="V205" s="387">
        <v>0</v>
      </c>
      <c r="W205" s="387">
        <v>0</v>
      </c>
      <c r="X205" s="387">
        <v>0</v>
      </c>
      <c r="Y205" s="387">
        <v>139.44999999999999</v>
      </c>
      <c r="Z205" s="387">
        <v>0</v>
      </c>
      <c r="AA205" s="387">
        <v>0</v>
      </c>
      <c r="AB205" s="387">
        <v>28945.74</v>
      </c>
      <c r="AC205" s="387">
        <v>0</v>
      </c>
      <c r="AD205" s="525">
        <v>0</v>
      </c>
      <c r="AE205" s="387">
        <v>0</v>
      </c>
      <c r="AF205" s="526">
        <f t="shared" si="67"/>
        <v>0</v>
      </c>
      <c r="AG205" s="526">
        <f t="shared" si="68"/>
        <v>0</v>
      </c>
      <c r="AH205" s="527">
        <f t="shared" si="65"/>
        <v>0</v>
      </c>
      <c r="AI205" s="525">
        <v>3.02</v>
      </c>
      <c r="AJ205" s="387">
        <v>27454.84</v>
      </c>
      <c r="AK205" s="526">
        <f t="shared" si="69"/>
        <v>9091.01</v>
      </c>
      <c r="AL205" s="526">
        <f t="shared" si="70"/>
        <v>9584.68</v>
      </c>
      <c r="AM205" s="527">
        <f t="shared" si="66"/>
        <v>493.67</v>
      </c>
      <c r="AN205" s="387">
        <v>0</v>
      </c>
      <c r="AO205" s="387">
        <v>0</v>
      </c>
      <c r="AP205" s="73"/>
      <c r="AQ205" s="241">
        <v>0</v>
      </c>
      <c r="AR205" s="659">
        <v>13934.079999999998</v>
      </c>
    </row>
    <row r="206" spans="1:44">
      <c r="A206" s="236" t="s">
        <v>487</v>
      </c>
      <c r="B206" s="236" t="s">
        <v>486</v>
      </c>
      <c r="C206" s="236" t="str">
        <f t="shared" si="64"/>
        <v>24410 OROVILLE SCHOOL DISTRICT</v>
      </c>
      <c r="D206" s="387">
        <v>0</v>
      </c>
      <c r="E206" s="387">
        <v>11687.08</v>
      </c>
      <c r="F206" s="387">
        <v>0</v>
      </c>
      <c r="G206" s="387">
        <v>920186.3</v>
      </c>
      <c r="H206" s="387">
        <v>103448.68</v>
      </c>
      <c r="I206" s="387">
        <v>151755.34</v>
      </c>
      <c r="J206" s="387">
        <v>241768.67</v>
      </c>
      <c r="K206" s="387">
        <v>102567.18</v>
      </c>
      <c r="L206" s="387">
        <v>0</v>
      </c>
      <c r="M206" s="387">
        <v>251275.17</v>
      </c>
      <c r="N206" s="388">
        <v>3.39E-2</v>
      </c>
      <c r="O206" s="389">
        <v>0.32400000000000001</v>
      </c>
      <c r="P206" s="387">
        <v>0</v>
      </c>
      <c r="Q206" s="387">
        <v>0</v>
      </c>
      <c r="R206" s="387">
        <v>0</v>
      </c>
      <c r="S206" s="387">
        <v>0</v>
      </c>
      <c r="T206" s="387">
        <v>0</v>
      </c>
      <c r="U206" s="387">
        <v>0</v>
      </c>
      <c r="V206" s="387">
        <v>0</v>
      </c>
      <c r="W206" s="387">
        <v>0</v>
      </c>
      <c r="X206" s="387">
        <v>0</v>
      </c>
      <c r="Y206" s="387">
        <v>0</v>
      </c>
      <c r="Z206" s="387">
        <v>0</v>
      </c>
      <c r="AA206" s="387">
        <v>0</v>
      </c>
      <c r="AB206" s="387">
        <v>54122.95</v>
      </c>
      <c r="AC206" s="387">
        <v>291962.7</v>
      </c>
      <c r="AD206" s="525">
        <v>30.57</v>
      </c>
      <c r="AE206" s="387">
        <v>283182.31</v>
      </c>
      <c r="AF206" s="526">
        <f t="shared" si="67"/>
        <v>9263.41</v>
      </c>
      <c r="AG206" s="526">
        <f t="shared" si="68"/>
        <v>9550.6299999999992</v>
      </c>
      <c r="AH206" s="527">
        <f t="shared" si="65"/>
        <v>287.22000000000003</v>
      </c>
      <c r="AI206" s="525">
        <v>5.67</v>
      </c>
      <c r="AJ206" s="387">
        <v>51396.47</v>
      </c>
      <c r="AK206" s="526">
        <f t="shared" si="69"/>
        <v>9064.6299999999992</v>
      </c>
      <c r="AL206" s="526">
        <f t="shared" si="70"/>
        <v>9545.49</v>
      </c>
      <c r="AM206" s="527">
        <f t="shared" si="66"/>
        <v>480.86</v>
      </c>
      <c r="AN206" s="387">
        <v>0</v>
      </c>
      <c r="AO206" s="387">
        <v>0</v>
      </c>
      <c r="AP206" s="73"/>
      <c r="AQ206" s="241">
        <v>0</v>
      </c>
      <c r="AR206" s="659">
        <v>63447.87</v>
      </c>
    </row>
    <row r="207" spans="1:44">
      <c r="A207" s="236" t="s">
        <v>520</v>
      </c>
      <c r="B207" s="236" t="s">
        <v>519</v>
      </c>
      <c r="C207" s="236" t="str">
        <f t="shared" si="64"/>
        <v>27344 ORTING SCHOOL DISTRICT</v>
      </c>
      <c r="D207" s="387">
        <v>0</v>
      </c>
      <c r="E207" s="387">
        <v>19436.45</v>
      </c>
      <c r="F207" s="387">
        <v>0</v>
      </c>
      <c r="G207" s="387">
        <v>7410068.5700000003</v>
      </c>
      <c r="H207" s="387">
        <v>997624.19</v>
      </c>
      <c r="I207" s="387">
        <v>0</v>
      </c>
      <c r="J207" s="387">
        <v>632896.80000000005</v>
      </c>
      <c r="K207" s="387">
        <v>357131.01</v>
      </c>
      <c r="L207" s="387">
        <v>91504.53</v>
      </c>
      <c r="M207" s="387">
        <v>2561425.81</v>
      </c>
      <c r="N207" s="388">
        <v>5.9400000000000001E-2</v>
      </c>
      <c r="O207" s="389">
        <v>0.19</v>
      </c>
      <c r="P207" s="387">
        <v>0</v>
      </c>
      <c r="Q207" s="387">
        <v>0</v>
      </c>
      <c r="R207" s="387">
        <v>0</v>
      </c>
      <c r="S207" s="387">
        <v>0</v>
      </c>
      <c r="T207" s="387">
        <v>0</v>
      </c>
      <c r="U207" s="387">
        <v>0</v>
      </c>
      <c r="V207" s="387">
        <v>0</v>
      </c>
      <c r="W207" s="387">
        <v>0</v>
      </c>
      <c r="X207" s="387">
        <v>0</v>
      </c>
      <c r="Y207" s="387">
        <v>3211.84</v>
      </c>
      <c r="Z207" s="387">
        <v>14997.64</v>
      </c>
      <c r="AA207" s="387">
        <v>5389.34</v>
      </c>
      <c r="AB207" s="387">
        <v>918558.84</v>
      </c>
      <c r="AC207" s="387">
        <v>2839029.46</v>
      </c>
      <c r="AD207" s="525">
        <v>280.97000000000003</v>
      </c>
      <c r="AE207" s="387">
        <v>2711006.32</v>
      </c>
      <c r="AF207" s="526">
        <f t="shared" si="67"/>
        <v>9648.74</v>
      </c>
      <c r="AG207" s="526">
        <f t="shared" si="68"/>
        <v>10104.39</v>
      </c>
      <c r="AH207" s="527">
        <f t="shared" si="65"/>
        <v>455.65</v>
      </c>
      <c r="AI207" s="525">
        <v>92.31</v>
      </c>
      <c r="AJ207" s="387">
        <v>874036.25</v>
      </c>
      <c r="AK207" s="526">
        <f t="shared" si="69"/>
        <v>9468.49</v>
      </c>
      <c r="AL207" s="526">
        <f t="shared" si="70"/>
        <v>9950.81</v>
      </c>
      <c r="AM207" s="527">
        <f t="shared" si="66"/>
        <v>482.32</v>
      </c>
      <c r="AN207" s="387">
        <v>0</v>
      </c>
      <c r="AO207" s="387">
        <v>0</v>
      </c>
      <c r="AP207" s="73"/>
      <c r="AQ207" s="241">
        <v>0</v>
      </c>
      <c r="AR207" s="659">
        <v>323287.94000000006</v>
      </c>
    </row>
    <row r="208" spans="1:44">
      <c r="A208" s="236" t="s">
        <v>168</v>
      </c>
      <c r="B208" s="236" t="s">
        <v>167</v>
      </c>
      <c r="C208" s="236" t="str">
        <f t="shared" si="64"/>
        <v>01147 OTHELLO SCHOOL DISTRICT</v>
      </c>
      <c r="D208" s="387">
        <v>179562.77</v>
      </c>
      <c r="E208" s="387">
        <v>0</v>
      </c>
      <c r="F208" s="387">
        <v>62619.6</v>
      </c>
      <c r="G208" s="387">
        <v>6009017.3499999996</v>
      </c>
      <c r="H208" s="387">
        <v>1070959.19</v>
      </c>
      <c r="I208" s="387">
        <v>1432739.36</v>
      </c>
      <c r="J208" s="387">
        <v>2502500.7599999998</v>
      </c>
      <c r="K208" s="387">
        <v>3282149.62</v>
      </c>
      <c r="L208" s="387">
        <v>139190.32</v>
      </c>
      <c r="M208" s="387">
        <v>2924899.21</v>
      </c>
      <c r="N208" s="388">
        <v>4.1300000000000003E-2</v>
      </c>
      <c r="O208" s="389">
        <v>0.14860000000000001</v>
      </c>
      <c r="P208" s="387">
        <v>0</v>
      </c>
      <c r="Q208" s="387">
        <v>0</v>
      </c>
      <c r="R208" s="387">
        <v>0</v>
      </c>
      <c r="S208" s="387">
        <v>0</v>
      </c>
      <c r="T208" s="387">
        <v>0</v>
      </c>
      <c r="U208" s="387">
        <v>0</v>
      </c>
      <c r="V208" s="387">
        <v>0</v>
      </c>
      <c r="W208" s="387">
        <v>0</v>
      </c>
      <c r="X208" s="387">
        <v>0</v>
      </c>
      <c r="Y208" s="387">
        <v>0</v>
      </c>
      <c r="Z208" s="387">
        <v>0</v>
      </c>
      <c r="AA208" s="387">
        <v>203582.48</v>
      </c>
      <c r="AB208" s="387">
        <v>273537.8</v>
      </c>
      <c r="AC208" s="387">
        <v>2765137.45</v>
      </c>
      <c r="AD208" s="525">
        <v>274.10000000000002</v>
      </c>
      <c r="AE208" s="387">
        <v>2539772.33</v>
      </c>
      <c r="AF208" s="526">
        <f t="shared" si="67"/>
        <v>9265.86</v>
      </c>
      <c r="AG208" s="526">
        <f t="shared" si="68"/>
        <v>10088.06</v>
      </c>
      <c r="AH208" s="527">
        <f t="shared" si="65"/>
        <v>822.2</v>
      </c>
      <c r="AI208" s="525">
        <v>28.66</v>
      </c>
      <c r="AJ208" s="387">
        <v>260314.56</v>
      </c>
      <c r="AK208" s="526">
        <f t="shared" si="69"/>
        <v>9082.85</v>
      </c>
      <c r="AL208" s="526">
        <f t="shared" si="70"/>
        <v>9544.24</v>
      </c>
      <c r="AM208" s="527">
        <f t="shared" si="66"/>
        <v>461.39</v>
      </c>
      <c r="AN208" s="387">
        <v>5077.84</v>
      </c>
      <c r="AO208" s="387">
        <v>0</v>
      </c>
      <c r="AP208" s="73"/>
      <c r="AQ208" s="241">
        <v>1015607.3799999999</v>
      </c>
      <c r="AR208" s="659">
        <v>546133.62</v>
      </c>
    </row>
    <row r="209" spans="1:44">
      <c r="A209" s="236" t="s">
        <v>250</v>
      </c>
      <c r="B209" s="236" t="s">
        <v>249</v>
      </c>
      <c r="C209" s="236" t="str">
        <f t="shared" si="64"/>
        <v>09102 PALISADES SCHOOL DISTRICT</v>
      </c>
      <c r="D209" s="387">
        <v>0</v>
      </c>
      <c r="E209" s="387">
        <v>347.98</v>
      </c>
      <c r="F209" s="387">
        <v>108.02</v>
      </c>
      <c r="G209" s="387">
        <v>0</v>
      </c>
      <c r="H209" s="387">
        <v>0</v>
      </c>
      <c r="I209" s="387">
        <v>8448.9</v>
      </c>
      <c r="J209" s="387">
        <v>16897.8</v>
      </c>
      <c r="K209" s="387">
        <v>13647.2</v>
      </c>
      <c r="L209" s="387">
        <v>974.87</v>
      </c>
      <c r="M209" s="387">
        <v>105142.97</v>
      </c>
      <c r="N209" s="388">
        <v>0.1046</v>
      </c>
      <c r="O209" s="389">
        <v>0.48349999999999999</v>
      </c>
      <c r="P209" s="387">
        <v>0</v>
      </c>
      <c r="Q209" s="387">
        <v>0</v>
      </c>
      <c r="R209" s="387">
        <v>0</v>
      </c>
      <c r="S209" s="387">
        <v>0</v>
      </c>
      <c r="T209" s="387">
        <v>0</v>
      </c>
      <c r="U209" s="387">
        <v>0</v>
      </c>
      <c r="V209" s="387">
        <v>0</v>
      </c>
      <c r="W209" s="387">
        <v>0</v>
      </c>
      <c r="X209" s="387">
        <v>0</v>
      </c>
      <c r="Y209" s="387">
        <v>0</v>
      </c>
      <c r="Z209" s="387">
        <v>0</v>
      </c>
      <c r="AA209" s="387">
        <v>0</v>
      </c>
      <c r="AB209" s="387">
        <v>0</v>
      </c>
      <c r="AC209" s="387">
        <v>0</v>
      </c>
      <c r="AD209" s="525">
        <v>0</v>
      </c>
      <c r="AE209" s="387">
        <v>0</v>
      </c>
      <c r="AF209" s="526">
        <f t="shared" si="67"/>
        <v>0</v>
      </c>
      <c r="AG209" s="526">
        <f t="shared" si="68"/>
        <v>0</v>
      </c>
      <c r="AH209" s="527">
        <f t="shared" si="65"/>
        <v>0</v>
      </c>
      <c r="AI209" s="525">
        <v>0</v>
      </c>
      <c r="AJ209" s="387">
        <v>0</v>
      </c>
      <c r="AK209" s="526">
        <f t="shared" si="69"/>
        <v>0</v>
      </c>
      <c r="AL209" s="526">
        <f t="shared" si="70"/>
        <v>0</v>
      </c>
      <c r="AM209" s="527">
        <f t="shared" si="66"/>
        <v>0</v>
      </c>
      <c r="AN209" s="387">
        <v>0</v>
      </c>
      <c r="AO209" s="387">
        <v>0</v>
      </c>
      <c r="AP209" s="73"/>
      <c r="AQ209" s="241">
        <v>0</v>
      </c>
      <c r="AR209" s="659">
        <v>4910.7</v>
      </c>
    </row>
    <row r="210" spans="1:44">
      <c r="A210" s="236" t="s">
        <v>696</v>
      </c>
      <c r="B210" s="236" t="s">
        <v>695</v>
      </c>
      <c r="C210" s="236" t="str">
        <f t="shared" si="64"/>
        <v>38301 PALOUSE SCHOOL DISTRICT</v>
      </c>
      <c r="D210" s="387">
        <v>0</v>
      </c>
      <c r="E210" s="387">
        <v>0</v>
      </c>
      <c r="F210" s="387">
        <v>0</v>
      </c>
      <c r="G210" s="387">
        <v>265148.34999999998</v>
      </c>
      <c r="H210" s="387">
        <v>27397.73</v>
      </c>
      <c r="I210" s="387">
        <v>0</v>
      </c>
      <c r="J210" s="387">
        <v>46902.27</v>
      </c>
      <c r="K210" s="387">
        <v>0</v>
      </c>
      <c r="L210" s="387">
        <v>0</v>
      </c>
      <c r="M210" s="387">
        <v>0</v>
      </c>
      <c r="N210" s="388">
        <v>3.6400000000000002E-2</v>
      </c>
      <c r="O210" s="389">
        <v>0.2311</v>
      </c>
      <c r="P210" s="387">
        <v>0</v>
      </c>
      <c r="Q210" s="387">
        <v>0</v>
      </c>
      <c r="R210" s="387">
        <v>0</v>
      </c>
      <c r="S210" s="387">
        <v>0</v>
      </c>
      <c r="T210" s="387">
        <v>0</v>
      </c>
      <c r="U210" s="387">
        <v>0</v>
      </c>
      <c r="V210" s="387">
        <v>0</v>
      </c>
      <c r="W210" s="387">
        <v>0</v>
      </c>
      <c r="X210" s="387">
        <v>0</v>
      </c>
      <c r="Y210" s="387">
        <v>0</v>
      </c>
      <c r="Z210" s="387">
        <v>0</v>
      </c>
      <c r="AA210" s="387">
        <v>0</v>
      </c>
      <c r="AB210" s="387">
        <v>0</v>
      </c>
      <c r="AC210" s="387">
        <v>106957.4</v>
      </c>
      <c r="AD210" s="525">
        <v>11.08</v>
      </c>
      <c r="AE210" s="387">
        <v>102645.73</v>
      </c>
      <c r="AF210" s="526">
        <f t="shared" si="67"/>
        <v>9264.06</v>
      </c>
      <c r="AG210" s="526">
        <f t="shared" si="68"/>
        <v>9653.19</v>
      </c>
      <c r="AH210" s="527">
        <f t="shared" si="65"/>
        <v>389.13</v>
      </c>
      <c r="AI210" s="525">
        <v>0</v>
      </c>
      <c r="AJ210" s="387">
        <v>0</v>
      </c>
      <c r="AK210" s="526">
        <f t="shared" si="69"/>
        <v>0</v>
      </c>
      <c r="AL210" s="526">
        <f t="shared" si="70"/>
        <v>0</v>
      </c>
      <c r="AM210" s="527">
        <f t="shared" si="66"/>
        <v>0</v>
      </c>
      <c r="AN210" s="387">
        <v>0</v>
      </c>
      <c r="AO210" s="387">
        <v>0</v>
      </c>
      <c r="AP210" s="73"/>
      <c r="AQ210" s="241">
        <v>39561.440000000002</v>
      </c>
      <c r="AR210" s="659">
        <v>28464.510000000002</v>
      </c>
    </row>
    <row r="211" spans="1:44">
      <c r="A211" s="236" t="s">
        <v>2365</v>
      </c>
      <c r="B211" s="238" t="s">
        <v>2366</v>
      </c>
      <c r="C211" s="236" t="str">
        <f t="shared" si="64"/>
        <v>24915 PASCHAL SHERMAN SCHOOL DISTRICT</v>
      </c>
      <c r="D211" s="387">
        <v>28136.04</v>
      </c>
      <c r="E211" s="387">
        <v>0</v>
      </c>
      <c r="F211" s="387">
        <v>0</v>
      </c>
      <c r="G211" s="387">
        <v>316627.49</v>
      </c>
      <c r="H211" s="387">
        <v>56933.1</v>
      </c>
      <c r="I211" s="387">
        <v>54051.33</v>
      </c>
      <c r="J211" s="387">
        <v>117743.08</v>
      </c>
      <c r="K211" s="387">
        <v>0</v>
      </c>
      <c r="L211" s="387">
        <v>0</v>
      </c>
      <c r="M211" s="387">
        <v>272384.32</v>
      </c>
      <c r="N211" s="388">
        <v>3.5000000000000003E-2</v>
      </c>
      <c r="O211" s="389">
        <v>0.14979999999999999</v>
      </c>
      <c r="P211" s="387">
        <v>0</v>
      </c>
      <c r="Q211" s="387">
        <v>0</v>
      </c>
      <c r="R211" s="387">
        <v>0</v>
      </c>
      <c r="S211" s="387">
        <v>0</v>
      </c>
      <c r="T211" s="387">
        <v>0</v>
      </c>
      <c r="U211" s="387">
        <v>0</v>
      </c>
      <c r="V211" s="387">
        <v>0</v>
      </c>
      <c r="W211" s="387">
        <v>0</v>
      </c>
      <c r="X211" s="387">
        <v>0</v>
      </c>
      <c r="Y211" s="387">
        <v>0</v>
      </c>
      <c r="Z211" s="387">
        <v>0</v>
      </c>
      <c r="AA211" s="387">
        <v>0</v>
      </c>
      <c r="AB211" s="387">
        <v>0</v>
      </c>
      <c r="AC211" s="387">
        <v>0</v>
      </c>
      <c r="AD211" s="525">
        <v>0</v>
      </c>
      <c r="AE211" s="387">
        <v>0</v>
      </c>
      <c r="AF211" s="526">
        <f t="shared" si="67"/>
        <v>0</v>
      </c>
      <c r="AG211" s="526">
        <f t="shared" si="68"/>
        <v>0</v>
      </c>
      <c r="AH211" s="527">
        <f t="shared" si="65"/>
        <v>0</v>
      </c>
      <c r="AI211" s="525">
        <v>0</v>
      </c>
      <c r="AJ211" s="387">
        <v>0</v>
      </c>
      <c r="AK211" s="526">
        <f t="shared" si="69"/>
        <v>0</v>
      </c>
      <c r="AL211" s="526">
        <f t="shared" si="70"/>
        <v>0</v>
      </c>
      <c r="AM211" s="527">
        <f t="shared" si="66"/>
        <v>0</v>
      </c>
      <c r="AN211" s="387">
        <v>0</v>
      </c>
      <c r="AO211" s="387">
        <v>0</v>
      </c>
      <c r="AP211" s="73"/>
      <c r="AQ211" s="241">
        <v>0</v>
      </c>
      <c r="AR211" s="659">
        <v>32404.260000000006</v>
      </c>
    </row>
    <row r="212" spans="1:44">
      <c r="A212" s="236" t="s">
        <v>268</v>
      </c>
      <c r="B212" s="236" t="s">
        <v>267</v>
      </c>
      <c r="C212" s="236" t="str">
        <f t="shared" si="64"/>
        <v>11001 PASCO SCHOOL DISTRICT</v>
      </c>
      <c r="D212" s="387">
        <v>0</v>
      </c>
      <c r="E212" s="387">
        <v>0</v>
      </c>
      <c r="F212" s="387">
        <v>0</v>
      </c>
      <c r="G212" s="387">
        <v>30431856.149999999</v>
      </c>
      <c r="H212" s="387">
        <v>6265126.6299999999</v>
      </c>
      <c r="I212" s="387">
        <v>5600324.3700000001</v>
      </c>
      <c r="J212" s="387">
        <v>9311668.4800000004</v>
      </c>
      <c r="K212" s="387">
        <v>11639561.880000001</v>
      </c>
      <c r="L212" s="387">
        <v>567376.49</v>
      </c>
      <c r="M212" s="387">
        <v>9796621.6899999995</v>
      </c>
      <c r="N212" s="388">
        <v>3.1899999999999998E-2</v>
      </c>
      <c r="O212" s="389">
        <v>0.1268</v>
      </c>
      <c r="P212" s="387">
        <v>0</v>
      </c>
      <c r="Q212" s="387">
        <v>0</v>
      </c>
      <c r="R212" s="387">
        <v>0</v>
      </c>
      <c r="S212" s="387">
        <v>0</v>
      </c>
      <c r="T212" s="387">
        <v>0</v>
      </c>
      <c r="U212" s="387">
        <v>0</v>
      </c>
      <c r="V212" s="387">
        <v>0</v>
      </c>
      <c r="W212" s="387">
        <v>0</v>
      </c>
      <c r="X212" s="387">
        <v>0</v>
      </c>
      <c r="Y212" s="387">
        <v>0</v>
      </c>
      <c r="Z212" s="387">
        <v>0</v>
      </c>
      <c r="AA212" s="387">
        <v>1060978.67</v>
      </c>
      <c r="AB212" s="387">
        <v>2167006.5</v>
      </c>
      <c r="AC212" s="387">
        <v>11783966.119999999</v>
      </c>
      <c r="AD212" s="525">
        <v>1185.32</v>
      </c>
      <c r="AE212" s="387">
        <v>10982947.07</v>
      </c>
      <c r="AF212" s="526">
        <f t="shared" si="67"/>
        <v>9265.81</v>
      </c>
      <c r="AG212" s="526">
        <f t="shared" si="68"/>
        <v>9941.59</v>
      </c>
      <c r="AH212" s="527">
        <f t="shared" si="65"/>
        <v>675.78</v>
      </c>
      <c r="AI212" s="525">
        <v>226.93</v>
      </c>
      <c r="AJ212" s="387">
        <v>2061595.82</v>
      </c>
      <c r="AK212" s="526">
        <f t="shared" si="69"/>
        <v>9084.7199999999993</v>
      </c>
      <c r="AL212" s="526">
        <f t="shared" si="70"/>
        <v>9549.23</v>
      </c>
      <c r="AM212" s="527">
        <f t="shared" si="66"/>
        <v>464.51</v>
      </c>
      <c r="AN212" s="387">
        <v>0</v>
      </c>
      <c r="AO212" s="387">
        <v>0</v>
      </c>
      <c r="AP212" s="73"/>
      <c r="AQ212" s="241">
        <v>0</v>
      </c>
      <c r="AR212" s="659">
        <v>2193596.0299999998</v>
      </c>
    </row>
    <row r="213" spans="1:44">
      <c r="A213" s="236" t="s">
        <v>481</v>
      </c>
      <c r="B213" s="236" t="s">
        <v>480</v>
      </c>
      <c r="C213" s="236" t="str">
        <f t="shared" si="64"/>
        <v>24122 PATEROS SCHOOL DISTRICT</v>
      </c>
      <c r="D213" s="387">
        <v>0</v>
      </c>
      <c r="E213" s="387">
        <v>0</v>
      </c>
      <c r="F213" s="387">
        <v>0</v>
      </c>
      <c r="G213" s="387">
        <v>434078.53</v>
      </c>
      <c r="H213" s="387">
        <v>77650.64</v>
      </c>
      <c r="I213" s="387">
        <v>74729.5</v>
      </c>
      <c r="J213" s="387">
        <v>118321.7</v>
      </c>
      <c r="K213" s="387">
        <v>70975.320000000007</v>
      </c>
      <c r="L213" s="387">
        <v>7101.48</v>
      </c>
      <c r="M213" s="387">
        <v>216559.86</v>
      </c>
      <c r="N213" s="388">
        <v>0.1191</v>
      </c>
      <c r="O213" s="389">
        <v>0.30299999999999999</v>
      </c>
      <c r="P213" s="387">
        <v>0</v>
      </c>
      <c r="Q213" s="387">
        <v>0</v>
      </c>
      <c r="R213" s="387">
        <v>0</v>
      </c>
      <c r="S213" s="387">
        <v>0</v>
      </c>
      <c r="T213" s="387">
        <v>0</v>
      </c>
      <c r="U213" s="387">
        <v>0</v>
      </c>
      <c r="V213" s="387">
        <v>0</v>
      </c>
      <c r="W213" s="387">
        <v>0</v>
      </c>
      <c r="X213" s="387">
        <v>0</v>
      </c>
      <c r="Y213" s="387">
        <v>0</v>
      </c>
      <c r="Z213" s="387">
        <v>0</v>
      </c>
      <c r="AA213" s="387">
        <v>0</v>
      </c>
      <c r="AB213" s="387">
        <v>43050.47</v>
      </c>
      <c r="AC213" s="387">
        <v>190043.68</v>
      </c>
      <c r="AD213" s="525">
        <v>19.420000000000002</v>
      </c>
      <c r="AE213" s="387">
        <v>180916.51</v>
      </c>
      <c r="AF213" s="526">
        <f t="shared" si="67"/>
        <v>9315.99</v>
      </c>
      <c r="AG213" s="526">
        <f t="shared" si="68"/>
        <v>9785.98</v>
      </c>
      <c r="AH213" s="527">
        <f t="shared" si="65"/>
        <v>469.99</v>
      </c>
      <c r="AI213" s="525">
        <v>4.4800000000000004</v>
      </c>
      <c r="AJ213" s="387">
        <v>40854.050000000003</v>
      </c>
      <c r="AK213" s="526">
        <f t="shared" si="69"/>
        <v>9119.2099999999991</v>
      </c>
      <c r="AL213" s="526">
        <f t="shared" si="70"/>
        <v>9609.48</v>
      </c>
      <c r="AM213" s="527">
        <f t="shared" si="66"/>
        <v>490.27</v>
      </c>
      <c r="AN213" s="387">
        <v>0</v>
      </c>
      <c r="AO213" s="387">
        <v>0</v>
      </c>
      <c r="AP213" s="73"/>
      <c r="AQ213" s="241">
        <v>31010.380000000019</v>
      </c>
      <c r="AR213" s="659">
        <v>36864.67</v>
      </c>
    </row>
    <row r="214" spans="1:44">
      <c r="A214" s="236" t="s">
        <v>180</v>
      </c>
      <c r="B214" s="236" t="s">
        <v>179</v>
      </c>
      <c r="C214" s="236" t="str">
        <f t="shared" si="64"/>
        <v>03050 PATERSON SCHOOL DISTRICT</v>
      </c>
      <c r="D214" s="387">
        <v>25902.47</v>
      </c>
      <c r="E214" s="387">
        <v>0</v>
      </c>
      <c r="F214" s="387">
        <v>0</v>
      </c>
      <c r="G214" s="387">
        <v>251803.98</v>
      </c>
      <c r="H214" s="387">
        <v>19062.060000000001</v>
      </c>
      <c r="I214" s="387">
        <v>44735.87</v>
      </c>
      <c r="J214" s="387">
        <v>97487.38</v>
      </c>
      <c r="K214" s="387">
        <v>36890.07</v>
      </c>
      <c r="L214" s="387">
        <v>4224.45</v>
      </c>
      <c r="M214" s="387">
        <v>350991.65</v>
      </c>
      <c r="N214" s="388">
        <v>1.78E-2</v>
      </c>
      <c r="O214" s="389">
        <v>0.2505</v>
      </c>
      <c r="P214" s="387">
        <v>0</v>
      </c>
      <c r="Q214" s="387">
        <v>0</v>
      </c>
      <c r="R214" s="387">
        <v>0</v>
      </c>
      <c r="S214" s="387">
        <v>0</v>
      </c>
      <c r="T214" s="387">
        <v>0</v>
      </c>
      <c r="U214" s="387">
        <v>0</v>
      </c>
      <c r="V214" s="387">
        <v>0</v>
      </c>
      <c r="W214" s="387">
        <v>0</v>
      </c>
      <c r="X214" s="387">
        <v>0</v>
      </c>
      <c r="Y214" s="387">
        <v>149.49</v>
      </c>
      <c r="Z214" s="387">
        <v>0</v>
      </c>
      <c r="AA214" s="387">
        <v>0</v>
      </c>
      <c r="AB214" s="387">
        <v>123924.69</v>
      </c>
      <c r="AC214" s="387">
        <v>0</v>
      </c>
      <c r="AD214" s="525">
        <v>0</v>
      </c>
      <c r="AE214" s="387">
        <v>0</v>
      </c>
      <c r="AF214" s="526">
        <f t="shared" si="67"/>
        <v>0</v>
      </c>
      <c r="AG214" s="526">
        <f t="shared" si="68"/>
        <v>0</v>
      </c>
      <c r="AH214" s="527">
        <f t="shared" si="65"/>
        <v>0</v>
      </c>
      <c r="AI214" s="525">
        <v>12.97</v>
      </c>
      <c r="AJ214" s="387">
        <v>117947.18</v>
      </c>
      <c r="AK214" s="526">
        <f t="shared" si="69"/>
        <v>9093.85</v>
      </c>
      <c r="AL214" s="526">
        <f t="shared" si="70"/>
        <v>9554.7199999999993</v>
      </c>
      <c r="AM214" s="527">
        <f t="shared" si="66"/>
        <v>460.87</v>
      </c>
      <c r="AN214" s="387">
        <v>0</v>
      </c>
      <c r="AO214" s="387">
        <v>0</v>
      </c>
      <c r="AP214" s="73"/>
      <c r="AQ214" s="241">
        <v>17049.96</v>
      </c>
      <c r="AR214" s="659">
        <v>18143.43</v>
      </c>
    </row>
    <row r="215" spans="1:44">
      <c r="A215" s="236" t="s">
        <v>435</v>
      </c>
      <c r="B215" s="236" t="s">
        <v>434</v>
      </c>
      <c r="C215" s="236" t="str">
        <f t="shared" si="64"/>
        <v>21301 PE ELL SCHOOL DISTRICT</v>
      </c>
      <c r="D215" s="387">
        <v>0</v>
      </c>
      <c r="E215" s="387">
        <v>0</v>
      </c>
      <c r="F215" s="387">
        <v>0</v>
      </c>
      <c r="G215" s="387">
        <v>673616.05</v>
      </c>
      <c r="H215" s="387">
        <v>93326.32</v>
      </c>
      <c r="I215" s="387">
        <v>89085.07</v>
      </c>
      <c r="J215" s="387">
        <v>114746.07</v>
      </c>
      <c r="K215" s="387">
        <v>0</v>
      </c>
      <c r="L215" s="387">
        <v>0</v>
      </c>
      <c r="M215" s="387">
        <v>258823.01</v>
      </c>
      <c r="N215" s="388">
        <v>3.7600000000000001E-2</v>
      </c>
      <c r="O215" s="389">
        <v>0.21310000000000001</v>
      </c>
      <c r="P215" s="387">
        <v>0</v>
      </c>
      <c r="Q215" s="387">
        <v>0</v>
      </c>
      <c r="R215" s="387">
        <v>0</v>
      </c>
      <c r="S215" s="387">
        <v>0</v>
      </c>
      <c r="T215" s="387">
        <v>0</v>
      </c>
      <c r="U215" s="387">
        <v>0</v>
      </c>
      <c r="V215" s="387">
        <v>0</v>
      </c>
      <c r="W215" s="387">
        <v>0</v>
      </c>
      <c r="X215" s="387">
        <v>0</v>
      </c>
      <c r="Y215" s="387">
        <v>0</v>
      </c>
      <c r="Z215" s="387">
        <v>0</v>
      </c>
      <c r="AA215" s="387">
        <v>0</v>
      </c>
      <c r="AB215" s="387">
        <v>0</v>
      </c>
      <c r="AC215" s="387">
        <v>126791.51</v>
      </c>
      <c r="AD215" s="525">
        <v>12.46</v>
      </c>
      <c r="AE215" s="387">
        <v>117859.25</v>
      </c>
      <c r="AF215" s="526">
        <f t="shared" si="67"/>
        <v>9459.01</v>
      </c>
      <c r="AG215" s="526">
        <f t="shared" si="68"/>
        <v>10175.879999999999</v>
      </c>
      <c r="AH215" s="527">
        <f t="shared" si="65"/>
        <v>716.87</v>
      </c>
      <c r="AI215" s="525">
        <v>0</v>
      </c>
      <c r="AJ215" s="387">
        <v>0</v>
      </c>
      <c r="AK215" s="526">
        <f t="shared" si="69"/>
        <v>0</v>
      </c>
      <c r="AL215" s="526">
        <f t="shared" si="70"/>
        <v>0</v>
      </c>
      <c r="AM215" s="527">
        <f t="shared" si="66"/>
        <v>0</v>
      </c>
      <c r="AN215" s="387">
        <v>0</v>
      </c>
      <c r="AO215" s="387">
        <v>0</v>
      </c>
      <c r="AP215" s="73"/>
      <c r="AQ215" s="241">
        <v>1195.3600000000151</v>
      </c>
      <c r="AR215" s="659">
        <v>42394.170000000006</v>
      </c>
    </row>
    <row r="216" spans="1:44">
      <c r="A216" s="236" t="s">
        <v>524</v>
      </c>
      <c r="B216" s="236" t="s">
        <v>523</v>
      </c>
      <c r="C216" s="236" t="str">
        <f t="shared" si="64"/>
        <v>27401 PENINSULA SCHOOL DISTRICT</v>
      </c>
      <c r="D216" s="387">
        <v>0</v>
      </c>
      <c r="E216" s="387">
        <v>0</v>
      </c>
      <c r="F216" s="387">
        <v>0</v>
      </c>
      <c r="G216" s="387">
        <v>17950491.469999999</v>
      </c>
      <c r="H216" s="387">
        <v>2517108.7799999998</v>
      </c>
      <c r="I216" s="387">
        <v>209707.8</v>
      </c>
      <c r="J216" s="387">
        <v>1508088.27</v>
      </c>
      <c r="K216" s="387">
        <v>580454.29</v>
      </c>
      <c r="L216" s="387">
        <v>300099.08</v>
      </c>
      <c r="M216" s="387">
        <v>7309264.0999999996</v>
      </c>
      <c r="N216" s="388">
        <v>2.7000000000000001E-3</v>
      </c>
      <c r="O216" s="389">
        <v>0.14940000000000001</v>
      </c>
      <c r="P216" s="387">
        <v>0</v>
      </c>
      <c r="Q216" s="387">
        <v>0</v>
      </c>
      <c r="R216" s="387">
        <v>0</v>
      </c>
      <c r="S216" s="387">
        <v>0</v>
      </c>
      <c r="T216" s="387">
        <v>0</v>
      </c>
      <c r="U216" s="387">
        <v>0</v>
      </c>
      <c r="V216" s="387">
        <v>0</v>
      </c>
      <c r="W216" s="387">
        <v>0</v>
      </c>
      <c r="X216" s="387">
        <v>0</v>
      </c>
      <c r="Y216" s="387">
        <v>10191.1</v>
      </c>
      <c r="Z216" s="387">
        <v>113162.56</v>
      </c>
      <c r="AA216" s="387">
        <v>428119.88</v>
      </c>
      <c r="AB216" s="387">
        <v>1120716.7</v>
      </c>
      <c r="AC216" s="387">
        <v>4955434.01</v>
      </c>
      <c r="AD216" s="525">
        <v>469.49</v>
      </c>
      <c r="AE216" s="387">
        <v>4731419.12</v>
      </c>
      <c r="AF216" s="526">
        <f t="shared" si="67"/>
        <v>10077.780000000001</v>
      </c>
      <c r="AG216" s="526">
        <f t="shared" si="68"/>
        <v>10554.93</v>
      </c>
      <c r="AH216" s="527">
        <f t="shared" si="65"/>
        <v>477.15</v>
      </c>
      <c r="AI216" s="525">
        <v>107.75</v>
      </c>
      <c r="AJ216" s="387">
        <v>1066488.8799999999</v>
      </c>
      <c r="AK216" s="526">
        <f t="shared" si="69"/>
        <v>9897.81</v>
      </c>
      <c r="AL216" s="526">
        <f t="shared" si="70"/>
        <v>10401.08</v>
      </c>
      <c r="AM216" s="527">
        <f t="shared" si="66"/>
        <v>503.27</v>
      </c>
      <c r="AN216" s="387">
        <v>0</v>
      </c>
      <c r="AO216" s="387">
        <v>0</v>
      </c>
      <c r="AP216" s="73"/>
      <c r="AQ216" s="241">
        <v>37368.780000000028</v>
      </c>
      <c r="AR216" s="659">
        <v>1023323.01</v>
      </c>
    </row>
    <row r="217" spans="1:44">
      <c r="A217" s="236" t="s">
        <v>1690</v>
      </c>
      <c r="B217" s="236" t="s">
        <v>1709</v>
      </c>
      <c r="C217" s="236" t="str">
        <f>CONCATENATE(B217," ",A217," CHARTER")</f>
        <v>04901 PINNACLES PREP CHARTER</v>
      </c>
      <c r="D217" s="387">
        <v>0</v>
      </c>
      <c r="E217" s="387">
        <v>0</v>
      </c>
      <c r="F217" s="387">
        <v>0</v>
      </c>
      <c r="G217" s="387">
        <v>364950.95</v>
      </c>
      <c r="H217" s="387">
        <v>51985.120000000003</v>
      </c>
      <c r="I217" s="387">
        <v>0</v>
      </c>
      <c r="J217" s="387">
        <v>82214.34</v>
      </c>
      <c r="K217" s="387">
        <v>58960.14</v>
      </c>
      <c r="L217" s="387">
        <v>6932.44</v>
      </c>
      <c r="M217" s="387">
        <v>197342.01</v>
      </c>
      <c r="N217" s="388">
        <v>3.5000000000000003E-2</v>
      </c>
      <c r="O217" s="389">
        <v>0.14979999999999999</v>
      </c>
      <c r="P217" s="387">
        <v>0</v>
      </c>
      <c r="Q217" s="387">
        <v>0</v>
      </c>
      <c r="R217" s="387">
        <v>0</v>
      </c>
      <c r="S217" s="387">
        <v>0</v>
      </c>
      <c r="T217" s="387">
        <v>0</v>
      </c>
      <c r="U217" s="387">
        <v>0</v>
      </c>
      <c r="V217" s="387">
        <v>0</v>
      </c>
      <c r="W217" s="387">
        <v>0</v>
      </c>
      <c r="X217" s="387">
        <v>0</v>
      </c>
      <c r="Y217" s="387">
        <v>0</v>
      </c>
      <c r="Z217" s="387">
        <v>0</v>
      </c>
      <c r="AA217" s="387">
        <v>0</v>
      </c>
      <c r="AB217" s="387">
        <v>0</v>
      </c>
      <c r="AC217" s="387">
        <v>0</v>
      </c>
      <c r="AD217" s="525">
        <v>0</v>
      </c>
      <c r="AE217" s="387">
        <v>0</v>
      </c>
      <c r="AF217" s="526">
        <f t="shared" si="67"/>
        <v>0</v>
      </c>
      <c r="AG217" s="526">
        <f t="shared" si="68"/>
        <v>0</v>
      </c>
      <c r="AH217" s="527">
        <f t="shared" si="65"/>
        <v>0</v>
      </c>
      <c r="AI217" s="525">
        <v>0</v>
      </c>
      <c r="AJ217" s="387">
        <v>0</v>
      </c>
      <c r="AK217" s="526">
        <f t="shared" si="69"/>
        <v>0</v>
      </c>
      <c r="AL217" s="526">
        <f t="shared" si="70"/>
        <v>0</v>
      </c>
      <c r="AM217" s="527">
        <f t="shared" si="66"/>
        <v>0</v>
      </c>
      <c r="AN217" s="387">
        <v>0</v>
      </c>
      <c r="AO217" s="387">
        <v>0</v>
      </c>
      <c r="AP217" s="73"/>
      <c r="AQ217" s="241">
        <v>0</v>
      </c>
      <c r="AR217" s="659">
        <v>31039.719999999998</v>
      </c>
    </row>
    <row r="218" spans="1:44">
      <c r="A218" s="236" t="s">
        <v>467</v>
      </c>
      <c r="B218" s="236" t="s">
        <v>466</v>
      </c>
      <c r="C218" s="236" t="str">
        <f t="shared" ref="C218:C225" si="71">CONCATENATE(B218," ",A218," SCHOOL DISTRICT")</f>
        <v>23402 PIONEER SCHOOL DISTRICT</v>
      </c>
      <c r="D218" s="387">
        <v>0</v>
      </c>
      <c r="E218" s="387">
        <v>0</v>
      </c>
      <c r="F218" s="387">
        <v>0</v>
      </c>
      <c r="G218" s="387">
        <v>1560242.92</v>
      </c>
      <c r="H218" s="387">
        <v>243368.14</v>
      </c>
      <c r="I218" s="387">
        <v>246253.15</v>
      </c>
      <c r="J218" s="387">
        <v>310180.98</v>
      </c>
      <c r="K218" s="387">
        <v>102518.15</v>
      </c>
      <c r="L218" s="387">
        <v>23588.34</v>
      </c>
      <c r="M218" s="387">
        <v>911501.17</v>
      </c>
      <c r="N218" s="388">
        <v>6.1100000000000002E-2</v>
      </c>
      <c r="O218" s="389">
        <v>0.185</v>
      </c>
      <c r="P218" s="387">
        <v>0</v>
      </c>
      <c r="Q218" s="387">
        <v>0</v>
      </c>
      <c r="R218" s="387">
        <v>0</v>
      </c>
      <c r="S218" s="387">
        <v>0</v>
      </c>
      <c r="T218" s="387">
        <v>0</v>
      </c>
      <c r="U218" s="387">
        <v>0</v>
      </c>
      <c r="V218" s="387">
        <v>0</v>
      </c>
      <c r="W218" s="387">
        <v>0</v>
      </c>
      <c r="X218" s="387">
        <v>0</v>
      </c>
      <c r="Y218" s="387">
        <v>817.74</v>
      </c>
      <c r="Z218" s="387">
        <v>0</v>
      </c>
      <c r="AA218" s="387">
        <v>0</v>
      </c>
      <c r="AB218" s="387">
        <v>0</v>
      </c>
      <c r="AC218" s="387">
        <v>0</v>
      </c>
      <c r="AD218" s="525">
        <v>0</v>
      </c>
      <c r="AE218" s="387">
        <v>0</v>
      </c>
      <c r="AF218" s="526">
        <f t="shared" si="67"/>
        <v>0</v>
      </c>
      <c r="AG218" s="526">
        <f t="shared" si="68"/>
        <v>0</v>
      </c>
      <c r="AH218" s="527">
        <f t="shared" si="65"/>
        <v>0</v>
      </c>
      <c r="AI218" s="525">
        <v>0</v>
      </c>
      <c r="AJ218" s="387">
        <v>0</v>
      </c>
      <c r="AK218" s="526">
        <f t="shared" si="69"/>
        <v>0</v>
      </c>
      <c r="AL218" s="526">
        <f t="shared" si="70"/>
        <v>0</v>
      </c>
      <c r="AM218" s="527">
        <f t="shared" si="66"/>
        <v>0</v>
      </c>
      <c r="AN218" s="387">
        <v>0</v>
      </c>
      <c r="AO218" s="387">
        <v>0</v>
      </c>
      <c r="AP218" s="73"/>
      <c r="AQ218" s="241">
        <v>0</v>
      </c>
      <c r="AR218" s="659">
        <v>94488.190000000017</v>
      </c>
    </row>
    <row r="219" spans="1:44">
      <c r="A219" s="236" t="s">
        <v>276</v>
      </c>
      <c r="B219" s="236" t="s">
        <v>275</v>
      </c>
      <c r="C219" s="236" t="str">
        <f t="shared" si="71"/>
        <v>12110 POMEROY SCHOOL DISTRICT</v>
      </c>
      <c r="D219" s="387">
        <v>0</v>
      </c>
      <c r="E219" s="387">
        <v>0</v>
      </c>
      <c r="F219" s="387">
        <v>0</v>
      </c>
      <c r="G219" s="387">
        <v>612672.12</v>
      </c>
      <c r="H219" s="387">
        <v>104148.54</v>
      </c>
      <c r="I219" s="387">
        <v>42827.44</v>
      </c>
      <c r="J219" s="387">
        <v>120288.28</v>
      </c>
      <c r="K219" s="387">
        <v>0</v>
      </c>
      <c r="L219" s="387">
        <v>10051.33</v>
      </c>
      <c r="M219" s="387">
        <v>455598.17</v>
      </c>
      <c r="N219" s="388">
        <v>6.7699999999999996E-2</v>
      </c>
      <c r="O219" s="389">
        <v>0.25659999999999999</v>
      </c>
      <c r="P219" s="387">
        <v>0</v>
      </c>
      <c r="Q219" s="387">
        <v>0</v>
      </c>
      <c r="R219" s="387">
        <v>0</v>
      </c>
      <c r="S219" s="387">
        <v>0</v>
      </c>
      <c r="T219" s="387">
        <v>0</v>
      </c>
      <c r="U219" s="387">
        <v>0</v>
      </c>
      <c r="V219" s="387">
        <v>0</v>
      </c>
      <c r="W219" s="387">
        <v>0</v>
      </c>
      <c r="X219" s="387">
        <v>0</v>
      </c>
      <c r="Y219" s="387">
        <v>0</v>
      </c>
      <c r="Z219" s="387">
        <v>0</v>
      </c>
      <c r="AA219" s="387">
        <v>0</v>
      </c>
      <c r="AB219" s="387">
        <v>131126.53</v>
      </c>
      <c r="AC219" s="387">
        <v>305048.38</v>
      </c>
      <c r="AD219" s="525">
        <v>31.45</v>
      </c>
      <c r="AE219" s="387">
        <v>292880.7</v>
      </c>
      <c r="AF219" s="526">
        <f t="shared" si="67"/>
        <v>9312.58</v>
      </c>
      <c r="AG219" s="526">
        <f t="shared" si="68"/>
        <v>9699.4699999999993</v>
      </c>
      <c r="AH219" s="527">
        <f t="shared" si="65"/>
        <v>386.89</v>
      </c>
      <c r="AI219" s="525">
        <v>13.66</v>
      </c>
      <c r="AJ219" s="387">
        <v>124701.04</v>
      </c>
      <c r="AK219" s="526">
        <f t="shared" si="69"/>
        <v>9128.92</v>
      </c>
      <c r="AL219" s="526">
        <f t="shared" si="70"/>
        <v>9599.31</v>
      </c>
      <c r="AM219" s="527">
        <f t="shared" si="66"/>
        <v>470.39</v>
      </c>
      <c r="AN219" s="387">
        <v>0</v>
      </c>
      <c r="AO219" s="387">
        <v>0</v>
      </c>
      <c r="AP219" s="73"/>
      <c r="AQ219" s="241">
        <v>0</v>
      </c>
      <c r="AR219" s="659">
        <v>46831.49</v>
      </c>
    </row>
    <row r="220" spans="1:44">
      <c r="A220" s="236" t="s">
        <v>204</v>
      </c>
      <c r="B220" s="236" t="s">
        <v>203</v>
      </c>
      <c r="C220" s="236" t="str">
        <f t="shared" si="71"/>
        <v>05121 PORT ANGELES SCHOOL DISTRICT</v>
      </c>
      <c r="D220" s="387">
        <v>0</v>
      </c>
      <c r="E220" s="387">
        <v>0</v>
      </c>
      <c r="F220" s="387">
        <v>13346.1</v>
      </c>
      <c r="G220" s="387">
        <v>7079761.4900000002</v>
      </c>
      <c r="H220" s="387">
        <v>1398166.67</v>
      </c>
      <c r="I220" s="387">
        <v>1141073.4099999999</v>
      </c>
      <c r="J220" s="387">
        <v>1443962.67</v>
      </c>
      <c r="K220" s="387">
        <v>71472.710000000006</v>
      </c>
      <c r="L220" s="387">
        <v>109255.28</v>
      </c>
      <c r="M220" s="387">
        <v>2002958.65</v>
      </c>
      <c r="N220" s="388">
        <v>6.3299999999999995E-2</v>
      </c>
      <c r="O220" s="389">
        <v>0.14099999999999999</v>
      </c>
      <c r="P220" s="387">
        <v>0</v>
      </c>
      <c r="Q220" s="387">
        <v>0</v>
      </c>
      <c r="R220" s="387">
        <v>0</v>
      </c>
      <c r="S220" s="387">
        <v>0</v>
      </c>
      <c r="T220" s="387">
        <v>0</v>
      </c>
      <c r="U220" s="387">
        <v>0</v>
      </c>
      <c r="V220" s="387">
        <v>0</v>
      </c>
      <c r="W220" s="387">
        <v>0</v>
      </c>
      <c r="X220" s="387">
        <v>0</v>
      </c>
      <c r="Y220" s="387">
        <v>913.68</v>
      </c>
      <c r="Z220" s="387">
        <v>61671.44</v>
      </c>
      <c r="AA220" s="387">
        <v>138244.07999999999</v>
      </c>
      <c r="AB220" s="387">
        <v>698219.69</v>
      </c>
      <c r="AC220" s="387">
        <v>2334735.21</v>
      </c>
      <c r="AD220" s="525">
        <v>231.71</v>
      </c>
      <c r="AE220" s="387">
        <v>2189774</v>
      </c>
      <c r="AF220" s="526">
        <f t="shared" si="67"/>
        <v>9450.49</v>
      </c>
      <c r="AG220" s="526">
        <f t="shared" si="68"/>
        <v>10076.11</v>
      </c>
      <c r="AH220" s="527">
        <f t="shared" si="65"/>
        <v>625.62</v>
      </c>
      <c r="AI220" s="525">
        <v>71.63</v>
      </c>
      <c r="AJ220" s="387">
        <v>663892.75</v>
      </c>
      <c r="AK220" s="526">
        <f t="shared" si="69"/>
        <v>9268.36</v>
      </c>
      <c r="AL220" s="526">
        <f t="shared" si="70"/>
        <v>9747.59</v>
      </c>
      <c r="AM220" s="527">
        <f t="shared" si="66"/>
        <v>479.23</v>
      </c>
      <c r="AN220" s="387">
        <v>275.61</v>
      </c>
      <c r="AO220" s="387">
        <v>0</v>
      </c>
      <c r="AP220" s="73"/>
      <c r="AQ220" s="241">
        <v>69.589999999850988</v>
      </c>
      <c r="AR220" s="659">
        <v>374312.38999999996</v>
      </c>
    </row>
    <row r="221" spans="1:44">
      <c r="A221" s="236" t="s">
        <v>337</v>
      </c>
      <c r="B221" s="236" t="s">
        <v>336</v>
      </c>
      <c r="C221" s="236" t="str">
        <f t="shared" si="71"/>
        <v>16050 PORT TOWNSEND SCHOOL DISTRICT</v>
      </c>
      <c r="D221" s="387">
        <v>0</v>
      </c>
      <c r="E221" s="387">
        <v>36117.79</v>
      </c>
      <c r="F221" s="387">
        <v>4000.1</v>
      </c>
      <c r="G221" s="387">
        <v>2460243.04</v>
      </c>
      <c r="H221" s="387">
        <v>318681.09000000003</v>
      </c>
      <c r="I221" s="387">
        <v>213583.03</v>
      </c>
      <c r="J221" s="387">
        <v>468184.54</v>
      </c>
      <c r="K221" s="387">
        <v>78983.3</v>
      </c>
      <c r="L221" s="387">
        <v>41855.58</v>
      </c>
      <c r="M221" s="387">
        <v>832550.69</v>
      </c>
      <c r="N221" s="388">
        <v>3.7100000000000001E-2</v>
      </c>
      <c r="O221" s="389">
        <v>0.2009</v>
      </c>
      <c r="P221" s="387">
        <v>0</v>
      </c>
      <c r="Q221" s="387">
        <v>0</v>
      </c>
      <c r="R221" s="387">
        <v>0</v>
      </c>
      <c r="S221" s="387">
        <v>0</v>
      </c>
      <c r="T221" s="387">
        <v>0</v>
      </c>
      <c r="U221" s="387">
        <v>0</v>
      </c>
      <c r="V221" s="387">
        <v>0</v>
      </c>
      <c r="W221" s="387">
        <v>0</v>
      </c>
      <c r="X221" s="387">
        <v>0</v>
      </c>
      <c r="Y221" s="387">
        <v>1444.71</v>
      </c>
      <c r="Z221" s="387">
        <v>0</v>
      </c>
      <c r="AA221" s="387">
        <v>0</v>
      </c>
      <c r="AB221" s="387">
        <v>82902.240000000005</v>
      </c>
      <c r="AC221" s="387">
        <v>640240.13</v>
      </c>
      <c r="AD221" s="525">
        <v>59</v>
      </c>
      <c r="AE221" s="387">
        <v>591940.13</v>
      </c>
      <c r="AF221" s="526">
        <f t="shared" si="67"/>
        <v>10032.879999999999</v>
      </c>
      <c r="AG221" s="526">
        <f t="shared" si="68"/>
        <v>10851.53</v>
      </c>
      <c r="AH221" s="527">
        <f t="shared" si="65"/>
        <v>818.65</v>
      </c>
      <c r="AI221" s="525">
        <v>8.02</v>
      </c>
      <c r="AJ221" s="387">
        <v>78862.36</v>
      </c>
      <c r="AK221" s="526">
        <f t="shared" si="69"/>
        <v>9833.2099999999991</v>
      </c>
      <c r="AL221" s="526">
        <f t="shared" si="70"/>
        <v>10336.94</v>
      </c>
      <c r="AM221" s="527">
        <f t="shared" si="66"/>
        <v>503.73</v>
      </c>
      <c r="AN221" s="387">
        <v>0</v>
      </c>
      <c r="AO221" s="387">
        <v>0</v>
      </c>
      <c r="AP221" s="73"/>
      <c r="AQ221" s="241">
        <v>0</v>
      </c>
      <c r="AR221" s="659">
        <v>137906.19</v>
      </c>
    </row>
    <row r="222" spans="1:44">
      <c r="A222" s="236" t="s">
        <v>670</v>
      </c>
      <c r="B222" s="236" t="s">
        <v>669</v>
      </c>
      <c r="C222" s="236" t="str">
        <f t="shared" si="71"/>
        <v>36402 PRESCOTT SCHOOL DISTRICT</v>
      </c>
      <c r="D222" s="387">
        <v>0</v>
      </c>
      <c r="E222" s="387">
        <v>0</v>
      </c>
      <c r="F222" s="387">
        <v>7428.38</v>
      </c>
      <c r="G222" s="387">
        <v>469415.58</v>
      </c>
      <c r="H222" s="387">
        <v>59657.01</v>
      </c>
      <c r="I222" s="387">
        <v>84380.72</v>
      </c>
      <c r="J222" s="387">
        <v>153055.17000000001</v>
      </c>
      <c r="K222" s="387">
        <v>171656.08</v>
      </c>
      <c r="L222" s="387">
        <v>0</v>
      </c>
      <c r="M222" s="387">
        <v>521130.55</v>
      </c>
      <c r="N222" s="388">
        <v>3.0200000000000001E-2</v>
      </c>
      <c r="O222" s="389">
        <v>0.22439999999999999</v>
      </c>
      <c r="P222" s="387">
        <v>0</v>
      </c>
      <c r="Q222" s="387">
        <v>0</v>
      </c>
      <c r="R222" s="387">
        <v>0</v>
      </c>
      <c r="S222" s="387">
        <v>0</v>
      </c>
      <c r="T222" s="387">
        <v>0</v>
      </c>
      <c r="U222" s="387">
        <v>0</v>
      </c>
      <c r="V222" s="387">
        <v>0</v>
      </c>
      <c r="W222" s="387">
        <v>0</v>
      </c>
      <c r="X222" s="387">
        <v>0</v>
      </c>
      <c r="Y222" s="387">
        <v>208.62</v>
      </c>
      <c r="Z222" s="387">
        <v>0</v>
      </c>
      <c r="AA222" s="387">
        <v>0</v>
      </c>
      <c r="AB222" s="387">
        <v>0</v>
      </c>
      <c r="AC222" s="387">
        <v>167461.76000000001</v>
      </c>
      <c r="AD222" s="525">
        <v>17.12</v>
      </c>
      <c r="AE222" s="387">
        <v>158633.07999999999</v>
      </c>
      <c r="AF222" s="526">
        <f t="shared" si="67"/>
        <v>9265.9500000000007</v>
      </c>
      <c r="AG222" s="526">
        <f t="shared" si="68"/>
        <v>9781.64</v>
      </c>
      <c r="AH222" s="527">
        <f t="shared" si="65"/>
        <v>515.69000000000005</v>
      </c>
      <c r="AI222" s="525">
        <v>0</v>
      </c>
      <c r="AJ222" s="387">
        <v>0</v>
      </c>
      <c r="AK222" s="526">
        <f t="shared" si="69"/>
        <v>0</v>
      </c>
      <c r="AL222" s="526">
        <f t="shared" si="70"/>
        <v>0</v>
      </c>
      <c r="AM222" s="527">
        <f t="shared" si="66"/>
        <v>0</v>
      </c>
      <c r="AN222" s="387">
        <v>0</v>
      </c>
      <c r="AO222" s="387">
        <v>0</v>
      </c>
      <c r="AP222" s="73"/>
      <c r="AQ222" s="241">
        <v>60971.45</v>
      </c>
      <c r="AR222" s="659">
        <v>42427.65</v>
      </c>
    </row>
    <row r="223" spans="1:44">
      <c r="A223" s="236" t="s">
        <v>1643</v>
      </c>
      <c r="B223" s="236" t="s">
        <v>1398</v>
      </c>
      <c r="C223" s="236" t="str">
        <f t="shared" si="71"/>
        <v>32907 PRIDE PREP SCHOOL DISTRICT</v>
      </c>
      <c r="D223" s="387">
        <v>0</v>
      </c>
      <c r="E223" s="387">
        <v>0</v>
      </c>
      <c r="F223" s="387">
        <v>0</v>
      </c>
      <c r="G223" s="387">
        <v>390308.77</v>
      </c>
      <c r="H223" s="387">
        <v>42640.9</v>
      </c>
      <c r="I223" s="387">
        <v>135724.07</v>
      </c>
      <c r="J223" s="387">
        <v>163995.41</v>
      </c>
      <c r="K223" s="387">
        <v>0</v>
      </c>
      <c r="L223" s="387">
        <v>0</v>
      </c>
      <c r="M223" s="387">
        <v>0</v>
      </c>
      <c r="N223" s="388">
        <v>9.5799999999999996E-2</v>
      </c>
      <c r="O223" s="389">
        <v>0.31690000000000002</v>
      </c>
      <c r="P223" s="387">
        <v>0</v>
      </c>
      <c r="Q223" s="387">
        <v>0</v>
      </c>
      <c r="R223" s="387">
        <v>0</v>
      </c>
      <c r="S223" s="387">
        <v>0</v>
      </c>
      <c r="T223" s="387">
        <v>0</v>
      </c>
      <c r="U223" s="387">
        <v>0</v>
      </c>
      <c r="V223" s="387">
        <v>0</v>
      </c>
      <c r="W223" s="387">
        <v>0</v>
      </c>
      <c r="X223" s="387">
        <v>0</v>
      </c>
      <c r="Y223" s="387">
        <v>262.17</v>
      </c>
      <c r="Z223" s="387">
        <v>0</v>
      </c>
      <c r="AA223" s="387">
        <v>4886.8999999999996</v>
      </c>
      <c r="AB223" s="387">
        <v>0</v>
      </c>
      <c r="AC223" s="387">
        <v>190893.72</v>
      </c>
      <c r="AD223" s="525">
        <v>17.43</v>
      </c>
      <c r="AE223" s="387">
        <v>161594.09</v>
      </c>
      <c r="AF223" s="526">
        <f t="shared" si="67"/>
        <v>9271.0300000000007</v>
      </c>
      <c r="AG223" s="526">
        <f t="shared" si="68"/>
        <v>10952.02</v>
      </c>
      <c r="AH223" s="527">
        <f t="shared" si="65"/>
        <v>1680.99</v>
      </c>
      <c r="AI223" s="525">
        <v>0</v>
      </c>
      <c r="AJ223" s="387">
        <v>0</v>
      </c>
      <c r="AK223" s="526">
        <f t="shared" si="69"/>
        <v>0</v>
      </c>
      <c r="AL223" s="526">
        <f t="shared" si="70"/>
        <v>0</v>
      </c>
      <c r="AM223" s="527">
        <f t="shared" si="66"/>
        <v>0</v>
      </c>
      <c r="AN223" s="387">
        <v>0</v>
      </c>
      <c r="AO223" s="387">
        <v>0</v>
      </c>
      <c r="AP223" s="73"/>
      <c r="AQ223" s="241">
        <v>133004.31000000003</v>
      </c>
      <c r="AR223" s="659">
        <v>26394.600000000006</v>
      </c>
    </row>
    <row r="224" spans="1:44">
      <c r="A224" s="236" t="s">
        <v>186</v>
      </c>
      <c r="B224" s="236" t="s">
        <v>185</v>
      </c>
      <c r="C224" s="236" t="str">
        <f t="shared" si="71"/>
        <v>03116 PROSSER SCHOOL DISTRICT</v>
      </c>
      <c r="D224" s="387">
        <v>0</v>
      </c>
      <c r="E224" s="387">
        <v>96585.02</v>
      </c>
      <c r="F224" s="387">
        <v>21699.23</v>
      </c>
      <c r="G224" s="387">
        <v>4212325.37</v>
      </c>
      <c r="H224" s="387">
        <v>824860.82</v>
      </c>
      <c r="I224" s="387">
        <v>774049.69</v>
      </c>
      <c r="J224" s="387">
        <v>1292032.5900000001</v>
      </c>
      <c r="K224" s="387">
        <v>1191037.33</v>
      </c>
      <c r="L224" s="387">
        <v>75281.919999999998</v>
      </c>
      <c r="M224" s="387">
        <v>1848772.83</v>
      </c>
      <c r="N224" s="388">
        <v>2.63E-2</v>
      </c>
      <c r="O224" s="389">
        <v>0.16089999999999999</v>
      </c>
      <c r="P224" s="387">
        <v>0</v>
      </c>
      <c r="Q224" s="387">
        <v>0</v>
      </c>
      <c r="R224" s="387">
        <v>0</v>
      </c>
      <c r="S224" s="387">
        <v>0</v>
      </c>
      <c r="T224" s="387">
        <v>0</v>
      </c>
      <c r="U224" s="387">
        <v>0</v>
      </c>
      <c r="V224" s="387">
        <v>0</v>
      </c>
      <c r="W224" s="387">
        <v>0</v>
      </c>
      <c r="X224" s="387">
        <v>0</v>
      </c>
      <c r="Y224" s="387">
        <v>2780.1</v>
      </c>
      <c r="Z224" s="387">
        <v>5071.91</v>
      </c>
      <c r="AA224" s="387">
        <v>12522.36</v>
      </c>
      <c r="AB224" s="387">
        <v>189957.92</v>
      </c>
      <c r="AC224" s="387">
        <v>2043620.89</v>
      </c>
      <c r="AD224" s="525">
        <v>208.5</v>
      </c>
      <c r="AE224" s="387">
        <v>1931819.19</v>
      </c>
      <c r="AF224" s="526">
        <f t="shared" si="67"/>
        <v>9265.32</v>
      </c>
      <c r="AG224" s="526">
        <f t="shared" si="68"/>
        <v>9801.5400000000009</v>
      </c>
      <c r="AH224" s="527">
        <f t="shared" si="65"/>
        <v>536.22</v>
      </c>
      <c r="AI224" s="525">
        <v>19.899999999999999</v>
      </c>
      <c r="AJ224" s="387">
        <v>180681</v>
      </c>
      <c r="AK224" s="526">
        <f t="shared" si="69"/>
        <v>9079.4500000000007</v>
      </c>
      <c r="AL224" s="526">
        <f t="shared" si="70"/>
        <v>9545.6200000000008</v>
      </c>
      <c r="AM224" s="527">
        <f t="shared" si="66"/>
        <v>466.17</v>
      </c>
      <c r="AN224" s="387">
        <v>0</v>
      </c>
      <c r="AO224" s="387">
        <v>0</v>
      </c>
      <c r="AP224" s="73"/>
      <c r="AQ224" s="241">
        <v>181423.01000000013</v>
      </c>
      <c r="AR224" s="659">
        <v>284907.08999999997</v>
      </c>
    </row>
    <row r="225" spans="1:44">
      <c r="A225" s="236" t="s">
        <v>692</v>
      </c>
      <c r="B225" s="236" t="s">
        <v>691</v>
      </c>
      <c r="C225" s="236" t="str">
        <f t="shared" si="71"/>
        <v>38267 PULLMAN SCHOOL DISTRICT</v>
      </c>
      <c r="D225" s="387">
        <v>0</v>
      </c>
      <c r="E225" s="387">
        <v>0</v>
      </c>
      <c r="F225" s="387">
        <v>0</v>
      </c>
      <c r="G225" s="387">
        <v>4655254.7699999996</v>
      </c>
      <c r="H225" s="387">
        <v>638385.18000000005</v>
      </c>
      <c r="I225" s="387">
        <v>99003.839999999997</v>
      </c>
      <c r="J225" s="387">
        <v>652082.16</v>
      </c>
      <c r="K225" s="387">
        <v>284458.63</v>
      </c>
      <c r="L225" s="387">
        <v>82539.3</v>
      </c>
      <c r="M225" s="387">
        <v>1124225.4099999999</v>
      </c>
      <c r="N225" s="388">
        <v>4.8500000000000001E-2</v>
      </c>
      <c r="O225" s="389">
        <v>0.20660000000000001</v>
      </c>
      <c r="P225" s="387">
        <v>0</v>
      </c>
      <c r="Q225" s="387">
        <v>0</v>
      </c>
      <c r="R225" s="387">
        <v>0</v>
      </c>
      <c r="S225" s="387">
        <v>0</v>
      </c>
      <c r="T225" s="387">
        <v>0</v>
      </c>
      <c r="U225" s="387">
        <v>0</v>
      </c>
      <c r="V225" s="387">
        <v>0</v>
      </c>
      <c r="W225" s="387">
        <v>0</v>
      </c>
      <c r="X225" s="387">
        <v>0</v>
      </c>
      <c r="Y225" s="387">
        <v>0</v>
      </c>
      <c r="Z225" s="387">
        <v>568.15</v>
      </c>
      <c r="AA225" s="387">
        <v>0</v>
      </c>
      <c r="AB225" s="387">
        <v>377918.71</v>
      </c>
      <c r="AC225" s="387">
        <v>1261652.72</v>
      </c>
      <c r="AD225" s="525">
        <v>130.97</v>
      </c>
      <c r="AE225" s="387">
        <v>1213544.47</v>
      </c>
      <c r="AF225" s="526">
        <f t="shared" si="67"/>
        <v>9265.82</v>
      </c>
      <c r="AG225" s="526">
        <f t="shared" si="68"/>
        <v>9633.14</v>
      </c>
      <c r="AH225" s="527">
        <f t="shared" si="65"/>
        <v>367.32</v>
      </c>
      <c r="AI225" s="525">
        <v>39.56</v>
      </c>
      <c r="AJ225" s="387">
        <v>359423.18</v>
      </c>
      <c r="AK225" s="526">
        <f t="shared" si="69"/>
        <v>9085.52</v>
      </c>
      <c r="AL225" s="526">
        <f t="shared" si="70"/>
        <v>9553.0499999999993</v>
      </c>
      <c r="AM225" s="527">
        <f t="shared" si="66"/>
        <v>467.53</v>
      </c>
      <c r="AN225" s="387">
        <v>0</v>
      </c>
      <c r="AO225" s="387">
        <v>0</v>
      </c>
      <c r="AP225" s="73"/>
      <c r="AQ225" s="241">
        <v>37358.340000000055</v>
      </c>
      <c r="AR225" s="659">
        <v>287973.44</v>
      </c>
    </row>
    <row r="226" spans="1:44">
      <c r="A226" s="236" t="s">
        <v>508</v>
      </c>
      <c r="B226" s="236" t="s">
        <v>507</v>
      </c>
      <c r="C226" s="236" t="str">
        <f>CONCATENATE(B226," ",A226," SCHOOL DISTRICT")</f>
        <v>27003 PUYALLUP SCHOOL DISTRICT</v>
      </c>
      <c r="D226" s="387">
        <v>0</v>
      </c>
      <c r="E226" s="387">
        <v>99896.72</v>
      </c>
      <c r="F226" s="387">
        <v>0</v>
      </c>
      <c r="G226" s="387">
        <v>44323739.409999996</v>
      </c>
      <c r="H226" s="387">
        <v>8370329.3200000003</v>
      </c>
      <c r="I226" s="387">
        <v>1267147.74</v>
      </c>
      <c r="J226" s="387">
        <v>7405328.1600000001</v>
      </c>
      <c r="K226" s="387">
        <v>4190117.41</v>
      </c>
      <c r="L226" s="387">
        <v>788080.75</v>
      </c>
      <c r="M226" s="387">
        <v>14573268.82</v>
      </c>
      <c r="N226" s="388">
        <v>4.1099999999999998E-2</v>
      </c>
      <c r="O226" s="389">
        <v>0.1477</v>
      </c>
      <c r="P226" s="387">
        <v>0</v>
      </c>
      <c r="Q226" s="387">
        <v>0</v>
      </c>
      <c r="R226" s="387">
        <v>0</v>
      </c>
      <c r="S226" s="387">
        <v>0</v>
      </c>
      <c r="T226" s="387">
        <v>0</v>
      </c>
      <c r="U226" s="387">
        <v>0</v>
      </c>
      <c r="V226" s="387">
        <v>0</v>
      </c>
      <c r="W226" s="387">
        <v>0</v>
      </c>
      <c r="X226" s="387">
        <v>0</v>
      </c>
      <c r="Y226" s="387">
        <v>25684.68</v>
      </c>
      <c r="Z226" s="387">
        <v>180717.97</v>
      </c>
      <c r="AA226" s="387">
        <v>992999.91</v>
      </c>
      <c r="AB226" s="387">
        <v>4404110.6399999997</v>
      </c>
      <c r="AC226" s="387">
        <v>14100950.83</v>
      </c>
      <c r="AD226" s="525">
        <v>1296.21</v>
      </c>
      <c r="AE226" s="387">
        <v>13003065.359999999</v>
      </c>
      <c r="AF226" s="526">
        <f t="shared" si="67"/>
        <v>10031.6</v>
      </c>
      <c r="AG226" s="526">
        <f t="shared" si="68"/>
        <v>10878.6</v>
      </c>
      <c r="AH226" s="527">
        <f t="shared" si="65"/>
        <v>847</v>
      </c>
      <c r="AI226" s="525">
        <v>425.44</v>
      </c>
      <c r="AJ226" s="387">
        <v>4191608.7</v>
      </c>
      <c r="AK226" s="526">
        <f t="shared" si="69"/>
        <v>9852.41</v>
      </c>
      <c r="AL226" s="526">
        <f t="shared" si="70"/>
        <v>10351.9</v>
      </c>
      <c r="AM226" s="527">
        <f t="shared" si="66"/>
        <v>499.49</v>
      </c>
      <c r="AN226" s="387">
        <v>0</v>
      </c>
      <c r="AO226" s="387">
        <v>0</v>
      </c>
      <c r="AP226" s="73"/>
      <c r="AQ226" s="241">
        <v>0</v>
      </c>
      <c r="AR226" s="659">
        <v>2689194.5799999996</v>
      </c>
    </row>
    <row r="227" spans="1:44">
      <c r="A227" s="236" t="s">
        <v>329</v>
      </c>
      <c r="B227" s="236" t="s">
        <v>328</v>
      </c>
      <c r="C227" s="236" t="str">
        <f>CONCATENATE(B227," ",A227," SCHOOL DISTRICT")</f>
        <v>16020 QUEETS-CLEARWATER SCHOOL DISTRICT</v>
      </c>
      <c r="D227" s="387">
        <v>0</v>
      </c>
      <c r="E227" s="387">
        <v>0</v>
      </c>
      <c r="F227" s="387">
        <v>0</v>
      </c>
      <c r="G227" s="387">
        <v>59582.2</v>
      </c>
      <c r="H227" s="387">
        <v>3480.04</v>
      </c>
      <c r="I227" s="387">
        <v>13670.92</v>
      </c>
      <c r="J227" s="387">
        <v>20618.419999999998</v>
      </c>
      <c r="K227" s="387">
        <v>0</v>
      </c>
      <c r="L227" s="387">
        <v>0</v>
      </c>
      <c r="M227" s="387">
        <v>63950.5</v>
      </c>
      <c r="N227" s="388">
        <v>8.6599999999999996E-2</v>
      </c>
      <c r="O227" s="389">
        <v>0.41639999999999999</v>
      </c>
      <c r="P227" s="387">
        <v>0</v>
      </c>
      <c r="Q227" s="387">
        <v>0</v>
      </c>
      <c r="R227" s="387">
        <v>0</v>
      </c>
      <c r="S227" s="387">
        <v>0</v>
      </c>
      <c r="T227" s="387">
        <v>0</v>
      </c>
      <c r="U227" s="387">
        <v>0</v>
      </c>
      <c r="V227" s="387">
        <v>0</v>
      </c>
      <c r="W227" s="387">
        <v>0</v>
      </c>
      <c r="X227" s="387">
        <v>0</v>
      </c>
      <c r="Y227" s="387">
        <v>0</v>
      </c>
      <c r="Z227" s="387">
        <v>0</v>
      </c>
      <c r="AA227" s="387">
        <v>0</v>
      </c>
      <c r="AB227" s="387">
        <v>0</v>
      </c>
      <c r="AC227" s="387">
        <v>0</v>
      </c>
      <c r="AD227" s="525">
        <v>0</v>
      </c>
      <c r="AE227" s="387">
        <v>0</v>
      </c>
      <c r="AF227" s="526">
        <f t="shared" si="67"/>
        <v>0</v>
      </c>
      <c r="AG227" s="526">
        <f t="shared" si="68"/>
        <v>0</v>
      </c>
      <c r="AH227" s="527">
        <f t="shared" si="65"/>
        <v>0</v>
      </c>
      <c r="AI227" s="525">
        <v>0</v>
      </c>
      <c r="AJ227" s="387">
        <v>0</v>
      </c>
      <c r="AK227" s="526">
        <f t="shared" si="69"/>
        <v>0</v>
      </c>
      <c r="AL227" s="526">
        <f t="shared" si="70"/>
        <v>0</v>
      </c>
      <c r="AM227" s="527">
        <f t="shared" si="66"/>
        <v>0</v>
      </c>
      <c r="AN227" s="387">
        <v>0</v>
      </c>
      <c r="AO227" s="387">
        <v>0</v>
      </c>
      <c r="AP227" s="73"/>
      <c r="AQ227" s="241">
        <v>7480.1300000000019</v>
      </c>
      <c r="AR227" s="659">
        <v>6703.9</v>
      </c>
    </row>
    <row r="228" spans="1:44">
      <c r="A228" s="236" t="s">
        <v>333</v>
      </c>
      <c r="B228" s="236" t="s">
        <v>332</v>
      </c>
      <c r="C228" s="236" t="str">
        <f>CONCATENATE(B228," ",A228," SCHOOL DISTRICT")</f>
        <v>16048 QUILCENE SCHOOL DISTRICT</v>
      </c>
      <c r="D228" s="387">
        <v>0</v>
      </c>
      <c r="E228" s="387">
        <v>4370.67</v>
      </c>
      <c r="F228" s="387">
        <v>203.53</v>
      </c>
      <c r="G228" s="387">
        <v>1011896.27</v>
      </c>
      <c r="H228" s="387">
        <v>69799.66</v>
      </c>
      <c r="I228" s="387">
        <v>61420.84</v>
      </c>
      <c r="J228" s="387">
        <v>217650.86</v>
      </c>
      <c r="K228" s="387">
        <v>0</v>
      </c>
      <c r="L228" s="387">
        <v>21765.08</v>
      </c>
      <c r="M228" s="387">
        <v>511959.54</v>
      </c>
      <c r="N228" s="388">
        <v>3.7100000000000001E-2</v>
      </c>
      <c r="O228" s="389">
        <v>0.2011</v>
      </c>
      <c r="P228" s="387">
        <v>0</v>
      </c>
      <c r="Q228" s="387">
        <v>0</v>
      </c>
      <c r="R228" s="387">
        <v>0</v>
      </c>
      <c r="S228" s="387">
        <v>0</v>
      </c>
      <c r="T228" s="387">
        <v>0</v>
      </c>
      <c r="U228" s="387">
        <v>0</v>
      </c>
      <c r="V228" s="387">
        <v>0</v>
      </c>
      <c r="W228" s="387">
        <v>0</v>
      </c>
      <c r="X228" s="387">
        <v>0</v>
      </c>
      <c r="Y228" s="387">
        <v>828.9</v>
      </c>
      <c r="Z228" s="387">
        <v>263.19</v>
      </c>
      <c r="AA228" s="387">
        <v>0</v>
      </c>
      <c r="AB228" s="387">
        <v>102079.08</v>
      </c>
      <c r="AC228" s="387">
        <v>106549.97</v>
      </c>
      <c r="AD228" s="525">
        <v>10.37</v>
      </c>
      <c r="AE228" s="387">
        <v>100058.37</v>
      </c>
      <c r="AF228" s="526">
        <f t="shared" si="67"/>
        <v>9648.83</v>
      </c>
      <c r="AG228" s="526">
        <f t="shared" si="68"/>
        <v>10274.83</v>
      </c>
      <c r="AH228" s="527">
        <f t="shared" si="65"/>
        <v>626</v>
      </c>
      <c r="AI228" s="525">
        <v>10.26</v>
      </c>
      <c r="AJ228" s="387">
        <v>97086.86</v>
      </c>
      <c r="AK228" s="526">
        <f t="shared" si="69"/>
        <v>9462.66</v>
      </c>
      <c r="AL228" s="526">
        <f t="shared" si="70"/>
        <v>9949.23</v>
      </c>
      <c r="AM228" s="527">
        <f t="shared" si="66"/>
        <v>486.57</v>
      </c>
      <c r="AN228" s="387">
        <v>0</v>
      </c>
      <c r="AO228" s="387">
        <v>0</v>
      </c>
      <c r="AP228" s="73"/>
      <c r="AQ228" s="241">
        <v>0</v>
      </c>
      <c r="AR228" s="659">
        <v>38291.550000000003</v>
      </c>
    </row>
    <row r="229" spans="1:44">
      <c r="A229" s="236" t="s">
        <v>1693</v>
      </c>
      <c r="B229" s="236" t="s">
        <v>1520</v>
      </c>
      <c r="C229" s="236" t="str">
        <f>CONCATENATE(B229," ",A229," TRIBAL COMPACT")</f>
        <v>05903 QUILEUTE TRIBAL COMPACT</v>
      </c>
      <c r="D229" s="387">
        <v>4154.78</v>
      </c>
      <c r="E229" s="387">
        <v>8612.76</v>
      </c>
      <c r="F229" s="387">
        <v>4207.68</v>
      </c>
      <c r="G229" s="387">
        <v>197457.72</v>
      </c>
      <c r="H229" s="387">
        <v>20758.14</v>
      </c>
      <c r="I229" s="387">
        <v>39644.85</v>
      </c>
      <c r="J229" s="387">
        <v>81131.149999999994</v>
      </c>
      <c r="K229" s="387">
        <v>0</v>
      </c>
      <c r="L229" s="387">
        <v>0</v>
      </c>
      <c r="M229" s="387">
        <v>183100.03</v>
      </c>
      <c r="N229" s="388">
        <v>3.5000000000000003E-2</v>
      </c>
      <c r="O229" s="389">
        <v>0.14979999999999999</v>
      </c>
      <c r="P229" s="387">
        <v>0</v>
      </c>
      <c r="Q229" s="387">
        <v>0</v>
      </c>
      <c r="R229" s="387">
        <v>0</v>
      </c>
      <c r="S229" s="387">
        <v>0</v>
      </c>
      <c r="T229" s="387">
        <v>0</v>
      </c>
      <c r="U229" s="387">
        <v>0</v>
      </c>
      <c r="V229" s="387">
        <v>0</v>
      </c>
      <c r="W229" s="387">
        <v>0</v>
      </c>
      <c r="X229" s="387">
        <v>0</v>
      </c>
      <c r="Y229" s="387">
        <v>0</v>
      </c>
      <c r="Z229" s="387">
        <v>0</v>
      </c>
      <c r="AA229" s="387">
        <v>0</v>
      </c>
      <c r="AB229" s="387">
        <v>5312.12</v>
      </c>
      <c r="AC229" s="387">
        <v>1228.8499999999999</v>
      </c>
      <c r="AD229" s="525">
        <v>0.14000000000000001</v>
      </c>
      <c r="AE229" s="387">
        <v>1181.73</v>
      </c>
      <c r="AF229" s="526">
        <f t="shared" si="67"/>
        <v>8440.93</v>
      </c>
      <c r="AG229" s="526">
        <f t="shared" si="68"/>
        <v>8777.5</v>
      </c>
      <c r="AH229" s="527">
        <f t="shared" si="65"/>
        <v>336.57</v>
      </c>
      <c r="AI229" s="525">
        <v>0.55000000000000004</v>
      </c>
      <c r="AJ229" s="387">
        <v>5031.3599999999997</v>
      </c>
      <c r="AK229" s="526">
        <f t="shared" si="69"/>
        <v>9147.93</v>
      </c>
      <c r="AL229" s="526">
        <f t="shared" si="70"/>
        <v>9658.4</v>
      </c>
      <c r="AM229" s="527">
        <f t="shared" si="66"/>
        <v>510.47</v>
      </c>
      <c r="AN229" s="387">
        <v>0</v>
      </c>
      <c r="AO229" s="387">
        <v>0</v>
      </c>
      <c r="AP229" s="73"/>
      <c r="AQ229" s="241">
        <v>48437.979999999996</v>
      </c>
      <c r="AR229" s="659">
        <v>24324.579999999998</v>
      </c>
    </row>
    <row r="230" spans="1:44">
      <c r="A230" s="236" t="s">
        <v>212</v>
      </c>
      <c r="B230" s="236" t="s">
        <v>211</v>
      </c>
      <c r="C230" s="236" t="str">
        <f>CONCATENATE(B230," ",A230," SCHOOL DISTRICT")</f>
        <v>05402 QUILLAYUTE VALLEY SCHOOL DISTRICT</v>
      </c>
      <c r="D230" s="387">
        <v>0</v>
      </c>
      <c r="E230" s="387">
        <v>130917.64</v>
      </c>
      <c r="F230" s="387">
        <v>98370.05</v>
      </c>
      <c r="G230" s="387">
        <v>6941263.9900000002</v>
      </c>
      <c r="H230" s="387">
        <v>983406.74</v>
      </c>
      <c r="I230" s="387">
        <v>1145368.27</v>
      </c>
      <c r="J230" s="387">
        <v>1468376.41</v>
      </c>
      <c r="K230" s="387">
        <v>721488.63</v>
      </c>
      <c r="L230" s="387">
        <v>124133.9</v>
      </c>
      <c r="M230" s="387">
        <v>738657.53</v>
      </c>
      <c r="N230" s="388">
        <v>1.8100000000000002E-2</v>
      </c>
      <c r="O230" s="389">
        <v>0.1016</v>
      </c>
      <c r="P230" s="387">
        <v>0</v>
      </c>
      <c r="Q230" s="387">
        <v>0</v>
      </c>
      <c r="R230" s="387">
        <v>0</v>
      </c>
      <c r="S230" s="387">
        <v>0</v>
      </c>
      <c r="T230" s="387">
        <v>0</v>
      </c>
      <c r="U230" s="387">
        <v>0</v>
      </c>
      <c r="V230" s="387">
        <v>0</v>
      </c>
      <c r="W230" s="387">
        <v>0</v>
      </c>
      <c r="X230" s="387">
        <v>0</v>
      </c>
      <c r="Y230" s="387">
        <v>1085.49</v>
      </c>
      <c r="Z230" s="387">
        <v>14090.91</v>
      </c>
      <c r="AA230" s="387">
        <v>0</v>
      </c>
      <c r="AB230" s="387">
        <v>113838.37</v>
      </c>
      <c r="AC230" s="387">
        <v>416762.04</v>
      </c>
      <c r="AD230" s="525">
        <v>26.16</v>
      </c>
      <c r="AE230" s="387">
        <v>242375.62</v>
      </c>
      <c r="AF230" s="526">
        <f t="shared" si="67"/>
        <v>9265.1200000000008</v>
      </c>
      <c r="AG230" s="526">
        <f t="shared" si="68"/>
        <v>15931.27</v>
      </c>
      <c r="AH230" s="527">
        <f t="shared" si="65"/>
        <v>6666.15</v>
      </c>
      <c r="AI230" s="525">
        <v>11.92</v>
      </c>
      <c r="AJ230" s="387">
        <v>108221.59</v>
      </c>
      <c r="AK230" s="526">
        <f t="shared" si="69"/>
        <v>9078.99</v>
      </c>
      <c r="AL230" s="526">
        <f t="shared" si="70"/>
        <v>9550.2000000000007</v>
      </c>
      <c r="AM230" s="527">
        <f t="shared" si="66"/>
        <v>471.21</v>
      </c>
      <c r="AN230" s="387">
        <v>267.14999999999998</v>
      </c>
      <c r="AO230" s="387">
        <v>0</v>
      </c>
      <c r="AP230" s="73"/>
      <c r="AQ230" s="241">
        <v>95726.02999999997</v>
      </c>
      <c r="AR230" s="659">
        <v>180726.52000000002</v>
      </c>
    </row>
    <row r="231" spans="1:44">
      <c r="A231" s="236" t="s">
        <v>1644</v>
      </c>
      <c r="B231" s="236" t="s">
        <v>311</v>
      </c>
      <c r="C231" s="236" t="str">
        <f>CONCATENATE(B231," ",A231," SCHOOL DISTRICT")</f>
        <v>14097 QUINAULT SCHOOL DISTRICT</v>
      </c>
      <c r="D231" s="387">
        <v>0</v>
      </c>
      <c r="E231" s="387">
        <v>21.17</v>
      </c>
      <c r="F231" s="387">
        <v>0</v>
      </c>
      <c r="G231" s="387">
        <v>0</v>
      </c>
      <c r="H231" s="387">
        <v>0</v>
      </c>
      <c r="I231" s="387">
        <v>66074.77</v>
      </c>
      <c r="J231" s="387">
        <v>142006.6</v>
      </c>
      <c r="K231" s="387">
        <v>72500.7</v>
      </c>
      <c r="L231" s="387">
        <v>0</v>
      </c>
      <c r="M231" s="387">
        <v>280053.15000000002</v>
      </c>
      <c r="N231" s="388">
        <v>2.93E-2</v>
      </c>
      <c r="O231" s="389">
        <v>0.315</v>
      </c>
      <c r="P231" s="387">
        <v>0</v>
      </c>
      <c r="Q231" s="387">
        <v>0</v>
      </c>
      <c r="R231" s="387">
        <v>0</v>
      </c>
      <c r="S231" s="387">
        <v>0</v>
      </c>
      <c r="T231" s="387">
        <v>0</v>
      </c>
      <c r="U231" s="387">
        <v>0</v>
      </c>
      <c r="V231" s="387">
        <v>0</v>
      </c>
      <c r="W231" s="387">
        <v>0</v>
      </c>
      <c r="X231" s="387">
        <v>0</v>
      </c>
      <c r="Y231" s="387">
        <v>248.78</v>
      </c>
      <c r="Z231" s="387">
        <v>0</v>
      </c>
      <c r="AA231" s="387">
        <v>8844.73</v>
      </c>
      <c r="AB231" s="387">
        <v>0</v>
      </c>
      <c r="AC231" s="387">
        <v>137773.37</v>
      </c>
      <c r="AD231" s="525">
        <v>12.04</v>
      </c>
      <c r="AE231" s="387">
        <v>111644.73</v>
      </c>
      <c r="AF231" s="526">
        <f t="shared" si="67"/>
        <v>9272.82</v>
      </c>
      <c r="AG231" s="526">
        <f t="shared" si="68"/>
        <v>11442.97</v>
      </c>
      <c r="AH231" s="527">
        <f t="shared" si="65"/>
        <v>2170.15</v>
      </c>
      <c r="AI231" s="525">
        <v>0</v>
      </c>
      <c r="AJ231" s="387">
        <v>0</v>
      </c>
      <c r="AK231" s="526">
        <f t="shared" si="69"/>
        <v>0</v>
      </c>
      <c r="AL231" s="526">
        <f t="shared" si="70"/>
        <v>0</v>
      </c>
      <c r="AM231" s="527">
        <f t="shared" si="66"/>
        <v>0</v>
      </c>
      <c r="AN231" s="387">
        <v>553.16</v>
      </c>
      <c r="AO231" s="387">
        <v>0</v>
      </c>
      <c r="AP231" s="73"/>
      <c r="AQ231" s="241">
        <v>0</v>
      </c>
      <c r="AR231" s="659">
        <v>29438.179999999997</v>
      </c>
    </row>
    <row r="232" spans="1:44">
      <c r="A232" s="236" t="s">
        <v>280</v>
      </c>
      <c r="B232" s="236" t="s">
        <v>279</v>
      </c>
      <c r="C232" s="236" t="str">
        <f>CONCATENATE(B232," ",A232," SCHOOL DISTRICT")</f>
        <v>13144 QUINCY SCHOOL DISTRICT</v>
      </c>
      <c r="D232" s="387">
        <v>0</v>
      </c>
      <c r="E232" s="387">
        <v>151621.13</v>
      </c>
      <c r="F232" s="387">
        <v>0</v>
      </c>
      <c r="G232" s="387">
        <v>5110934.68</v>
      </c>
      <c r="H232" s="387">
        <v>796792.2</v>
      </c>
      <c r="I232" s="387">
        <v>1021450.98</v>
      </c>
      <c r="J232" s="387">
        <v>1801133.29</v>
      </c>
      <c r="K232" s="387">
        <v>2243470.39</v>
      </c>
      <c r="L232" s="387">
        <v>99437.11</v>
      </c>
      <c r="M232" s="387">
        <v>1937126.16</v>
      </c>
      <c r="N232" s="388">
        <v>5.6899999999999999E-2</v>
      </c>
      <c r="O232" s="389">
        <v>0.1643</v>
      </c>
      <c r="P232" s="387">
        <v>0</v>
      </c>
      <c r="Q232" s="387">
        <v>0</v>
      </c>
      <c r="R232" s="387">
        <v>0</v>
      </c>
      <c r="S232" s="387">
        <v>0</v>
      </c>
      <c r="T232" s="387">
        <v>0</v>
      </c>
      <c r="U232" s="387">
        <v>0</v>
      </c>
      <c r="V232" s="387">
        <v>0</v>
      </c>
      <c r="W232" s="387">
        <v>0</v>
      </c>
      <c r="X232" s="387">
        <v>0</v>
      </c>
      <c r="Y232" s="387">
        <v>0</v>
      </c>
      <c r="Z232" s="387">
        <v>37957.14</v>
      </c>
      <c r="AA232" s="387">
        <v>38394.51</v>
      </c>
      <c r="AB232" s="387">
        <v>455865.11</v>
      </c>
      <c r="AC232" s="387">
        <v>2614929.29</v>
      </c>
      <c r="AD232" s="525">
        <v>269.14999999999998</v>
      </c>
      <c r="AE232" s="387">
        <v>2493882.65</v>
      </c>
      <c r="AF232" s="526">
        <f t="shared" si="67"/>
        <v>9265.77</v>
      </c>
      <c r="AG232" s="526">
        <f t="shared" si="68"/>
        <v>9715.51</v>
      </c>
      <c r="AH232" s="527">
        <f t="shared" si="65"/>
        <v>449.74</v>
      </c>
      <c r="AI232" s="525">
        <v>47.74</v>
      </c>
      <c r="AJ232" s="387">
        <v>433585.49</v>
      </c>
      <c r="AK232" s="526">
        <f t="shared" si="69"/>
        <v>9082.23</v>
      </c>
      <c r="AL232" s="526">
        <f t="shared" si="70"/>
        <v>9548.91</v>
      </c>
      <c r="AM232" s="527">
        <f t="shared" si="66"/>
        <v>466.68</v>
      </c>
      <c r="AN232" s="387">
        <v>2985.67</v>
      </c>
      <c r="AO232" s="387">
        <v>0</v>
      </c>
      <c r="AP232" s="73"/>
      <c r="AQ232" s="241">
        <v>0</v>
      </c>
      <c r="AR232" s="659">
        <v>384300.47000000003</v>
      </c>
    </row>
    <row r="233" spans="1:44">
      <c r="A233" s="236" t="s">
        <v>649</v>
      </c>
      <c r="B233" s="236" t="s">
        <v>648</v>
      </c>
      <c r="C233" s="236" t="str">
        <f>CONCATENATE(B233," ",A233," SCHOOL DISTRICT")</f>
        <v>34307 RAINIER SCHOOL DISTRICT</v>
      </c>
      <c r="D233" s="387">
        <v>91252.6</v>
      </c>
      <c r="E233" s="387">
        <v>18944.82</v>
      </c>
      <c r="F233" s="387">
        <v>0</v>
      </c>
      <c r="G233" s="387">
        <v>1813250.87</v>
      </c>
      <c r="H233" s="387">
        <v>282738.21000000002</v>
      </c>
      <c r="I233" s="387">
        <v>0</v>
      </c>
      <c r="J233" s="387">
        <v>284229.84000000003</v>
      </c>
      <c r="K233" s="387">
        <v>0</v>
      </c>
      <c r="L233" s="387">
        <v>30004.44</v>
      </c>
      <c r="M233" s="387">
        <v>621717.61</v>
      </c>
      <c r="N233" s="388">
        <v>3.1099999999999999E-2</v>
      </c>
      <c r="O233" s="389">
        <v>0.21340000000000001</v>
      </c>
      <c r="P233" s="387">
        <v>0</v>
      </c>
      <c r="Q233" s="387">
        <v>0</v>
      </c>
      <c r="R233" s="387">
        <v>0</v>
      </c>
      <c r="S233" s="387">
        <v>0</v>
      </c>
      <c r="T233" s="387">
        <v>0</v>
      </c>
      <c r="U233" s="387">
        <v>0</v>
      </c>
      <c r="V233" s="387">
        <v>0</v>
      </c>
      <c r="W233" s="387">
        <v>0</v>
      </c>
      <c r="X233" s="387">
        <v>0</v>
      </c>
      <c r="Y233" s="387">
        <v>1143.5</v>
      </c>
      <c r="Z233" s="387">
        <v>0</v>
      </c>
      <c r="AA233" s="387">
        <v>20261.21</v>
      </c>
      <c r="AB233" s="387">
        <v>128562.03</v>
      </c>
      <c r="AC233" s="387">
        <v>779541.8</v>
      </c>
      <c r="AD233" s="525">
        <v>79.63</v>
      </c>
      <c r="AE233" s="387">
        <v>737764.4</v>
      </c>
      <c r="AF233" s="526">
        <f t="shared" si="67"/>
        <v>9264.91</v>
      </c>
      <c r="AG233" s="526">
        <f t="shared" si="68"/>
        <v>9789.5499999999993</v>
      </c>
      <c r="AH233" s="527">
        <f t="shared" si="65"/>
        <v>524.64</v>
      </c>
      <c r="AI233" s="525">
        <v>13.45</v>
      </c>
      <c r="AJ233" s="387">
        <v>122241.37</v>
      </c>
      <c r="AK233" s="526">
        <f t="shared" si="69"/>
        <v>9088.58</v>
      </c>
      <c r="AL233" s="526">
        <f t="shared" si="70"/>
        <v>9558.52</v>
      </c>
      <c r="AM233" s="527">
        <f t="shared" si="66"/>
        <v>469.94</v>
      </c>
      <c r="AN233" s="387">
        <v>0</v>
      </c>
      <c r="AO233" s="387">
        <v>0</v>
      </c>
      <c r="AP233" s="73"/>
      <c r="AQ233" s="241">
        <v>0</v>
      </c>
      <c r="AR233" s="659">
        <v>104701.59000000001</v>
      </c>
    </row>
    <row r="234" spans="1:44">
      <c r="A234" s="236" t="s">
        <v>1645</v>
      </c>
      <c r="B234" s="236" t="s">
        <v>1410</v>
      </c>
      <c r="C234" s="236" t="str">
        <f>CONCATENATE(B234," ",A234," CHARTER")</f>
        <v>17908 RAINIER PREP CHARTER</v>
      </c>
      <c r="D234" s="387">
        <v>0</v>
      </c>
      <c r="E234" s="387">
        <v>0</v>
      </c>
      <c r="F234" s="387">
        <v>0</v>
      </c>
      <c r="G234" s="387">
        <v>311521.7</v>
      </c>
      <c r="H234" s="387">
        <v>25568.2</v>
      </c>
      <c r="I234" s="387">
        <v>121715.19</v>
      </c>
      <c r="J234" s="387">
        <v>201982.13</v>
      </c>
      <c r="K234" s="387">
        <v>302345.56</v>
      </c>
      <c r="L234" s="387">
        <v>0</v>
      </c>
      <c r="M234" s="387">
        <v>387859.66</v>
      </c>
      <c r="N234" s="388">
        <v>3.0599999999999999E-2</v>
      </c>
      <c r="O234" s="389">
        <v>0.1633</v>
      </c>
      <c r="P234" s="387">
        <v>0</v>
      </c>
      <c r="Q234" s="387">
        <v>0</v>
      </c>
      <c r="R234" s="387">
        <v>0</v>
      </c>
      <c r="S234" s="387">
        <v>0</v>
      </c>
      <c r="T234" s="387">
        <v>0</v>
      </c>
      <c r="U234" s="387">
        <v>0</v>
      </c>
      <c r="V234" s="387">
        <v>0</v>
      </c>
      <c r="W234" s="387">
        <v>0</v>
      </c>
      <c r="X234" s="387">
        <v>0</v>
      </c>
      <c r="Y234" s="387">
        <v>401.62</v>
      </c>
      <c r="Z234" s="387">
        <v>0</v>
      </c>
      <c r="AA234" s="387">
        <v>0</v>
      </c>
      <c r="AB234" s="387">
        <v>0</v>
      </c>
      <c r="AC234" s="387">
        <v>0</v>
      </c>
      <c r="AD234" s="525">
        <v>0</v>
      </c>
      <c r="AE234" s="387">
        <v>0</v>
      </c>
      <c r="AF234" s="526">
        <f t="shared" si="67"/>
        <v>0</v>
      </c>
      <c r="AG234" s="526">
        <f t="shared" si="68"/>
        <v>0</v>
      </c>
      <c r="AH234" s="527">
        <f t="shared" si="65"/>
        <v>0</v>
      </c>
      <c r="AI234" s="525">
        <v>0</v>
      </c>
      <c r="AJ234" s="387">
        <v>0</v>
      </c>
      <c r="AK234" s="526">
        <f t="shared" si="69"/>
        <v>0</v>
      </c>
      <c r="AL234" s="526">
        <f t="shared" si="70"/>
        <v>0</v>
      </c>
      <c r="AM234" s="527">
        <f t="shared" si="66"/>
        <v>0</v>
      </c>
      <c r="AN234" s="387">
        <v>0</v>
      </c>
      <c r="AO234" s="387">
        <v>0</v>
      </c>
      <c r="AP234" s="73"/>
      <c r="AQ234" s="241">
        <v>111663.41</v>
      </c>
      <c r="AR234" s="659">
        <v>42137.579999999994</v>
      </c>
    </row>
    <row r="235" spans="1:44">
      <c r="A235" s="236" t="s">
        <v>1639</v>
      </c>
      <c r="B235" s="236" t="s">
        <v>1516</v>
      </c>
      <c r="C235" s="236" t="str">
        <f>CONCATENATE(B235," ",A235," CHARTER")</f>
        <v>17910 RAINIER VALLEY LEADERSHIP ACADEMY CHARTER</v>
      </c>
      <c r="D235" s="387">
        <v>0</v>
      </c>
      <c r="E235" s="387">
        <v>0</v>
      </c>
      <c r="F235" s="387">
        <v>0</v>
      </c>
      <c r="G235" s="387">
        <v>233248.08</v>
      </c>
      <c r="H235" s="387">
        <v>19645.04</v>
      </c>
      <c r="I235" s="387">
        <v>55347.85</v>
      </c>
      <c r="J235" s="387">
        <v>85776.66</v>
      </c>
      <c r="K235" s="387">
        <v>33402.22</v>
      </c>
      <c r="L235" s="387">
        <v>0</v>
      </c>
      <c r="M235" s="387">
        <v>0</v>
      </c>
      <c r="N235" s="388">
        <v>0</v>
      </c>
      <c r="O235" s="389">
        <v>0.60409999999999997</v>
      </c>
      <c r="P235" s="387">
        <v>0</v>
      </c>
      <c r="Q235" s="387">
        <v>0</v>
      </c>
      <c r="R235" s="387">
        <v>0</v>
      </c>
      <c r="S235" s="387">
        <v>0</v>
      </c>
      <c r="T235" s="387">
        <v>0</v>
      </c>
      <c r="U235" s="387">
        <v>0</v>
      </c>
      <c r="V235" s="387">
        <v>0</v>
      </c>
      <c r="W235" s="387">
        <v>0</v>
      </c>
      <c r="X235" s="387">
        <v>0</v>
      </c>
      <c r="Y235" s="387">
        <v>0</v>
      </c>
      <c r="Z235" s="387">
        <v>209.65</v>
      </c>
      <c r="AA235" s="387">
        <v>8293.52</v>
      </c>
      <c r="AB235" s="387">
        <v>0</v>
      </c>
      <c r="AC235" s="387">
        <v>36666.559999999998</v>
      </c>
      <c r="AD235" s="525">
        <v>3.41</v>
      </c>
      <c r="AE235" s="387">
        <v>35448.870000000003</v>
      </c>
      <c r="AF235" s="526">
        <f t="shared" si="67"/>
        <v>10395.56</v>
      </c>
      <c r="AG235" s="526">
        <f t="shared" si="68"/>
        <v>10752.66</v>
      </c>
      <c r="AH235" s="527">
        <f t="shared" si="65"/>
        <v>357.1</v>
      </c>
      <c r="AI235" s="525">
        <v>0</v>
      </c>
      <c r="AJ235" s="387">
        <v>0</v>
      </c>
      <c r="AK235" s="526">
        <f t="shared" si="69"/>
        <v>0</v>
      </c>
      <c r="AL235" s="526">
        <f t="shared" si="70"/>
        <v>0</v>
      </c>
      <c r="AM235" s="527">
        <f t="shared" si="66"/>
        <v>0</v>
      </c>
      <c r="AN235" s="387">
        <v>0</v>
      </c>
      <c r="AO235" s="387">
        <v>0</v>
      </c>
      <c r="AP235" s="73"/>
      <c r="AQ235" s="241">
        <v>63243.34</v>
      </c>
      <c r="AR235" s="659">
        <v>28585.710000000003</v>
      </c>
    </row>
    <row r="236" spans="1:44">
      <c r="A236" s="236" t="s">
        <v>491</v>
      </c>
      <c r="B236" s="236" t="s">
        <v>490</v>
      </c>
      <c r="C236" s="236" t="str">
        <f t="shared" ref="C236:C269" si="72">CONCATENATE(B236," ",A236," SCHOOL DISTRICT")</f>
        <v>25116 RAYMOND SCHOOL DISTRICT</v>
      </c>
      <c r="D236" s="387">
        <v>0</v>
      </c>
      <c r="E236" s="387">
        <v>0</v>
      </c>
      <c r="F236" s="387">
        <v>0</v>
      </c>
      <c r="G236" s="387">
        <v>780954.01</v>
      </c>
      <c r="H236" s="387">
        <v>121217.73</v>
      </c>
      <c r="I236" s="387">
        <v>158687.76999999999</v>
      </c>
      <c r="J236" s="387">
        <v>223029.43</v>
      </c>
      <c r="K236" s="387">
        <v>99261.99</v>
      </c>
      <c r="L236" s="387">
        <v>14189.83</v>
      </c>
      <c r="M236" s="387">
        <v>516906.12</v>
      </c>
      <c r="N236" s="388">
        <v>2.9600000000000001E-2</v>
      </c>
      <c r="O236" s="389">
        <v>0.19589999999999999</v>
      </c>
      <c r="P236" s="387">
        <v>0</v>
      </c>
      <c r="Q236" s="387">
        <v>0</v>
      </c>
      <c r="R236" s="387">
        <v>0</v>
      </c>
      <c r="S236" s="387">
        <v>0</v>
      </c>
      <c r="T236" s="387">
        <v>0</v>
      </c>
      <c r="U236" s="387">
        <v>0</v>
      </c>
      <c r="V236" s="387">
        <v>0</v>
      </c>
      <c r="W236" s="387">
        <v>0</v>
      </c>
      <c r="X236" s="387">
        <v>0</v>
      </c>
      <c r="Y236" s="387">
        <v>0</v>
      </c>
      <c r="Z236" s="387">
        <v>0</v>
      </c>
      <c r="AA236" s="387">
        <v>0</v>
      </c>
      <c r="AB236" s="387">
        <v>0</v>
      </c>
      <c r="AC236" s="387">
        <v>333643.57</v>
      </c>
      <c r="AD236" s="525">
        <v>34.78</v>
      </c>
      <c r="AE236" s="387">
        <v>322157.02</v>
      </c>
      <c r="AF236" s="526">
        <f t="shared" si="67"/>
        <v>9262.7099999999991</v>
      </c>
      <c r="AG236" s="526">
        <f t="shared" si="68"/>
        <v>9592.9699999999993</v>
      </c>
      <c r="AH236" s="527">
        <f t="shared" si="65"/>
        <v>330.26</v>
      </c>
      <c r="AI236" s="525">
        <v>0</v>
      </c>
      <c r="AJ236" s="387">
        <v>0</v>
      </c>
      <c r="AK236" s="526">
        <f t="shared" si="69"/>
        <v>0</v>
      </c>
      <c r="AL236" s="526">
        <f t="shared" si="70"/>
        <v>0</v>
      </c>
      <c r="AM236" s="527">
        <f t="shared" si="66"/>
        <v>0</v>
      </c>
      <c r="AN236" s="387">
        <v>0</v>
      </c>
      <c r="AO236" s="387">
        <v>0</v>
      </c>
      <c r="AP236" s="73"/>
      <c r="AQ236" s="241">
        <v>64484.19999999999</v>
      </c>
      <c r="AR236" s="659">
        <v>59835.659999999996</v>
      </c>
    </row>
    <row r="237" spans="1:44">
      <c r="A237" s="236" t="s">
        <v>445</v>
      </c>
      <c r="B237" s="236" t="s">
        <v>444</v>
      </c>
      <c r="C237" s="236" t="str">
        <f t="shared" si="72"/>
        <v>22009 REARDAN SCHOOL DISTRICT</v>
      </c>
      <c r="D237" s="387">
        <v>0</v>
      </c>
      <c r="E237" s="387">
        <v>0</v>
      </c>
      <c r="F237" s="387">
        <v>0</v>
      </c>
      <c r="G237" s="387">
        <v>894213.13</v>
      </c>
      <c r="H237" s="387">
        <v>165390.20000000001</v>
      </c>
      <c r="I237" s="387">
        <v>0</v>
      </c>
      <c r="J237" s="387">
        <v>233103.13</v>
      </c>
      <c r="K237" s="387">
        <v>9169.2099999999991</v>
      </c>
      <c r="L237" s="387">
        <v>21663.86</v>
      </c>
      <c r="M237" s="387">
        <v>1018329.14</v>
      </c>
      <c r="N237" s="388">
        <v>4.6300000000000001E-2</v>
      </c>
      <c r="O237" s="389">
        <v>0.27910000000000001</v>
      </c>
      <c r="P237" s="387">
        <v>0</v>
      </c>
      <c r="Q237" s="387">
        <v>0</v>
      </c>
      <c r="R237" s="387">
        <v>0</v>
      </c>
      <c r="S237" s="387">
        <v>0</v>
      </c>
      <c r="T237" s="387">
        <v>0</v>
      </c>
      <c r="U237" s="387">
        <v>0</v>
      </c>
      <c r="V237" s="387">
        <v>0</v>
      </c>
      <c r="W237" s="387">
        <v>0</v>
      </c>
      <c r="X237" s="387">
        <v>0</v>
      </c>
      <c r="Y237" s="387">
        <v>0</v>
      </c>
      <c r="Z237" s="387">
        <v>0</v>
      </c>
      <c r="AA237" s="387">
        <v>0</v>
      </c>
      <c r="AB237" s="387">
        <v>129731.3</v>
      </c>
      <c r="AC237" s="387">
        <v>295306.19</v>
      </c>
      <c r="AD237" s="525">
        <v>30.5</v>
      </c>
      <c r="AE237" s="387">
        <v>282645.62</v>
      </c>
      <c r="AF237" s="526">
        <f t="shared" si="67"/>
        <v>9267.07</v>
      </c>
      <c r="AG237" s="526">
        <f t="shared" si="68"/>
        <v>9682.17</v>
      </c>
      <c r="AH237" s="527">
        <f t="shared" si="65"/>
        <v>415.1</v>
      </c>
      <c r="AI237" s="525">
        <v>13.58</v>
      </c>
      <c r="AJ237" s="387">
        <v>123333.47</v>
      </c>
      <c r="AK237" s="526">
        <f t="shared" si="69"/>
        <v>9081.99</v>
      </c>
      <c r="AL237" s="526">
        <f t="shared" si="70"/>
        <v>9553.11</v>
      </c>
      <c r="AM237" s="527">
        <f t="shared" si="66"/>
        <v>471.12</v>
      </c>
      <c r="AN237" s="387">
        <v>158.75</v>
      </c>
      <c r="AO237" s="387">
        <v>0</v>
      </c>
      <c r="AP237" s="73"/>
      <c r="AQ237" s="241">
        <v>0</v>
      </c>
      <c r="AR237" s="659">
        <v>70160.61</v>
      </c>
    </row>
    <row r="238" spans="1:44">
      <c r="A238" s="236" t="s">
        <v>351</v>
      </c>
      <c r="B238" s="236" t="s">
        <v>350</v>
      </c>
      <c r="C238" s="236" t="str">
        <f t="shared" si="72"/>
        <v>17403 RENTON SCHOOL DISTRICT</v>
      </c>
      <c r="D238" s="387">
        <v>0</v>
      </c>
      <c r="E238" s="387">
        <v>594911.29</v>
      </c>
      <c r="F238" s="387">
        <v>255218.19</v>
      </c>
      <c r="G238" s="387">
        <v>34633796.219999999</v>
      </c>
      <c r="H238" s="387">
        <v>5953155.1299999999</v>
      </c>
      <c r="I238" s="387">
        <v>2620883.96</v>
      </c>
      <c r="J238" s="387">
        <v>6140231.4800000004</v>
      </c>
      <c r="K238" s="387">
        <v>7222028.46</v>
      </c>
      <c r="L238" s="387">
        <v>509651.11</v>
      </c>
      <c r="M238" s="387">
        <v>9714862.1899999995</v>
      </c>
      <c r="N238" s="388">
        <v>2.4799999999999999E-2</v>
      </c>
      <c r="O238" s="389">
        <v>0.13239999999999999</v>
      </c>
      <c r="P238" s="387">
        <v>0</v>
      </c>
      <c r="Q238" s="387">
        <v>0</v>
      </c>
      <c r="R238" s="387">
        <v>0</v>
      </c>
      <c r="S238" s="387">
        <v>0</v>
      </c>
      <c r="T238" s="387">
        <v>0</v>
      </c>
      <c r="U238" s="387">
        <v>0</v>
      </c>
      <c r="V238" s="387">
        <v>0</v>
      </c>
      <c r="W238" s="387">
        <v>0</v>
      </c>
      <c r="X238" s="387">
        <v>0</v>
      </c>
      <c r="Y238" s="387">
        <v>10343.93</v>
      </c>
      <c r="Z238" s="387">
        <v>0</v>
      </c>
      <c r="AA238" s="387">
        <v>708742.93</v>
      </c>
      <c r="AB238" s="387">
        <v>2387924.29</v>
      </c>
      <c r="AC238" s="387">
        <v>16087825.07</v>
      </c>
      <c r="AD238" s="525">
        <v>1415.08</v>
      </c>
      <c r="AE238" s="387">
        <v>14736931.210000001</v>
      </c>
      <c r="AF238" s="526">
        <f t="shared" si="67"/>
        <v>10414.200000000001</v>
      </c>
      <c r="AG238" s="526">
        <f t="shared" si="68"/>
        <v>11368.84</v>
      </c>
      <c r="AH238" s="527">
        <f t="shared" si="65"/>
        <v>954.64</v>
      </c>
      <c r="AI238" s="525">
        <v>222.08</v>
      </c>
      <c r="AJ238" s="387">
        <v>2273315.11</v>
      </c>
      <c r="AK238" s="526">
        <f t="shared" si="69"/>
        <v>10236.469999999999</v>
      </c>
      <c r="AL238" s="526">
        <f t="shared" si="70"/>
        <v>10752.54</v>
      </c>
      <c r="AM238" s="527">
        <f t="shared" si="66"/>
        <v>516.07000000000005</v>
      </c>
      <c r="AN238" s="387">
        <v>0</v>
      </c>
      <c r="AO238" s="387">
        <v>0</v>
      </c>
      <c r="AP238" s="73"/>
      <c r="AQ238" s="241">
        <v>0</v>
      </c>
      <c r="AR238" s="659">
        <v>1937771.52</v>
      </c>
    </row>
    <row r="239" spans="1:44">
      <c r="A239" s="236" t="s">
        <v>266</v>
      </c>
      <c r="B239" s="236" t="s">
        <v>265</v>
      </c>
      <c r="C239" s="236" t="str">
        <f t="shared" si="72"/>
        <v>10309 REPUBLIC SCHOOL DISTRICT</v>
      </c>
      <c r="D239" s="387">
        <v>0</v>
      </c>
      <c r="E239" s="387">
        <v>0</v>
      </c>
      <c r="F239" s="387">
        <v>0</v>
      </c>
      <c r="G239" s="387">
        <v>922559.44</v>
      </c>
      <c r="H239" s="387">
        <v>113712.14</v>
      </c>
      <c r="I239" s="387">
        <v>108051.86</v>
      </c>
      <c r="J239" s="387">
        <v>169780.16</v>
      </c>
      <c r="K239" s="387">
        <v>0</v>
      </c>
      <c r="L239" s="387">
        <v>16278.79</v>
      </c>
      <c r="M239" s="387">
        <v>397828.14</v>
      </c>
      <c r="N239" s="388">
        <v>7.5300000000000006E-2</v>
      </c>
      <c r="O239" s="389">
        <v>0.26219999999999999</v>
      </c>
      <c r="P239" s="387">
        <v>0</v>
      </c>
      <c r="Q239" s="387">
        <v>0</v>
      </c>
      <c r="R239" s="387">
        <v>0</v>
      </c>
      <c r="S239" s="387">
        <v>0</v>
      </c>
      <c r="T239" s="387">
        <v>0</v>
      </c>
      <c r="U239" s="387">
        <v>0</v>
      </c>
      <c r="V239" s="387">
        <v>0</v>
      </c>
      <c r="W239" s="387">
        <v>0</v>
      </c>
      <c r="X239" s="387">
        <v>0</v>
      </c>
      <c r="Y239" s="387">
        <v>0</v>
      </c>
      <c r="Z239" s="387">
        <v>0</v>
      </c>
      <c r="AA239" s="387">
        <v>0</v>
      </c>
      <c r="AB239" s="387">
        <v>0</v>
      </c>
      <c r="AC239" s="387">
        <v>95046.81</v>
      </c>
      <c r="AD239" s="525">
        <v>8.8699999999999992</v>
      </c>
      <c r="AE239" s="387">
        <v>82523.100000000006</v>
      </c>
      <c r="AF239" s="526">
        <f t="shared" si="67"/>
        <v>9303.6200000000008</v>
      </c>
      <c r="AG239" s="526">
        <f t="shared" si="68"/>
        <v>10715.54</v>
      </c>
      <c r="AH239" s="527">
        <f t="shared" si="65"/>
        <v>1411.92</v>
      </c>
      <c r="AI239" s="525">
        <v>0</v>
      </c>
      <c r="AJ239" s="387">
        <v>0</v>
      </c>
      <c r="AK239" s="526">
        <f t="shared" si="69"/>
        <v>0</v>
      </c>
      <c r="AL239" s="526">
        <f t="shared" si="70"/>
        <v>0</v>
      </c>
      <c r="AM239" s="527">
        <f t="shared" si="66"/>
        <v>0</v>
      </c>
      <c r="AN239" s="387">
        <v>3189.77</v>
      </c>
      <c r="AO239" s="387">
        <v>0</v>
      </c>
      <c r="AP239" s="73"/>
      <c r="AQ239" s="241">
        <v>101029.73999999998</v>
      </c>
      <c r="AR239" s="659">
        <v>46357.87</v>
      </c>
    </row>
    <row r="240" spans="1:44">
      <c r="A240" s="236" t="s">
        <v>188</v>
      </c>
      <c r="B240" s="236" t="s">
        <v>187</v>
      </c>
      <c r="C240" s="236" t="str">
        <f t="shared" si="72"/>
        <v>03400 RICHLAND SCHOOL DISTRICT</v>
      </c>
      <c r="D240" s="387">
        <v>0</v>
      </c>
      <c r="E240" s="387">
        <v>377539.23</v>
      </c>
      <c r="F240" s="387">
        <v>14424.15</v>
      </c>
      <c r="G240" s="387">
        <v>25972023.75</v>
      </c>
      <c r="H240" s="387">
        <v>4966300.2300000004</v>
      </c>
      <c r="I240" s="387">
        <v>1396993.98</v>
      </c>
      <c r="J240" s="387">
        <v>3492430.82</v>
      </c>
      <c r="K240" s="387">
        <v>1556739.43</v>
      </c>
      <c r="L240" s="387">
        <v>432085.69</v>
      </c>
      <c r="M240" s="387">
        <v>5849043.8499999996</v>
      </c>
      <c r="N240" s="388">
        <v>4.2099999999999999E-2</v>
      </c>
      <c r="O240" s="389">
        <v>0.14219999999999999</v>
      </c>
      <c r="P240" s="387">
        <v>0</v>
      </c>
      <c r="Q240" s="387">
        <v>0</v>
      </c>
      <c r="R240" s="387">
        <v>0</v>
      </c>
      <c r="S240" s="387">
        <v>156303.03000000003</v>
      </c>
      <c r="T240" s="387">
        <v>15098.604000000001</v>
      </c>
      <c r="U240" s="387">
        <v>5666.15</v>
      </c>
      <c r="V240" s="387">
        <v>0</v>
      </c>
      <c r="W240" s="387">
        <v>0</v>
      </c>
      <c r="X240" s="387">
        <v>0</v>
      </c>
      <c r="Y240" s="387">
        <v>2121.89</v>
      </c>
      <c r="Z240" s="387">
        <v>221.16</v>
      </c>
      <c r="AA240" s="387">
        <v>167592.17000000001</v>
      </c>
      <c r="AB240" s="387">
        <v>1351366.78</v>
      </c>
      <c r="AC240" s="387">
        <v>8344467.9900000002</v>
      </c>
      <c r="AD240" s="525">
        <v>845.58</v>
      </c>
      <c r="AE240" s="387">
        <v>7835043.21</v>
      </c>
      <c r="AF240" s="526">
        <f t="shared" si="67"/>
        <v>9265.8799999999992</v>
      </c>
      <c r="AG240" s="526">
        <f t="shared" si="68"/>
        <v>9868.34</v>
      </c>
      <c r="AH240" s="527">
        <f t="shared" si="65"/>
        <v>602.46</v>
      </c>
      <c r="AI240" s="525">
        <v>141.52000000000001</v>
      </c>
      <c r="AJ240" s="387">
        <v>1285582.01</v>
      </c>
      <c r="AK240" s="526">
        <f t="shared" si="69"/>
        <v>9084.1</v>
      </c>
      <c r="AL240" s="526">
        <f t="shared" si="70"/>
        <v>9548.9500000000007</v>
      </c>
      <c r="AM240" s="527">
        <f t="shared" si="66"/>
        <v>464.85</v>
      </c>
      <c r="AN240" s="387">
        <v>0</v>
      </c>
      <c r="AO240" s="387">
        <v>0</v>
      </c>
      <c r="AP240" s="73"/>
      <c r="AQ240" s="241">
        <v>26284.969999998808</v>
      </c>
      <c r="AR240" s="659">
        <v>1375316.76</v>
      </c>
    </row>
    <row r="241" spans="1:44">
      <c r="A241" s="236" t="s">
        <v>228</v>
      </c>
      <c r="B241" s="236" t="s">
        <v>227</v>
      </c>
      <c r="C241" s="236" t="str">
        <f t="shared" si="72"/>
        <v>06122 RIDGEFIELD SCHOOL DISTRICT</v>
      </c>
      <c r="D241" s="387">
        <v>0</v>
      </c>
      <c r="E241" s="387">
        <v>25863.27</v>
      </c>
      <c r="F241" s="387">
        <v>0</v>
      </c>
      <c r="G241" s="387">
        <v>7003029.6699999999</v>
      </c>
      <c r="H241" s="387">
        <v>777059.45</v>
      </c>
      <c r="I241" s="387">
        <v>0</v>
      </c>
      <c r="J241" s="387">
        <v>747078.05</v>
      </c>
      <c r="K241" s="387">
        <v>384947.77</v>
      </c>
      <c r="L241" s="387">
        <v>136288.18</v>
      </c>
      <c r="M241" s="387">
        <v>0</v>
      </c>
      <c r="N241" s="388">
        <v>5.8799999999999998E-2</v>
      </c>
      <c r="O241" s="389">
        <v>0.20250000000000001</v>
      </c>
      <c r="P241" s="387">
        <v>0</v>
      </c>
      <c r="Q241" s="387">
        <v>0</v>
      </c>
      <c r="R241" s="387">
        <v>0</v>
      </c>
      <c r="S241" s="387">
        <v>0</v>
      </c>
      <c r="T241" s="387">
        <v>0</v>
      </c>
      <c r="U241" s="387">
        <v>0</v>
      </c>
      <c r="V241" s="387">
        <v>0</v>
      </c>
      <c r="W241" s="387">
        <v>0</v>
      </c>
      <c r="X241" s="387">
        <v>0</v>
      </c>
      <c r="Y241" s="387">
        <v>4606.3500000000004</v>
      </c>
      <c r="Z241" s="387">
        <v>0</v>
      </c>
      <c r="AA241" s="387">
        <v>0</v>
      </c>
      <c r="AB241" s="387">
        <v>716782.56</v>
      </c>
      <c r="AC241" s="387">
        <v>2164060.7400000002</v>
      </c>
      <c r="AD241" s="525">
        <v>215.63</v>
      </c>
      <c r="AE241" s="387">
        <v>2080540.58</v>
      </c>
      <c r="AF241" s="526">
        <f t="shared" si="67"/>
        <v>9648.66</v>
      </c>
      <c r="AG241" s="526">
        <f t="shared" si="68"/>
        <v>10035.99</v>
      </c>
      <c r="AH241" s="527">
        <f t="shared" si="65"/>
        <v>387.33</v>
      </c>
      <c r="AI241" s="525">
        <v>72.03</v>
      </c>
      <c r="AJ241" s="387">
        <v>682155.54</v>
      </c>
      <c r="AK241" s="526">
        <f t="shared" si="69"/>
        <v>9470.44</v>
      </c>
      <c r="AL241" s="526">
        <f t="shared" si="70"/>
        <v>9951.17</v>
      </c>
      <c r="AM241" s="527">
        <f t="shared" si="66"/>
        <v>480.73</v>
      </c>
      <c r="AN241" s="387">
        <v>0</v>
      </c>
      <c r="AO241" s="387">
        <v>5500</v>
      </c>
      <c r="AP241" s="73"/>
      <c r="AQ241" s="241">
        <v>23492.440000000177</v>
      </c>
      <c r="AR241" s="659">
        <v>436019.00999999995</v>
      </c>
    </row>
    <row r="242" spans="1:44">
      <c r="A242" s="236" t="s">
        <v>172</v>
      </c>
      <c r="B242" s="236" t="s">
        <v>171</v>
      </c>
      <c r="C242" s="236" t="str">
        <f t="shared" si="72"/>
        <v>01160 RITZVILLE SCHOOL DISTRICT</v>
      </c>
      <c r="D242" s="387">
        <v>2131.25</v>
      </c>
      <c r="E242" s="387">
        <v>0</v>
      </c>
      <c r="F242" s="387">
        <v>0</v>
      </c>
      <c r="G242" s="387">
        <v>582903.14</v>
      </c>
      <c r="H242" s="387">
        <v>56905.36</v>
      </c>
      <c r="I242" s="387">
        <v>55916.3</v>
      </c>
      <c r="J242" s="387">
        <v>138726.19</v>
      </c>
      <c r="K242" s="387">
        <v>0</v>
      </c>
      <c r="L242" s="387">
        <v>12326.23</v>
      </c>
      <c r="M242" s="387">
        <v>0</v>
      </c>
      <c r="N242" s="388">
        <v>5.4399999999999997E-2</v>
      </c>
      <c r="O242" s="389">
        <v>0.2457</v>
      </c>
      <c r="P242" s="387">
        <v>0</v>
      </c>
      <c r="Q242" s="387">
        <v>0</v>
      </c>
      <c r="R242" s="387">
        <v>0</v>
      </c>
      <c r="S242" s="387">
        <v>0</v>
      </c>
      <c r="T242" s="387">
        <v>0</v>
      </c>
      <c r="U242" s="387">
        <v>0</v>
      </c>
      <c r="V242" s="387">
        <v>0</v>
      </c>
      <c r="W242" s="387">
        <v>0</v>
      </c>
      <c r="X242" s="387">
        <v>0</v>
      </c>
      <c r="Y242" s="387">
        <v>0</v>
      </c>
      <c r="Z242" s="387">
        <v>0</v>
      </c>
      <c r="AA242" s="387">
        <v>0</v>
      </c>
      <c r="AB242" s="387">
        <v>94076.82</v>
      </c>
      <c r="AC242" s="387">
        <v>324182.11</v>
      </c>
      <c r="AD242" s="525">
        <v>32.94</v>
      </c>
      <c r="AE242" s="387">
        <v>311154.59000000003</v>
      </c>
      <c r="AF242" s="526">
        <f t="shared" si="67"/>
        <v>9446.1</v>
      </c>
      <c r="AG242" s="526">
        <f t="shared" si="68"/>
        <v>9841.59</v>
      </c>
      <c r="AH242" s="527">
        <f t="shared" si="65"/>
        <v>395.49</v>
      </c>
      <c r="AI242" s="525">
        <v>9.65</v>
      </c>
      <c r="AJ242" s="387">
        <v>89441.5</v>
      </c>
      <c r="AK242" s="526">
        <f t="shared" si="69"/>
        <v>9268.5499999999993</v>
      </c>
      <c r="AL242" s="526">
        <f t="shared" si="70"/>
        <v>9748.89</v>
      </c>
      <c r="AM242" s="527">
        <f t="shared" si="66"/>
        <v>480.34</v>
      </c>
      <c r="AN242" s="387">
        <v>0</v>
      </c>
      <c r="AO242" s="387">
        <v>0</v>
      </c>
      <c r="AP242" s="73"/>
      <c r="AQ242" s="241">
        <v>13745.130000000012</v>
      </c>
      <c r="AR242" s="659">
        <v>47617.200000000012</v>
      </c>
    </row>
    <row r="243" spans="1:44">
      <c r="A243" s="236" t="s">
        <v>617</v>
      </c>
      <c r="B243" s="236" t="s">
        <v>616</v>
      </c>
      <c r="C243" s="236" t="str">
        <f t="shared" si="72"/>
        <v>32416 RIVERSIDE SCHOOL DISTRICT</v>
      </c>
      <c r="D243" s="387">
        <v>0</v>
      </c>
      <c r="E243" s="387">
        <v>51627.89</v>
      </c>
      <c r="F243" s="387">
        <v>23440.37</v>
      </c>
      <c r="G243" s="387">
        <v>2127528.2000000002</v>
      </c>
      <c r="H243" s="387">
        <v>424773.66</v>
      </c>
      <c r="I243" s="387">
        <v>263324.21999999997</v>
      </c>
      <c r="J243" s="387">
        <v>540404.98</v>
      </c>
      <c r="K243" s="387">
        <v>23242.880000000001</v>
      </c>
      <c r="L243" s="387">
        <v>45602.43</v>
      </c>
      <c r="M243" s="387">
        <v>1718572.61</v>
      </c>
      <c r="N243" s="388">
        <v>4.3299999999999998E-2</v>
      </c>
      <c r="O243" s="389">
        <v>0.222</v>
      </c>
      <c r="P243" s="387">
        <v>0</v>
      </c>
      <c r="Q243" s="387">
        <v>0</v>
      </c>
      <c r="R243" s="387">
        <v>0</v>
      </c>
      <c r="S243" s="387">
        <v>0</v>
      </c>
      <c r="T243" s="387">
        <v>0</v>
      </c>
      <c r="U243" s="387">
        <v>0</v>
      </c>
      <c r="V243" s="387">
        <v>0</v>
      </c>
      <c r="W243" s="387">
        <v>0</v>
      </c>
      <c r="X243" s="387">
        <v>0</v>
      </c>
      <c r="Y243" s="387">
        <v>1757.09</v>
      </c>
      <c r="Z243" s="387">
        <v>0</v>
      </c>
      <c r="AA243" s="387">
        <v>0</v>
      </c>
      <c r="AB243" s="387">
        <v>472437.08</v>
      </c>
      <c r="AC243" s="387">
        <v>978695.14</v>
      </c>
      <c r="AD243" s="525">
        <v>99.85</v>
      </c>
      <c r="AE243" s="387">
        <v>925261.8</v>
      </c>
      <c r="AF243" s="526">
        <f t="shared" si="67"/>
        <v>9266.52</v>
      </c>
      <c r="AG243" s="526">
        <f t="shared" si="68"/>
        <v>9801.65</v>
      </c>
      <c r="AH243" s="527">
        <f t="shared" si="65"/>
        <v>535.13</v>
      </c>
      <c r="AI243" s="525">
        <v>49.47</v>
      </c>
      <c r="AJ243" s="387">
        <v>449396.47999999998</v>
      </c>
      <c r="AK243" s="526">
        <f t="shared" si="69"/>
        <v>9084.2199999999993</v>
      </c>
      <c r="AL243" s="526">
        <f t="shared" si="70"/>
        <v>9549.9699999999993</v>
      </c>
      <c r="AM243" s="527">
        <f t="shared" si="66"/>
        <v>465.75</v>
      </c>
      <c r="AN243" s="387">
        <v>0</v>
      </c>
      <c r="AO243" s="387">
        <v>0</v>
      </c>
      <c r="AP243" s="73"/>
      <c r="AQ243" s="241">
        <v>15302.260000000038</v>
      </c>
      <c r="AR243" s="659">
        <v>146036.19999999998</v>
      </c>
    </row>
    <row r="244" spans="1:44">
      <c r="A244" s="236" t="s">
        <v>359</v>
      </c>
      <c r="B244" s="236" t="s">
        <v>358</v>
      </c>
      <c r="C244" s="236" t="str">
        <f t="shared" si="72"/>
        <v>17407 RIVERVIEW SCHOOL DISTRICT</v>
      </c>
      <c r="D244" s="387">
        <v>0</v>
      </c>
      <c r="E244" s="387">
        <v>0</v>
      </c>
      <c r="F244" s="387">
        <v>0</v>
      </c>
      <c r="G244" s="387">
        <v>5114935.47</v>
      </c>
      <c r="H244" s="387">
        <v>663208.62</v>
      </c>
      <c r="I244" s="387">
        <v>0</v>
      </c>
      <c r="J244" s="387">
        <v>423123.11</v>
      </c>
      <c r="K244" s="387">
        <v>432996.32</v>
      </c>
      <c r="L244" s="387">
        <v>106688.63</v>
      </c>
      <c r="M244" s="387">
        <v>2739211.43</v>
      </c>
      <c r="N244" s="388">
        <v>3.95E-2</v>
      </c>
      <c r="O244" s="389">
        <v>0.159</v>
      </c>
      <c r="P244" s="387">
        <v>0</v>
      </c>
      <c r="Q244" s="387">
        <v>0</v>
      </c>
      <c r="R244" s="387">
        <v>0</v>
      </c>
      <c r="S244" s="387">
        <v>0</v>
      </c>
      <c r="T244" s="387">
        <v>0</v>
      </c>
      <c r="U244" s="387">
        <v>0</v>
      </c>
      <c r="V244" s="387">
        <v>0</v>
      </c>
      <c r="W244" s="387">
        <v>0</v>
      </c>
      <c r="X244" s="387">
        <v>0</v>
      </c>
      <c r="Y244" s="387">
        <v>3361.33</v>
      </c>
      <c r="Z244" s="387">
        <v>0</v>
      </c>
      <c r="AA244" s="387">
        <v>0</v>
      </c>
      <c r="AB244" s="387">
        <v>215312.95</v>
      </c>
      <c r="AC244" s="387">
        <v>1876425.86</v>
      </c>
      <c r="AD244" s="525">
        <v>156.63</v>
      </c>
      <c r="AE244" s="387">
        <v>1631130.74</v>
      </c>
      <c r="AF244" s="526">
        <f t="shared" si="67"/>
        <v>10413.91</v>
      </c>
      <c r="AG244" s="526">
        <f t="shared" si="68"/>
        <v>11979.99</v>
      </c>
      <c r="AH244" s="527">
        <f t="shared" si="65"/>
        <v>1566.08</v>
      </c>
      <c r="AI244" s="525">
        <v>20.03</v>
      </c>
      <c r="AJ244" s="387">
        <v>204918.96</v>
      </c>
      <c r="AK244" s="526">
        <f t="shared" si="69"/>
        <v>10230.6</v>
      </c>
      <c r="AL244" s="526">
        <f t="shared" si="70"/>
        <v>10749.52</v>
      </c>
      <c r="AM244" s="527">
        <f t="shared" si="66"/>
        <v>518.91999999999996</v>
      </c>
      <c r="AN244" s="387">
        <v>0</v>
      </c>
      <c r="AO244" s="387">
        <v>0</v>
      </c>
      <c r="AP244" s="73"/>
      <c r="AQ244" s="241">
        <v>8133.5500000001048</v>
      </c>
      <c r="AR244" s="659">
        <v>336069.66000000003</v>
      </c>
    </row>
    <row r="245" spans="1:44">
      <c r="A245" s="236" t="s">
        <v>653</v>
      </c>
      <c r="B245" s="236" t="s">
        <v>652</v>
      </c>
      <c r="C245" s="236" t="str">
        <f t="shared" si="72"/>
        <v>34401 ROCHESTER SCHOOL DISTRICT</v>
      </c>
      <c r="D245" s="387">
        <v>0</v>
      </c>
      <c r="E245" s="387">
        <v>34978.39</v>
      </c>
      <c r="F245" s="387">
        <v>46549.14</v>
      </c>
      <c r="G245" s="387">
        <v>4614281.6100000003</v>
      </c>
      <c r="H245" s="387">
        <v>683893.71</v>
      </c>
      <c r="I245" s="387">
        <v>487761.81</v>
      </c>
      <c r="J245" s="387">
        <v>942486.22</v>
      </c>
      <c r="K245" s="387">
        <v>386386.12</v>
      </c>
      <c r="L245" s="387">
        <v>64449.99</v>
      </c>
      <c r="M245" s="387">
        <v>2449142.84</v>
      </c>
      <c r="N245" s="388">
        <v>1.9599999999999999E-2</v>
      </c>
      <c r="O245" s="389">
        <v>0.13120000000000001</v>
      </c>
      <c r="P245" s="387">
        <v>0</v>
      </c>
      <c r="Q245" s="387">
        <v>0</v>
      </c>
      <c r="R245" s="387">
        <v>0</v>
      </c>
      <c r="S245" s="387">
        <v>0</v>
      </c>
      <c r="T245" s="387">
        <v>0</v>
      </c>
      <c r="U245" s="387">
        <v>0</v>
      </c>
      <c r="V245" s="387">
        <v>0</v>
      </c>
      <c r="W245" s="387">
        <v>0</v>
      </c>
      <c r="X245" s="387">
        <v>0</v>
      </c>
      <c r="Y245" s="387">
        <v>2437.61</v>
      </c>
      <c r="Z245" s="387">
        <v>0</v>
      </c>
      <c r="AA245" s="387">
        <v>117830.05</v>
      </c>
      <c r="AB245" s="387">
        <v>0</v>
      </c>
      <c r="AC245" s="387">
        <v>1371151.4</v>
      </c>
      <c r="AD245" s="525">
        <v>134.69</v>
      </c>
      <c r="AE245" s="387">
        <v>1248046.46</v>
      </c>
      <c r="AF245" s="526">
        <f t="shared" si="67"/>
        <v>9266.07</v>
      </c>
      <c r="AG245" s="526">
        <f t="shared" si="68"/>
        <v>10180.049999999999</v>
      </c>
      <c r="AH245" s="527">
        <f t="shared" si="65"/>
        <v>913.98</v>
      </c>
      <c r="AI245" s="525">
        <v>0</v>
      </c>
      <c r="AJ245" s="387">
        <v>0</v>
      </c>
      <c r="AK245" s="526">
        <f t="shared" si="69"/>
        <v>0</v>
      </c>
      <c r="AL245" s="526">
        <f t="shared" si="70"/>
        <v>0</v>
      </c>
      <c r="AM245" s="527">
        <f t="shared" si="66"/>
        <v>0</v>
      </c>
      <c r="AN245" s="387">
        <v>3973.25</v>
      </c>
      <c r="AO245" s="387">
        <v>0</v>
      </c>
      <c r="AP245" s="73"/>
      <c r="AQ245" s="241">
        <v>0</v>
      </c>
      <c r="AR245" s="659">
        <v>239189.07</v>
      </c>
    </row>
    <row r="246" spans="1:44">
      <c r="A246" s="236" t="s">
        <v>409</v>
      </c>
      <c r="B246" s="236" t="s">
        <v>408</v>
      </c>
      <c r="C246" s="236" t="str">
        <f t="shared" si="72"/>
        <v>20403 ROOSEVELT SCHOOL DISTRICT</v>
      </c>
      <c r="D246" s="387">
        <v>0</v>
      </c>
      <c r="E246" s="387">
        <v>0</v>
      </c>
      <c r="F246" s="387">
        <v>0</v>
      </c>
      <c r="G246" s="387">
        <v>0</v>
      </c>
      <c r="H246" s="387">
        <v>0</v>
      </c>
      <c r="I246" s="387">
        <v>0</v>
      </c>
      <c r="J246" s="387">
        <v>10831.92</v>
      </c>
      <c r="K246" s="387">
        <v>21750.21</v>
      </c>
      <c r="L246" s="387">
        <v>0</v>
      </c>
      <c r="M246" s="387">
        <v>101219.14</v>
      </c>
      <c r="N246" s="388">
        <v>8.2600000000000007E-2</v>
      </c>
      <c r="O246" s="389">
        <v>0.21729999999999999</v>
      </c>
      <c r="P246" s="387">
        <v>0</v>
      </c>
      <c r="Q246" s="387">
        <v>0</v>
      </c>
      <c r="R246" s="387">
        <v>0</v>
      </c>
      <c r="S246" s="387">
        <v>0</v>
      </c>
      <c r="T246" s="387">
        <v>0</v>
      </c>
      <c r="U246" s="387">
        <v>0</v>
      </c>
      <c r="V246" s="387">
        <v>0</v>
      </c>
      <c r="W246" s="387">
        <v>0</v>
      </c>
      <c r="X246" s="387">
        <v>0</v>
      </c>
      <c r="Y246" s="387">
        <v>27.89</v>
      </c>
      <c r="Z246" s="387">
        <v>0</v>
      </c>
      <c r="AA246" s="387">
        <v>0</v>
      </c>
      <c r="AB246" s="387">
        <v>0</v>
      </c>
      <c r="AC246" s="387">
        <v>0</v>
      </c>
      <c r="AD246" s="525">
        <v>0</v>
      </c>
      <c r="AE246" s="387">
        <v>0</v>
      </c>
      <c r="AF246" s="526">
        <f t="shared" si="67"/>
        <v>0</v>
      </c>
      <c r="AG246" s="526">
        <f t="shared" si="68"/>
        <v>0</v>
      </c>
      <c r="AH246" s="527">
        <f t="shared" si="65"/>
        <v>0</v>
      </c>
      <c r="AI246" s="525">
        <v>0</v>
      </c>
      <c r="AJ246" s="387">
        <v>0</v>
      </c>
      <c r="AK246" s="526">
        <f t="shared" si="69"/>
        <v>0</v>
      </c>
      <c r="AL246" s="526">
        <f t="shared" si="70"/>
        <v>0</v>
      </c>
      <c r="AM246" s="527">
        <f t="shared" si="66"/>
        <v>0</v>
      </c>
      <c r="AN246" s="387">
        <v>0</v>
      </c>
      <c r="AO246" s="387">
        <v>0</v>
      </c>
      <c r="AP246" s="73"/>
      <c r="AQ246" s="241">
        <v>5381.02</v>
      </c>
      <c r="AR246" s="659">
        <v>4668.6900000000005</v>
      </c>
    </row>
    <row r="247" spans="1:44">
      <c r="A247" s="236" t="s">
        <v>2367</v>
      </c>
      <c r="B247" s="238" t="s">
        <v>2368</v>
      </c>
      <c r="C247" s="236" t="str">
        <f>CONCATENATE(B247," ",A247," SCHOOL DISTRICT")</f>
        <v>06901 ROOTED VANCOUVER SCHOOL DISTRICT</v>
      </c>
      <c r="D247" s="387">
        <v>0</v>
      </c>
      <c r="E247" s="387">
        <v>0</v>
      </c>
      <c r="F247" s="387">
        <v>0</v>
      </c>
      <c r="G247" s="387">
        <v>125972.78</v>
      </c>
      <c r="H247" s="387">
        <v>21729.99</v>
      </c>
      <c r="I247" s="387">
        <v>8774.4</v>
      </c>
      <c r="J247" s="387">
        <v>9572.07</v>
      </c>
      <c r="K247" s="387">
        <v>5159.5600000000004</v>
      </c>
      <c r="L247" s="387">
        <v>0</v>
      </c>
      <c r="M247" s="387">
        <v>0</v>
      </c>
      <c r="N247" s="388">
        <v>3.5000000000000003E-2</v>
      </c>
      <c r="O247" s="389">
        <v>0.14979999999999999</v>
      </c>
      <c r="P247" s="387">
        <v>0</v>
      </c>
      <c r="Q247" s="387">
        <v>0</v>
      </c>
      <c r="R247" s="387">
        <v>0</v>
      </c>
      <c r="S247" s="387">
        <v>0</v>
      </c>
      <c r="T247" s="387">
        <v>0</v>
      </c>
      <c r="U247" s="387">
        <v>0</v>
      </c>
      <c r="V247" s="387">
        <v>0</v>
      </c>
      <c r="W247" s="387">
        <v>0</v>
      </c>
      <c r="X247" s="387">
        <v>0</v>
      </c>
      <c r="Y247" s="387">
        <v>0</v>
      </c>
      <c r="Z247" s="387">
        <v>0</v>
      </c>
      <c r="AA247" s="387">
        <v>0</v>
      </c>
      <c r="AB247" s="387">
        <v>0</v>
      </c>
      <c r="AC247" s="387">
        <v>79815.259999999995</v>
      </c>
      <c r="AD247" s="525">
        <v>8.0299999999999994</v>
      </c>
      <c r="AE247" s="387">
        <v>77328.710000000006</v>
      </c>
      <c r="AF247" s="526">
        <f t="shared" si="67"/>
        <v>9629.98</v>
      </c>
      <c r="AG247" s="526">
        <f t="shared" si="68"/>
        <v>9939.6299999999992</v>
      </c>
      <c r="AH247" s="527">
        <f t="shared" si="65"/>
        <v>309.64999999999998</v>
      </c>
      <c r="AI247" s="525">
        <v>0</v>
      </c>
      <c r="AJ247" s="387">
        <v>0</v>
      </c>
      <c r="AK247" s="526">
        <f t="shared" si="69"/>
        <v>0</v>
      </c>
      <c r="AL247" s="526">
        <f t="shared" si="70"/>
        <v>0</v>
      </c>
      <c r="AM247" s="527">
        <f t="shared" si="66"/>
        <v>0</v>
      </c>
      <c r="AN247" s="387">
        <v>0</v>
      </c>
      <c r="AO247" s="387">
        <v>0</v>
      </c>
      <c r="AP247" s="73"/>
      <c r="AQ247" s="241">
        <v>0</v>
      </c>
      <c r="AR247" s="659">
        <v>15826.8</v>
      </c>
    </row>
    <row r="248" spans="1:44">
      <c r="A248" s="236" t="s">
        <v>706</v>
      </c>
      <c r="B248" s="236" t="s">
        <v>705</v>
      </c>
      <c r="C248" s="236" t="str">
        <f t="shared" si="72"/>
        <v>38320 ROSALIA SCHOOL DISTRICT</v>
      </c>
      <c r="D248" s="387">
        <v>0</v>
      </c>
      <c r="E248" s="387">
        <v>0</v>
      </c>
      <c r="F248" s="387">
        <v>0</v>
      </c>
      <c r="G248" s="387">
        <v>268120.89</v>
      </c>
      <c r="H248" s="387">
        <v>26279.45</v>
      </c>
      <c r="I248" s="387">
        <v>48408.5</v>
      </c>
      <c r="J248" s="387">
        <v>67234.02</v>
      </c>
      <c r="K248" s="387">
        <v>0</v>
      </c>
      <c r="L248" s="387">
        <v>4370.21</v>
      </c>
      <c r="M248" s="387">
        <v>262262</v>
      </c>
      <c r="N248" s="388">
        <v>5.6000000000000001E-2</v>
      </c>
      <c r="O248" s="389">
        <v>0.23280000000000001</v>
      </c>
      <c r="P248" s="387">
        <v>0</v>
      </c>
      <c r="Q248" s="387">
        <v>0</v>
      </c>
      <c r="R248" s="387">
        <v>0</v>
      </c>
      <c r="S248" s="387">
        <v>0</v>
      </c>
      <c r="T248" s="387">
        <v>0</v>
      </c>
      <c r="U248" s="387">
        <v>0</v>
      </c>
      <c r="V248" s="387">
        <v>0</v>
      </c>
      <c r="W248" s="387">
        <v>0</v>
      </c>
      <c r="X248" s="387">
        <v>0</v>
      </c>
      <c r="Y248" s="387">
        <v>0</v>
      </c>
      <c r="Z248" s="387">
        <v>0</v>
      </c>
      <c r="AA248" s="387">
        <v>0</v>
      </c>
      <c r="AB248" s="387">
        <v>22153.53</v>
      </c>
      <c r="AC248" s="387">
        <v>53281.98</v>
      </c>
      <c r="AD248" s="525">
        <v>5.46</v>
      </c>
      <c r="AE248" s="387">
        <v>51603.5</v>
      </c>
      <c r="AF248" s="526">
        <f t="shared" si="67"/>
        <v>9451.19</v>
      </c>
      <c r="AG248" s="526">
        <f t="shared" si="68"/>
        <v>9758.6</v>
      </c>
      <c r="AH248" s="527">
        <f t="shared" si="65"/>
        <v>307.41000000000003</v>
      </c>
      <c r="AI248" s="525">
        <v>2.2799999999999998</v>
      </c>
      <c r="AJ248" s="387">
        <v>21113.14</v>
      </c>
      <c r="AK248" s="526">
        <f t="shared" si="69"/>
        <v>9260.15</v>
      </c>
      <c r="AL248" s="526">
        <f t="shared" si="70"/>
        <v>9716.4599999999991</v>
      </c>
      <c r="AM248" s="527">
        <f t="shared" si="66"/>
        <v>456.31</v>
      </c>
      <c r="AN248" s="387">
        <v>0</v>
      </c>
      <c r="AO248" s="387">
        <v>0</v>
      </c>
      <c r="AP248" s="73"/>
      <c r="AQ248" s="241">
        <v>1192.9699999999975</v>
      </c>
      <c r="AR248" s="659">
        <v>28992.150000000005</v>
      </c>
    </row>
    <row r="249" spans="1:44">
      <c r="A249" s="236" t="s">
        <v>288</v>
      </c>
      <c r="B249" s="236" t="s">
        <v>287</v>
      </c>
      <c r="C249" s="236" t="str">
        <f t="shared" si="72"/>
        <v>13160 ROYAL SCHOOL DISTRICT</v>
      </c>
      <c r="D249" s="387">
        <v>141123.79</v>
      </c>
      <c r="E249" s="387">
        <v>75478.789999999994</v>
      </c>
      <c r="F249" s="387">
        <v>52850.57</v>
      </c>
      <c r="G249" s="387">
        <v>2382855.17</v>
      </c>
      <c r="H249" s="387">
        <v>351360.32</v>
      </c>
      <c r="I249" s="387">
        <v>544087.84</v>
      </c>
      <c r="J249" s="387">
        <v>905657.64</v>
      </c>
      <c r="K249" s="387">
        <v>1300428.1000000001</v>
      </c>
      <c r="L249" s="387">
        <v>52534.87</v>
      </c>
      <c r="M249" s="387">
        <v>1412622.53</v>
      </c>
      <c r="N249" s="388">
        <v>4.6300000000000001E-2</v>
      </c>
      <c r="O249" s="389">
        <v>0.16189999999999999</v>
      </c>
      <c r="P249" s="387">
        <v>0</v>
      </c>
      <c r="Q249" s="387">
        <v>0</v>
      </c>
      <c r="R249" s="387">
        <v>0</v>
      </c>
      <c r="S249" s="387">
        <v>0</v>
      </c>
      <c r="T249" s="387">
        <v>0</v>
      </c>
      <c r="U249" s="387">
        <v>0</v>
      </c>
      <c r="V249" s="387">
        <v>0</v>
      </c>
      <c r="W249" s="387">
        <v>0</v>
      </c>
      <c r="X249" s="387">
        <v>0</v>
      </c>
      <c r="Y249" s="387">
        <v>1979.09</v>
      </c>
      <c r="Z249" s="387">
        <v>15408.53</v>
      </c>
      <c r="AA249" s="387">
        <v>77753.02</v>
      </c>
      <c r="AB249" s="387">
        <v>170680.8</v>
      </c>
      <c r="AC249" s="387">
        <v>1191882.45</v>
      </c>
      <c r="AD249" s="525">
        <v>121.88</v>
      </c>
      <c r="AE249" s="387">
        <v>1129345.69</v>
      </c>
      <c r="AF249" s="526">
        <f t="shared" si="67"/>
        <v>9266.0499999999993</v>
      </c>
      <c r="AG249" s="526">
        <f t="shared" si="68"/>
        <v>9779.15</v>
      </c>
      <c r="AH249" s="527">
        <f t="shared" si="65"/>
        <v>513.1</v>
      </c>
      <c r="AI249" s="525">
        <v>17.89</v>
      </c>
      <c r="AJ249" s="387">
        <v>162412.13</v>
      </c>
      <c r="AK249" s="526">
        <f t="shared" si="69"/>
        <v>9078.3799999999992</v>
      </c>
      <c r="AL249" s="526">
        <f t="shared" si="70"/>
        <v>9540.57</v>
      </c>
      <c r="AM249" s="527">
        <f t="shared" si="66"/>
        <v>462.19</v>
      </c>
      <c r="AN249" s="387">
        <v>7653.33</v>
      </c>
      <c r="AO249" s="387">
        <v>0</v>
      </c>
      <c r="AP249" s="73"/>
      <c r="AQ249" s="241">
        <v>0</v>
      </c>
      <c r="AR249" s="659">
        <v>209031.71</v>
      </c>
    </row>
    <row r="250" spans="1:44">
      <c r="A250" s="236" t="s">
        <v>542</v>
      </c>
      <c r="B250" s="236" t="s">
        <v>541</v>
      </c>
      <c r="C250" s="236" t="str">
        <f t="shared" si="72"/>
        <v>28149 SAN JUAN SCHOOL DISTRICT</v>
      </c>
      <c r="D250" s="387">
        <v>0</v>
      </c>
      <c r="E250" s="387">
        <v>0</v>
      </c>
      <c r="F250" s="387">
        <v>0</v>
      </c>
      <c r="G250" s="387">
        <v>1722393.65</v>
      </c>
      <c r="H250" s="387">
        <v>193354.01</v>
      </c>
      <c r="I250" s="387">
        <v>0</v>
      </c>
      <c r="J250" s="387">
        <v>237620.1</v>
      </c>
      <c r="K250" s="387">
        <v>145018.53</v>
      </c>
      <c r="L250" s="387">
        <v>26907.16</v>
      </c>
      <c r="M250" s="387">
        <v>444714.74</v>
      </c>
      <c r="N250" s="388">
        <v>6.9099999999999995E-2</v>
      </c>
      <c r="O250" s="389">
        <v>0.20369999999999999</v>
      </c>
      <c r="P250" s="387">
        <v>0</v>
      </c>
      <c r="Q250" s="387">
        <v>0</v>
      </c>
      <c r="R250" s="387">
        <v>0</v>
      </c>
      <c r="S250" s="387">
        <v>0</v>
      </c>
      <c r="T250" s="387">
        <v>0</v>
      </c>
      <c r="U250" s="387">
        <v>0</v>
      </c>
      <c r="V250" s="387">
        <v>0</v>
      </c>
      <c r="W250" s="387">
        <v>0</v>
      </c>
      <c r="X250" s="387">
        <v>0</v>
      </c>
      <c r="Y250" s="387">
        <v>0</v>
      </c>
      <c r="Z250" s="387">
        <v>0</v>
      </c>
      <c r="AA250" s="387">
        <v>18824.37</v>
      </c>
      <c r="AB250" s="387">
        <v>0</v>
      </c>
      <c r="AC250" s="387">
        <v>266898.73</v>
      </c>
      <c r="AD250" s="525">
        <v>25.44</v>
      </c>
      <c r="AE250" s="387">
        <v>255237.8</v>
      </c>
      <c r="AF250" s="526">
        <f t="shared" si="67"/>
        <v>10032.93</v>
      </c>
      <c r="AG250" s="526">
        <f t="shared" si="68"/>
        <v>10491.3</v>
      </c>
      <c r="AH250" s="527">
        <f t="shared" si="65"/>
        <v>458.37</v>
      </c>
      <c r="AI250" s="525">
        <v>0</v>
      </c>
      <c r="AJ250" s="387">
        <v>0</v>
      </c>
      <c r="AK250" s="526">
        <f t="shared" si="69"/>
        <v>0</v>
      </c>
      <c r="AL250" s="526">
        <f t="shared" si="70"/>
        <v>0</v>
      </c>
      <c r="AM250" s="527">
        <f t="shared" si="66"/>
        <v>0</v>
      </c>
      <c r="AN250" s="387">
        <v>549.33000000000004</v>
      </c>
      <c r="AO250" s="387">
        <v>0</v>
      </c>
      <c r="AP250" s="73"/>
      <c r="AQ250" s="241">
        <v>38641.23000000004</v>
      </c>
      <c r="AR250" s="659">
        <v>96161.790000000008</v>
      </c>
    </row>
    <row r="251" spans="1:44">
      <c r="A251" s="236" t="s">
        <v>315</v>
      </c>
      <c r="B251" s="236" t="s">
        <v>314</v>
      </c>
      <c r="C251" s="236" t="str">
        <f t="shared" si="72"/>
        <v>14104 SATSOP SCHOOL DISTRICT</v>
      </c>
      <c r="D251" s="387">
        <v>0</v>
      </c>
      <c r="E251" s="387">
        <v>1884.24</v>
      </c>
      <c r="F251" s="387">
        <v>1607.74</v>
      </c>
      <c r="G251" s="387">
        <v>255743.2</v>
      </c>
      <c r="H251" s="387">
        <v>7492.98</v>
      </c>
      <c r="I251" s="387">
        <v>18414.27</v>
      </c>
      <c r="J251" s="387">
        <v>25346.73</v>
      </c>
      <c r="K251" s="387">
        <v>0</v>
      </c>
      <c r="L251" s="387">
        <v>0</v>
      </c>
      <c r="M251" s="387">
        <v>0</v>
      </c>
      <c r="N251" s="388">
        <v>7.3700000000000002E-2</v>
      </c>
      <c r="O251" s="389">
        <v>0.37119999999999997</v>
      </c>
      <c r="P251" s="387">
        <v>0</v>
      </c>
      <c r="Q251" s="387">
        <v>0</v>
      </c>
      <c r="R251" s="387">
        <v>0</v>
      </c>
      <c r="S251" s="387">
        <v>0</v>
      </c>
      <c r="T251" s="387">
        <v>0</v>
      </c>
      <c r="U251" s="387">
        <v>0</v>
      </c>
      <c r="V251" s="387">
        <v>0</v>
      </c>
      <c r="W251" s="387">
        <v>0</v>
      </c>
      <c r="X251" s="387">
        <v>0</v>
      </c>
      <c r="Y251" s="387">
        <v>73.63</v>
      </c>
      <c r="Z251" s="387">
        <v>0</v>
      </c>
      <c r="AA251" s="387">
        <v>0</v>
      </c>
      <c r="AB251" s="387">
        <v>0</v>
      </c>
      <c r="AC251" s="387">
        <v>0</v>
      </c>
      <c r="AD251" s="525">
        <v>0</v>
      </c>
      <c r="AE251" s="387">
        <v>0</v>
      </c>
      <c r="AF251" s="526">
        <f t="shared" si="67"/>
        <v>0</v>
      </c>
      <c r="AG251" s="526">
        <f t="shared" si="68"/>
        <v>0</v>
      </c>
      <c r="AH251" s="527">
        <f t="shared" si="65"/>
        <v>0</v>
      </c>
      <c r="AI251" s="525">
        <v>0</v>
      </c>
      <c r="AJ251" s="387">
        <v>0</v>
      </c>
      <c r="AK251" s="526">
        <f t="shared" si="69"/>
        <v>0</v>
      </c>
      <c r="AL251" s="526">
        <f t="shared" si="70"/>
        <v>0</v>
      </c>
      <c r="AM251" s="527">
        <f t="shared" si="66"/>
        <v>0</v>
      </c>
      <c r="AN251" s="387">
        <v>359.52</v>
      </c>
      <c r="AO251" s="387">
        <v>0</v>
      </c>
      <c r="AP251" s="73"/>
      <c r="AQ251" s="241">
        <v>24261.929999999997</v>
      </c>
      <c r="AR251" s="659">
        <v>9076.06</v>
      </c>
    </row>
    <row r="252" spans="1:44">
      <c r="A252" s="236" t="s">
        <v>339</v>
      </c>
      <c r="B252" s="236" t="s">
        <v>338</v>
      </c>
      <c r="C252" s="236" t="str">
        <f t="shared" si="72"/>
        <v>17001 SEATTLE SCHOOL DISTRICT</v>
      </c>
      <c r="D252" s="387">
        <v>0</v>
      </c>
      <c r="E252" s="387">
        <v>334876.59999999998</v>
      </c>
      <c r="F252" s="387">
        <v>445878.94</v>
      </c>
      <c r="G252" s="387">
        <v>135943174.41999999</v>
      </c>
      <c r="H252" s="387">
        <v>17924388.52</v>
      </c>
      <c r="I252" s="387">
        <v>5131573.07</v>
      </c>
      <c r="J252" s="387">
        <v>16124008.67</v>
      </c>
      <c r="K252" s="387">
        <v>14610944.779999999</v>
      </c>
      <c r="L252" s="387">
        <v>1797052.34</v>
      </c>
      <c r="M252" s="387">
        <v>41963992.590000004</v>
      </c>
      <c r="N252" s="388">
        <v>4.3400000000000001E-2</v>
      </c>
      <c r="O252" s="389">
        <v>0.15720000000000001</v>
      </c>
      <c r="P252" s="387">
        <v>0</v>
      </c>
      <c r="Q252" s="387">
        <v>0</v>
      </c>
      <c r="R252" s="387">
        <v>0</v>
      </c>
      <c r="S252" s="387">
        <v>1204752.1600000001</v>
      </c>
      <c r="T252" s="387">
        <v>88261.966000000015</v>
      </c>
      <c r="U252" s="387">
        <v>36848.559999999998</v>
      </c>
      <c r="V252" s="387">
        <v>0</v>
      </c>
      <c r="W252" s="387">
        <v>0</v>
      </c>
      <c r="X252" s="387">
        <v>0</v>
      </c>
      <c r="Y252" s="387">
        <v>0</v>
      </c>
      <c r="Z252" s="387">
        <v>195681.6</v>
      </c>
      <c r="AA252" s="387">
        <v>1886644.8</v>
      </c>
      <c r="AB252" s="387">
        <v>4314340.5</v>
      </c>
      <c r="AC252" s="387">
        <v>21073007.449999999</v>
      </c>
      <c r="AD252" s="525">
        <v>1916.9</v>
      </c>
      <c r="AE252" s="387">
        <v>19963237.899999999</v>
      </c>
      <c r="AF252" s="526">
        <f t="shared" si="67"/>
        <v>10414.33</v>
      </c>
      <c r="AG252" s="526">
        <f t="shared" si="68"/>
        <v>10993.27</v>
      </c>
      <c r="AH252" s="527">
        <f t="shared" si="65"/>
        <v>578.94000000000005</v>
      </c>
      <c r="AI252" s="525">
        <v>401.22</v>
      </c>
      <c r="AJ252" s="387">
        <v>4107202.51</v>
      </c>
      <c r="AK252" s="526">
        <f t="shared" si="69"/>
        <v>10236.780000000001</v>
      </c>
      <c r="AL252" s="526">
        <f t="shared" si="70"/>
        <v>10753.05</v>
      </c>
      <c r="AM252" s="527">
        <f t="shared" si="66"/>
        <v>516.27</v>
      </c>
      <c r="AN252" s="387">
        <v>0</v>
      </c>
      <c r="AO252" s="387">
        <v>0</v>
      </c>
      <c r="AP252" s="73"/>
      <c r="AQ252" s="241">
        <v>0</v>
      </c>
      <c r="AR252" s="659">
        <v>6586205.9000000013</v>
      </c>
    </row>
    <row r="253" spans="1:44">
      <c r="A253" s="236" t="s">
        <v>547</v>
      </c>
      <c r="B253" s="236" t="s">
        <v>546</v>
      </c>
      <c r="C253" s="236" t="str">
        <f t="shared" si="72"/>
        <v>29101 SEDRO WOOLLEY SCHOOL DISTRICT</v>
      </c>
      <c r="D253" s="387">
        <v>0</v>
      </c>
      <c r="E253" s="387">
        <v>161900.95000000001</v>
      </c>
      <c r="F253" s="387">
        <v>48755.78</v>
      </c>
      <c r="G253" s="387">
        <v>10965877.210000001</v>
      </c>
      <c r="H253" s="387">
        <v>1837415.37</v>
      </c>
      <c r="I253" s="387">
        <v>787243.63</v>
      </c>
      <c r="J253" s="387">
        <v>1677093.26</v>
      </c>
      <c r="K253" s="387">
        <v>784536.12</v>
      </c>
      <c r="L253" s="387">
        <v>148647.10999999999</v>
      </c>
      <c r="M253" s="387">
        <v>4058625.86</v>
      </c>
      <c r="N253" s="388">
        <v>2.8400000000000002E-2</v>
      </c>
      <c r="O253" s="389">
        <v>0.13719999999999999</v>
      </c>
      <c r="P253" s="387">
        <v>0</v>
      </c>
      <c r="Q253" s="387">
        <v>0</v>
      </c>
      <c r="R253" s="387">
        <v>0</v>
      </c>
      <c r="S253" s="387">
        <v>0</v>
      </c>
      <c r="T253" s="387">
        <v>0</v>
      </c>
      <c r="U253" s="387">
        <v>0</v>
      </c>
      <c r="V253" s="387">
        <v>0</v>
      </c>
      <c r="W253" s="387">
        <v>0</v>
      </c>
      <c r="X253" s="387">
        <v>0</v>
      </c>
      <c r="Y253" s="387">
        <v>1073.22</v>
      </c>
      <c r="Z253" s="387">
        <v>31533.21</v>
      </c>
      <c r="AA253" s="387">
        <v>326423.28000000003</v>
      </c>
      <c r="AB253" s="387">
        <v>400142.57</v>
      </c>
      <c r="AC253" s="387">
        <v>3868426.16</v>
      </c>
      <c r="AD253" s="525">
        <v>363.9</v>
      </c>
      <c r="AE253" s="387">
        <v>3650454.88</v>
      </c>
      <c r="AF253" s="526">
        <f t="shared" si="67"/>
        <v>10031.48</v>
      </c>
      <c r="AG253" s="526">
        <f t="shared" si="68"/>
        <v>10630.46</v>
      </c>
      <c r="AH253" s="527">
        <f t="shared" si="65"/>
        <v>598.98</v>
      </c>
      <c r="AI253" s="525">
        <v>38.65</v>
      </c>
      <c r="AJ253" s="387">
        <v>380693.8</v>
      </c>
      <c r="AK253" s="526">
        <f t="shared" si="69"/>
        <v>9849.77</v>
      </c>
      <c r="AL253" s="526">
        <f t="shared" si="70"/>
        <v>10352.98</v>
      </c>
      <c r="AM253" s="527">
        <f t="shared" si="66"/>
        <v>503.21</v>
      </c>
      <c r="AN253" s="387">
        <v>0</v>
      </c>
      <c r="AO253" s="387">
        <v>0</v>
      </c>
      <c r="AP253" s="73"/>
      <c r="AQ253" s="241">
        <v>0</v>
      </c>
      <c r="AR253" s="659">
        <v>564028.68000000005</v>
      </c>
    </row>
    <row r="254" spans="1:44">
      <c r="A254" s="236" t="s">
        <v>719</v>
      </c>
      <c r="B254" s="236" t="s">
        <v>718</v>
      </c>
      <c r="C254" s="236" t="str">
        <f t="shared" si="72"/>
        <v>39119 SELAH SCHOOL DISTRICT</v>
      </c>
      <c r="D254" s="387">
        <v>0</v>
      </c>
      <c r="E254" s="387">
        <v>0</v>
      </c>
      <c r="F254" s="387">
        <v>58359.39</v>
      </c>
      <c r="G254" s="387">
        <v>5635771.2599999998</v>
      </c>
      <c r="H254" s="387">
        <v>781406.97</v>
      </c>
      <c r="I254" s="387">
        <v>1161074.55</v>
      </c>
      <c r="J254" s="387">
        <v>1575829.16</v>
      </c>
      <c r="K254" s="387">
        <v>721701.89</v>
      </c>
      <c r="L254" s="387">
        <v>112977.02</v>
      </c>
      <c r="M254" s="387">
        <v>2130159.89</v>
      </c>
      <c r="N254" s="388">
        <v>3.5999999999999997E-2</v>
      </c>
      <c r="O254" s="389">
        <v>0.14810000000000001</v>
      </c>
      <c r="P254" s="387">
        <v>0</v>
      </c>
      <c r="Q254" s="387">
        <v>0</v>
      </c>
      <c r="R254" s="387">
        <v>0</v>
      </c>
      <c r="S254" s="387">
        <v>0</v>
      </c>
      <c r="T254" s="387">
        <v>0</v>
      </c>
      <c r="U254" s="387">
        <v>0</v>
      </c>
      <c r="V254" s="387">
        <v>251363.88</v>
      </c>
      <c r="W254" s="387">
        <v>0</v>
      </c>
      <c r="X254" s="387">
        <v>9428.01</v>
      </c>
      <c r="Y254" s="387">
        <v>0</v>
      </c>
      <c r="Z254" s="387">
        <v>1178.58</v>
      </c>
      <c r="AA254" s="387">
        <v>487.57</v>
      </c>
      <c r="AB254" s="387">
        <v>1814458.91</v>
      </c>
      <c r="AC254" s="387">
        <v>4247343.0999999996</v>
      </c>
      <c r="AD254" s="525">
        <v>440</v>
      </c>
      <c r="AE254" s="387">
        <v>4077021.7</v>
      </c>
      <c r="AF254" s="526">
        <f t="shared" si="67"/>
        <v>9265.9599999999991</v>
      </c>
      <c r="AG254" s="526">
        <f t="shared" si="68"/>
        <v>9653.0499999999993</v>
      </c>
      <c r="AH254" s="527">
        <f t="shared" si="65"/>
        <v>387.09</v>
      </c>
      <c r="AI254" s="525">
        <v>190</v>
      </c>
      <c r="AJ254" s="387">
        <v>1726128.76</v>
      </c>
      <c r="AK254" s="526">
        <f t="shared" si="69"/>
        <v>9084.89</v>
      </c>
      <c r="AL254" s="526">
        <f t="shared" si="70"/>
        <v>9549.7800000000007</v>
      </c>
      <c r="AM254" s="527">
        <f t="shared" si="66"/>
        <v>464.89</v>
      </c>
      <c r="AN254" s="387">
        <v>18224.439999999999</v>
      </c>
      <c r="AO254" s="387">
        <v>0</v>
      </c>
      <c r="AP254" s="73"/>
      <c r="AQ254" s="241">
        <v>1.0000000067520887E-2</v>
      </c>
      <c r="AR254" s="659">
        <v>409567.41</v>
      </c>
    </row>
    <row r="255" spans="1:44">
      <c r="A255" s="236" t="s">
        <v>504</v>
      </c>
      <c r="B255" s="236" t="s">
        <v>503</v>
      </c>
      <c r="C255" s="236" t="str">
        <f t="shared" si="72"/>
        <v>26070 SELKIRK SCHOOL DISTRICT</v>
      </c>
      <c r="D255" s="387">
        <v>0</v>
      </c>
      <c r="E255" s="387">
        <v>0</v>
      </c>
      <c r="F255" s="387">
        <v>0</v>
      </c>
      <c r="G255" s="387">
        <v>466843.46</v>
      </c>
      <c r="H255" s="387">
        <v>74985.83</v>
      </c>
      <c r="I255" s="387">
        <v>81239.47</v>
      </c>
      <c r="J255" s="387">
        <v>115793.32</v>
      </c>
      <c r="K255" s="387">
        <v>0</v>
      </c>
      <c r="L255" s="387">
        <v>0</v>
      </c>
      <c r="M255" s="387">
        <v>411361.88</v>
      </c>
      <c r="N255" s="388">
        <v>6.5299999999999997E-2</v>
      </c>
      <c r="O255" s="389">
        <v>0.27460000000000001</v>
      </c>
      <c r="P255" s="387">
        <v>0</v>
      </c>
      <c r="Q255" s="387">
        <v>0</v>
      </c>
      <c r="R255" s="387">
        <v>0</v>
      </c>
      <c r="S255" s="387">
        <v>0</v>
      </c>
      <c r="T255" s="387">
        <v>0</v>
      </c>
      <c r="U255" s="387">
        <v>0</v>
      </c>
      <c r="V255" s="387">
        <v>0</v>
      </c>
      <c r="W255" s="387">
        <v>0</v>
      </c>
      <c r="X255" s="387">
        <v>0</v>
      </c>
      <c r="Y255" s="387">
        <v>281.13</v>
      </c>
      <c r="Z255" s="387">
        <v>0</v>
      </c>
      <c r="AA255" s="387">
        <v>0</v>
      </c>
      <c r="AB255" s="387">
        <v>48794.17</v>
      </c>
      <c r="AC255" s="387">
        <v>183152.73</v>
      </c>
      <c r="AD255" s="525">
        <v>18.579999999999998</v>
      </c>
      <c r="AE255" s="387">
        <v>172059.53</v>
      </c>
      <c r="AF255" s="526">
        <f t="shared" si="67"/>
        <v>9260.4699999999993</v>
      </c>
      <c r="AG255" s="526">
        <f t="shared" si="68"/>
        <v>9857.52</v>
      </c>
      <c r="AH255" s="527">
        <f t="shared" si="65"/>
        <v>597.04999999999995</v>
      </c>
      <c r="AI255" s="525">
        <v>5.1100000000000003</v>
      </c>
      <c r="AJ255" s="387">
        <v>46501.29</v>
      </c>
      <c r="AK255" s="526">
        <f t="shared" si="69"/>
        <v>9100.06</v>
      </c>
      <c r="AL255" s="526">
        <f t="shared" si="70"/>
        <v>9548.76</v>
      </c>
      <c r="AM255" s="527">
        <f t="shared" si="66"/>
        <v>448.7</v>
      </c>
      <c r="AN255" s="387">
        <v>80</v>
      </c>
      <c r="AO255" s="387">
        <v>0</v>
      </c>
      <c r="AP255" s="73"/>
      <c r="AQ255" s="241">
        <v>80883.88</v>
      </c>
      <c r="AR255" s="659">
        <v>37855.140000000007</v>
      </c>
    </row>
    <row r="256" spans="1:44">
      <c r="A256" s="236" t="s">
        <v>208</v>
      </c>
      <c r="B256" s="236" t="s">
        <v>207</v>
      </c>
      <c r="C256" s="236" t="str">
        <f t="shared" si="72"/>
        <v>05323 SEQUIM SCHOOL DISTRICT</v>
      </c>
      <c r="D256" s="387">
        <v>0</v>
      </c>
      <c r="E256" s="387">
        <v>84773.42</v>
      </c>
      <c r="F256" s="387">
        <v>7648.95</v>
      </c>
      <c r="G256" s="387">
        <v>5518450.7999999998</v>
      </c>
      <c r="H256" s="387">
        <v>604603.43000000005</v>
      </c>
      <c r="I256" s="387">
        <v>220841.56</v>
      </c>
      <c r="J256" s="387">
        <v>938291.74</v>
      </c>
      <c r="K256" s="387">
        <v>83001.55</v>
      </c>
      <c r="L256" s="387">
        <v>84211.51</v>
      </c>
      <c r="M256" s="387">
        <v>1661302.75</v>
      </c>
      <c r="N256" s="388">
        <v>4.82E-2</v>
      </c>
      <c r="O256" s="389">
        <v>0.17710000000000001</v>
      </c>
      <c r="P256" s="387">
        <v>0</v>
      </c>
      <c r="Q256" s="387">
        <v>0</v>
      </c>
      <c r="R256" s="387">
        <v>0</v>
      </c>
      <c r="S256" s="387">
        <v>0</v>
      </c>
      <c r="T256" s="387">
        <v>0</v>
      </c>
      <c r="U256" s="387">
        <v>0</v>
      </c>
      <c r="V256" s="387">
        <v>0</v>
      </c>
      <c r="W256" s="387">
        <v>0</v>
      </c>
      <c r="X256" s="387">
        <v>0</v>
      </c>
      <c r="Y256" s="387">
        <v>2853.73</v>
      </c>
      <c r="Z256" s="387">
        <v>30180.09</v>
      </c>
      <c r="AA256" s="387">
        <v>0</v>
      </c>
      <c r="AB256" s="387">
        <v>693632.06</v>
      </c>
      <c r="AC256" s="387">
        <v>2459223.84</v>
      </c>
      <c r="AD256" s="525">
        <v>240.73</v>
      </c>
      <c r="AE256" s="387">
        <v>2322581.2400000002</v>
      </c>
      <c r="AF256" s="526">
        <f t="shared" si="67"/>
        <v>9648.08</v>
      </c>
      <c r="AG256" s="526">
        <f t="shared" si="68"/>
        <v>10215.69</v>
      </c>
      <c r="AH256" s="527">
        <f t="shared" si="65"/>
        <v>567.61</v>
      </c>
      <c r="AI256" s="525">
        <v>69.7</v>
      </c>
      <c r="AJ256" s="387">
        <v>659872.84</v>
      </c>
      <c r="AK256" s="526">
        <f t="shared" si="69"/>
        <v>9467.33</v>
      </c>
      <c r="AL256" s="526">
        <f t="shared" si="70"/>
        <v>9951.68</v>
      </c>
      <c r="AM256" s="527">
        <f t="shared" si="66"/>
        <v>484.35</v>
      </c>
      <c r="AN256" s="387">
        <v>0</v>
      </c>
      <c r="AO256" s="387">
        <v>0</v>
      </c>
      <c r="AP256" s="73"/>
      <c r="AQ256" s="241">
        <v>0</v>
      </c>
      <c r="AR256" s="659">
        <v>276458.38</v>
      </c>
    </row>
    <row r="257" spans="1:44">
      <c r="A257" s="236" t="s">
        <v>536</v>
      </c>
      <c r="B257" s="236" t="s">
        <v>535</v>
      </c>
      <c r="C257" s="236" t="str">
        <f t="shared" si="72"/>
        <v>28010 SHAW SCHOOL DISTRICT</v>
      </c>
      <c r="D257" s="387">
        <v>1264.27</v>
      </c>
      <c r="E257" s="387">
        <v>0</v>
      </c>
      <c r="F257" s="387">
        <v>0</v>
      </c>
      <c r="G257" s="387">
        <v>6681.44</v>
      </c>
      <c r="H257" s="387">
        <v>305.73</v>
      </c>
      <c r="I257" s="387">
        <v>0</v>
      </c>
      <c r="J257" s="387">
        <v>0</v>
      </c>
      <c r="K257" s="387">
        <v>0</v>
      </c>
      <c r="L257" s="387">
        <v>125.23</v>
      </c>
      <c r="M257" s="387">
        <v>0</v>
      </c>
      <c r="N257" s="388">
        <v>0.16250000000000001</v>
      </c>
      <c r="O257" s="389">
        <v>0.56299999999999994</v>
      </c>
      <c r="P257" s="387">
        <v>0</v>
      </c>
      <c r="Q257" s="387">
        <v>0</v>
      </c>
      <c r="R257" s="387">
        <v>0</v>
      </c>
      <c r="S257" s="387">
        <v>0</v>
      </c>
      <c r="T257" s="387">
        <v>0</v>
      </c>
      <c r="U257" s="387">
        <v>0</v>
      </c>
      <c r="V257" s="387">
        <v>0</v>
      </c>
      <c r="W257" s="387">
        <v>0</v>
      </c>
      <c r="X257" s="387">
        <v>0</v>
      </c>
      <c r="Y257" s="387">
        <v>0</v>
      </c>
      <c r="Z257" s="387">
        <v>0</v>
      </c>
      <c r="AA257" s="387">
        <v>0</v>
      </c>
      <c r="AB257" s="387">
        <v>0</v>
      </c>
      <c r="AC257" s="387">
        <v>0</v>
      </c>
      <c r="AD257" s="525">
        <v>0</v>
      </c>
      <c r="AE257" s="387">
        <v>0</v>
      </c>
      <c r="AF257" s="526">
        <f t="shared" si="67"/>
        <v>0</v>
      </c>
      <c r="AG257" s="526">
        <f t="shared" si="68"/>
        <v>0</v>
      </c>
      <c r="AH257" s="527">
        <f t="shared" si="65"/>
        <v>0</v>
      </c>
      <c r="AI257" s="525">
        <v>0</v>
      </c>
      <c r="AJ257" s="387">
        <v>0</v>
      </c>
      <c r="AK257" s="526">
        <f t="shared" si="69"/>
        <v>0</v>
      </c>
      <c r="AL257" s="526">
        <f t="shared" si="70"/>
        <v>0</v>
      </c>
      <c r="AM257" s="527">
        <f t="shared" si="66"/>
        <v>0</v>
      </c>
      <c r="AN257" s="387">
        <v>0</v>
      </c>
      <c r="AO257" s="387">
        <v>0</v>
      </c>
      <c r="AP257" s="73"/>
      <c r="AQ257" s="241">
        <v>14657.81</v>
      </c>
      <c r="AR257" s="659">
        <v>3462.3199999999997</v>
      </c>
    </row>
    <row r="258" spans="1:44">
      <c r="A258" s="236" t="s">
        <v>463</v>
      </c>
      <c r="B258" s="236" t="s">
        <v>462</v>
      </c>
      <c r="C258" s="236" t="str">
        <f t="shared" si="72"/>
        <v>23309 SHELTON SCHOOL DISTRICT</v>
      </c>
      <c r="D258" s="387">
        <v>0</v>
      </c>
      <c r="E258" s="387">
        <v>147328.51999999999</v>
      </c>
      <c r="F258" s="387">
        <v>97306.76</v>
      </c>
      <c r="G258" s="387">
        <v>9132632.5700000003</v>
      </c>
      <c r="H258" s="387">
        <v>1069032.3899999999</v>
      </c>
      <c r="I258" s="387">
        <v>1370455.77</v>
      </c>
      <c r="J258" s="387">
        <v>2047126.42</v>
      </c>
      <c r="K258" s="387">
        <v>1837039.95</v>
      </c>
      <c r="L258" s="387">
        <v>135399.12</v>
      </c>
      <c r="M258" s="387">
        <v>4008617.76</v>
      </c>
      <c r="N258" s="388">
        <v>2.86E-2</v>
      </c>
      <c r="O258" s="389">
        <v>0.14119999999999999</v>
      </c>
      <c r="P258" s="387">
        <v>0</v>
      </c>
      <c r="Q258" s="387">
        <v>0</v>
      </c>
      <c r="R258" s="387">
        <v>0</v>
      </c>
      <c r="S258" s="387">
        <v>150283.71</v>
      </c>
      <c r="T258" s="387">
        <v>10130.810000000038</v>
      </c>
      <c r="U258" s="387">
        <v>5640.83</v>
      </c>
      <c r="V258" s="387">
        <v>0</v>
      </c>
      <c r="W258" s="387">
        <v>0</v>
      </c>
      <c r="X258" s="387">
        <v>0</v>
      </c>
      <c r="Y258" s="387">
        <v>0</v>
      </c>
      <c r="Z258" s="387">
        <v>114018.35</v>
      </c>
      <c r="AA258" s="387">
        <v>262058.18</v>
      </c>
      <c r="AB258" s="387">
        <v>1266080.22</v>
      </c>
      <c r="AC258" s="387">
        <v>6473638.3499999996</v>
      </c>
      <c r="AD258" s="525">
        <v>667.13</v>
      </c>
      <c r="AE258" s="387">
        <v>6181444.4000000004</v>
      </c>
      <c r="AF258" s="526">
        <f t="shared" si="67"/>
        <v>9265.73</v>
      </c>
      <c r="AG258" s="526">
        <f t="shared" si="68"/>
        <v>9703.7099999999991</v>
      </c>
      <c r="AH258" s="527">
        <f t="shared" si="65"/>
        <v>437.98</v>
      </c>
      <c r="AI258" s="525">
        <v>132.57</v>
      </c>
      <c r="AJ258" s="387">
        <v>1204412.44</v>
      </c>
      <c r="AK258" s="526">
        <f t="shared" si="69"/>
        <v>9085.11</v>
      </c>
      <c r="AL258" s="526">
        <f t="shared" si="70"/>
        <v>9550.2800000000007</v>
      </c>
      <c r="AM258" s="527">
        <f t="shared" si="66"/>
        <v>465.17</v>
      </c>
      <c r="AN258" s="387">
        <v>4919.45</v>
      </c>
      <c r="AO258" s="387">
        <v>0</v>
      </c>
      <c r="AP258" s="73"/>
      <c r="AQ258" s="241">
        <v>345114.35999999964</v>
      </c>
      <c r="AR258" s="659">
        <v>504615.22000000003</v>
      </c>
    </row>
    <row r="259" spans="1:44">
      <c r="A259" s="236" t="s">
        <v>367</v>
      </c>
      <c r="B259" s="236" t="s">
        <v>366</v>
      </c>
      <c r="C259" s="236" t="str">
        <f t="shared" si="72"/>
        <v>17412 SHORELINE SCHOOL DISTRICT</v>
      </c>
      <c r="D259" s="387">
        <v>0</v>
      </c>
      <c r="E259" s="387">
        <v>200615.31</v>
      </c>
      <c r="F259" s="387">
        <v>0</v>
      </c>
      <c r="G259" s="387">
        <v>20143066.399999999</v>
      </c>
      <c r="H259" s="387">
        <v>2807462.78</v>
      </c>
      <c r="I259" s="387">
        <v>0</v>
      </c>
      <c r="J259" s="387">
        <v>2157189.1</v>
      </c>
      <c r="K259" s="387">
        <v>2193453.56</v>
      </c>
      <c r="L259" s="387">
        <v>333088.93</v>
      </c>
      <c r="M259" s="387">
        <v>5628463.8700000001</v>
      </c>
      <c r="N259" s="388">
        <v>3.2099999999999997E-2</v>
      </c>
      <c r="O259" s="389">
        <v>0.12470000000000001</v>
      </c>
      <c r="P259" s="387">
        <v>0</v>
      </c>
      <c r="Q259" s="387">
        <v>0</v>
      </c>
      <c r="R259" s="387">
        <v>0</v>
      </c>
      <c r="S259" s="387">
        <v>0</v>
      </c>
      <c r="T259" s="387">
        <v>0</v>
      </c>
      <c r="U259" s="387">
        <v>0</v>
      </c>
      <c r="V259" s="387">
        <v>264703.31</v>
      </c>
      <c r="W259" s="387">
        <v>24741.022000000004</v>
      </c>
      <c r="X259" s="387">
        <v>10710.38</v>
      </c>
      <c r="Y259" s="387">
        <v>10551.44</v>
      </c>
      <c r="Z259" s="387">
        <v>17920.39</v>
      </c>
      <c r="AA259" s="387">
        <v>227168.21</v>
      </c>
      <c r="AB259" s="387">
        <v>310499.06</v>
      </c>
      <c r="AC259" s="387">
        <v>5055345.3600000003</v>
      </c>
      <c r="AD259" s="525">
        <v>457.62</v>
      </c>
      <c r="AE259" s="387">
        <v>4765797.05</v>
      </c>
      <c r="AF259" s="526">
        <f t="shared" si="67"/>
        <v>10414.31</v>
      </c>
      <c r="AG259" s="526">
        <f t="shared" si="68"/>
        <v>11047.04</v>
      </c>
      <c r="AH259" s="527">
        <f t="shared" si="65"/>
        <v>632.73</v>
      </c>
      <c r="AI259" s="525">
        <v>28.86</v>
      </c>
      <c r="AJ259" s="387">
        <v>295288.12</v>
      </c>
      <c r="AK259" s="526">
        <f t="shared" si="69"/>
        <v>10231.74</v>
      </c>
      <c r="AL259" s="526">
        <f t="shared" si="70"/>
        <v>10758.8</v>
      </c>
      <c r="AM259" s="527">
        <f t="shared" si="66"/>
        <v>527.05999999999995</v>
      </c>
      <c r="AN259" s="387">
        <v>0</v>
      </c>
      <c r="AO259" s="387">
        <v>0</v>
      </c>
      <c r="AP259" s="73"/>
      <c r="AQ259" s="241">
        <v>620920.4300000004</v>
      </c>
      <c r="AR259" s="659">
        <v>1144983.3</v>
      </c>
    </row>
    <row r="260" spans="1:44">
      <c r="A260" s="236" t="s">
        <v>557</v>
      </c>
      <c r="B260" s="238" t="s">
        <v>556</v>
      </c>
      <c r="C260" s="236" t="str">
        <f t="shared" si="72"/>
        <v>30002 SKAMANIA SCHOOL DISTRICT</v>
      </c>
      <c r="D260" s="387">
        <v>0</v>
      </c>
      <c r="E260" s="387">
        <v>0</v>
      </c>
      <c r="F260" s="387">
        <v>0</v>
      </c>
      <c r="G260" s="387">
        <v>0</v>
      </c>
      <c r="H260" s="387">
        <v>0</v>
      </c>
      <c r="I260" s="387">
        <v>27462.75</v>
      </c>
      <c r="J260" s="387">
        <v>39655.75</v>
      </c>
      <c r="K260" s="387">
        <v>0</v>
      </c>
      <c r="L260" s="387">
        <v>0</v>
      </c>
      <c r="M260" s="387">
        <v>137490.06</v>
      </c>
      <c r="N260" s="388">
        <v>0.1573</v>
      </c>
      <c r="O260" s="389">
        <v>0.28739999999999999</v>
      </c>
      <c r="P260" s="387">
        <v>0</v>
      </c>
      <c r="Q260" s="387">
        <v>0</v>
      </c>
      <c r="R260" s="387">
        <v>0</v>
      </c>
      <c r="S260" s="387">
        <v>0</v>
      </c>
      <c r="T260" s="387">
        <v>0</v>
      </c>
      <c r="U260" s="387">
        <v>0</v>
      </c>
      <c r="V260" s="387">
        <v>0</v>
      </c>
      <c r="W260" s="387">
        <v>0</v>
      </c>
      <c r="X260" s="387">
        <v>0</v>
      </c>
      <c r="Y260" s="387">
        <v>0</v>
      </c>
      <c r="Z260" s="387">
        <v>0</v>
      </c>
      <c r="AA260" s="387">
        <v>0</v>
      </c>
      <c r="AB260" s="387">
        <v>0</v>
      </c>
      <c r="AC260" s="387">
        <v>0</v>
      </c>
      <c r="AD260" s="525">
        <v>0</v>
      </c>
      <c r="AE260" s="387">
        <v>0</v>
      </c>
      <c r="AF260" s="526">
        <f t="shared" si="67"/>
        <v>0</v>
      </c>
      <c r="AG260" s="526">
        <f t="shared" si="68"/>
        <v>0</v>
      </c>
      <c r="AH260" s="527">
        <f t="shared" si="65"/>
        <v>0</v>
      </c>
      <c r="AI260" s="525">
        <v>0</v>
      </c>
      <c r="AJ260" s="387">
        <v>0</v>
      </c>
      <c r="AK260" s="526">
        <f t="shared" si="69"/>
        <v>0</v>
      </c>
      <c r="AL260" s="526">
        <f t="shared" si="70"/>
        <v>0</v>
      </c>
      <c r="AM260" s="527">
        <f t="shared" si="66"/>
        <v>0</v>
      </c>
      <c r="AN260" s="387">
        <v>0</v>
      </c>
      <c r="AO260" s="387">
        <v>1089.28</v>
      </c>
      <c r="AP260" s="73"/>
      <c r="AQ260" s="241">
        <v>0</v>
      </c>
      <c r="AR260" s="659">
        <v>12972.79</v>
      </c>
    </row>
    <row r="261" spans="1:44">
      <c r="A261" s="236" t="s">
        <v>353</v>
      </c>
      <c r="B261" s="236" t="s">
        <v>352</v>
      </c>
      <c r="C261" s="236" t="str">
        <f t="shared" si="72"/>
        <v>17404 SKYKOMISH SCHOOL DISTRICT</v>
      </c>
      <c r="D261" s="387">
        <v>0</v>
      </c>
      <c r="E261" s="387">
        <v>0</v>
      </c>
      <c r="F261" s="387">
        <v>1225.74</v>
      </c>
      <c r="G261" s="387">
        <v>93814.14</v>
      </c>
      <c r="H261" s="387">
        <v>16492.12</v>
      </c>
      <c r="I261" s="387">
        <v>15777.89</v>
      </c>
      <c r="J261" s="387">
        <v>27047.81</v>
      </c>
      <c r="K261" s="387">
        <v>0</v>
      </c>
      <c r="L261" s="387">
        <v>0</v>
      </c>
      <c r="M261" s="387">
        <v>61317.86</v>
      </c>
      <c r="N261" s="388">
        <v>7.4899999999999994E-2</v>
      </c>
      <c r="O261" s="389">
        <v>0.26919999999999999</v>
      </c>
      <c r="P261" s="387">
        <v>0</v>
      </c>
      <c r="Q261" s="387">
        <v>0</v>
      </c>
      <c r="R261" s="387">
        <v>0</v>
      </c>
      <c r="S261" s="387">
        <v>0</v>
      </c>
      <c r="T261" s="387">
        <v>0</v>
      </c>
      <c r="U261" s="387">
        <v>0</v>
      </c>
      <c r="V261" s="387">
        <v>0</v>
      </c>
      <c r="W261" s="387">
        <v>0</v>
      </c>
      <c r="X261" s="387">
        <v>0</v>
      </c>
      <c r="Y261" s="387">
        <v>0</v>
      </c>
      <c r="Z261" s="387">
        <v>0</v>
      </c>
      <c r="AA261" s="387">
        <v>0</v>
      </c>
      <c r="AB261" s="387">
        <v>0</v>
      </c>
      <c r="AC261" s="387">
        <v>16752.82</v>
      </c>
      <c r="AD261" s="525">
        <v>1.56</v>
      </c>
      <c r="AE261" s="387">
        <v>16164.67</v>
      </c>
      <c r="AF261" s="526">
        <f t="shared" si="67"/>
        <v>10361.969999999999</v>
      </c>
      <c r="AG261" s="526">
        <f t="shared" si="68"/>
        <v>10738.99</v>
      </c>
      <c r="AH261" s="527">
        <f t="shared" si="65"/>
        <v>377.02</v>
      </c>
      <c r="AI261" s="525">
        <v>0</v>
      </c>
      <c r="AJ261" s="387">
        <v>0</v>
      </c>
      <c r="AK261" s="526">
        <f t="shared" si="69"/>
        <v>0</v>
      </c>
      <c r="AL261" s="526">
        <f t="shared" si="70"/>
        <v>0</v>
      </c>
      <c r="AM261" s="527">
        <f t="shared" si="66"/>
        <v>0</v>
      </c>
      <c r="AN261" s="387">
        <v>0</v>
      </c>
      <c r="AO261" s="387">
        <v>0</v>
      </c>
      <c r="AP261" s="73"/>
      <c r="AQ261" s="241">
        <v>39971.649999999994</v>
      </c>
      <c r="AR261" s="659">
        <v>24408.170000000002</v>
      </c>
    </row>
    <row r="262" spans="1:44">
      <c r="A262" s="236" t="s">
        <v>581</v>
      </c>
      <c r="B262" s="236" t="s">
        <v>580</v>
      </c>
      <c r="C262" s="236" t="str">
        <f t="shared" si="72"/>
        <v>31201 SNOHOMISH SCHOOL DISTRICT</v>
      </c>
      <c r="D262" s="387">
        <v>0</v>
      </c>
      <c r="E262" s="387">
        <v>148418.03</v>
      </c>
      <c r="F262" s="387">
        <v>0</v>
      </c>
      <c r="G262" s="387">
        <v>20880043.719999999</v>
      </c>
      <c r="H262" s="387">
        <v>2948739.77</v>
      </c>
      <c r="I262" s="387">
        <v>12122.12</v>
      </c>
      <c r="J262" s="387">
        <v>1676851.37</v>
      </c>
      <c r="K262" s="387">
        <v>1274291.98</v>
      </c>
      <c r="L262" s="387">
        <v>352831.3</v>
      </c>
      <c r="M262" s="387">
        <v>7273580.2999999998</v>
      </c>
      <c r="N262" s="388">
        <v>4.7699999999999999E-2</v>
      </c>
      <c r="O262" s="389">
        <v>0.1671</v>
      </c>
      <c r="P262" s="387">
        <v>0</v>
      </c>
      <c r="Q262" s="387">
        <v>0</v>
      </c>
      <c r="R262" s="387">
        <v>0</v>
      </c>
      <c r="S262" s="387">
        <v>0</v>
      </c>
      <c r="T262" s="387">
        <v>0</v>
      </c>
      <c r="U262" s="387">
        <v>0</v>
      </c>
      <c r="V262" s="387">
        <v>0</v>
      </c>
      <c r="W262" s="387">
        <v>0</v>
      </c>
      <c r="X262" s="387">
        <v>0</v>
      </c>
      <c r="Y262" s="387">
        <v>10970.91</v>
      </c>
      <c r="Z262" s="387">
        <v>44904.79</v>
      </c>
      <c r="AA262" s="387">
        <v>228673.54</v>
      </c>
      <c r="AB262" s="387">
        <v>1302761.3799999999</v>
      </c>
      <c r="AC262" s="387">
        <v>5015352.05</v>
      </c>
      <c r="AD262" s="525">
        <v>437.96</v>
      </c>
      <c r="AE262" s="387">
        <v>4641693.6500000004</v>
      </c>
      <c r="AF262" s="526">
        <f t="shared" si="67"/>
        <v>10598.44</v>
      </c>
      <c r="AG262" s="526">
        <f t="shared" si="68"/>
        <v>11451.62</v>
      </c>
      <c r="AH262" s="527">
        <f t="shared" si="65"/>
        <v>853.18</v>
      </c>
      <c r="AI262" s="525">
        <v>118.94</v>
      </c>
      <c r="AJ262" s="387">
        <v>1239656.6399999999</v>
      </c>
      <c r="AK262" s="526">
        <f t="shared" si="69"/>
        <v>10422.540000000001</v>
      </c>
      <c r="AL262" s="526">
        <f t="shared" si="70"/>
        <v>10953.1</v>
      </c>
      <c r="AM262" s="527">
        <f t="shared" si="66"/>
        <v>530.55999999999995</v>
      </c>
      <c r="AN262" s="387">
        <v>0</v>
      </c>
      <c r="AO262" s="387">
        <v>0</v>
      </c>
      <c r="AP262" s="73"/>
      <c r="AQ262" s="241">
        <v>0</v>
      </c>
      <c r="AR262" s="659">
        <v>1196851.1799999997</v>
      </c>
    </row>
    <row r="263" spans="1:44">
      <c r="A263" s="236" t="s">
        <v>1135</v>
      </c>
      <c r="B263" s="236" t="s">
        <v>363</v>
      </c>
      <c r="C263" s="236" t="str">
        <f t="shared" si="72"/>
        <v>17410 SNOQUALMIE VALLEY SCHOOL DISTRICT</v>
      </c>
      <c r="D263" s="387">
        <v>0</v>
      </c>
      <c r="E263" s="387">
        <v>0</v>
      </c>
      <c r="F263" s="387">
        <v>0</v>
      </c>
      <c r="G263" s="387">
        <v>14788061.48</v>
      </c>
      <c r="H263" s="387">
        <v>1773350.42</v>
      </c>
      <c r="I263" s="387">
        <v>0</v>
      </c>
      <c r="J263" s="387">
        <v>685587.16</v>
      </c>
      <c r="K263" s="387">
        <v>610237.62</v>
      </c>
      <c r="L263" s="387">
        <v>253322.89</v>
      </c>
      <c r="M263" s="387">
        <v>4271142.3</v>
      </c>
      <c r="N263" s="388">
        <v>4.0399999999999998E-2</v>
      </c>
      <c r="O263" s="389">
        <v>0.16500000000000001</v>
      </c>
      <c r="P263" s="387">
        <v>0</v>
      </c>
      <c r="Q263" s="387">
        <v>0</v>
      </c>
      <c r="R263" s="387">
        <v>0</v>
      </c>
      <c r="S263" s="387">
        <v>0</v>
      </c>
      <c r="T263" s="387">
        <v>0</v>
      </c>
      <c r="U263" s="387">
        <v>0</v>
      </c>
      <c r="V263" s="387">
        <v>0</v>
      </c>
      <c r="W263" s="387">
        <v>0</v>
      </c>
      <c r="X263" s="387">
        <v>0</v>
      </c>
      <c r="Y263" s="387">
        <v>1943.39</v>
      </c>
      <c r="Z263" s="387">
        <v>3374.37</v>
      </c>
      <c r="AA263" s="387">
        <v>121471.09</v>
      </c>
      <c r="AB263" s="387">
        <v>506364.09</v>
      </c>
      <c r="AC263" s="387">
        <v>5162726.66</v>
      </c>
      <c r="AD263" s="525">
        <v>443.65</v>
      </c>
      <c r="AE263" s="387">
        <v>4620410.08</v>
      </c>
      <c r="AF263" s="526">
        <f t="shared" si="67"/>
        <v>10414.540000000001</v>
      </c>
      <c r="AG263" s="526">
        <f t="shared" si="68"/>
        <v>11636.94</v>
      </c>
      <c r="AH263" s="527">
        <f t="shared" ref="AH263:AH326" si="73">ROUND(AG263-AF263,2)</f>
        <v>1222.4000000000001</v>
      </c>
      <c r="AI263" s="525">
        <v>47.09</v>
      </c>
      <c r="AJ263" s="387">
        <v>482131.26</v>
      </c>
      <c r="AK263" s="526">
        <f t="shared" si="69"/>
        <v>10238.51</v>
      </c>
      <c r="AL263" s="526">
        <f t="shared" si="70"/>
        <v>10753.11</v>
      </c>
      <c r="AM263" s="527">
        <f t="shared" ref="AM263:AM326" si="74">ROUND(AL263-AK263,2)</f>
        <v>514.6</v>
      </c>
      <c r="AN263" s="387">
        <v>34441.21</v>
      </c>
      <c r="AO263" s="387">
        <v>0</v>
      </c>
      <c r="AP263" s="73"/>
      <c r="AQ263" s="241">
        <v>0</v>
      </c>
      <c r="AR263" s="659">
        <v>815263.91999999993</v>
      </c>
    </row>
    <row r="264" spans="1:44">
      <c r="A264" s="236" t="s">
        <v>286</v>
      </c>
      <c r="B264" s="236" t="s">
        <v>285</v>
      </c>
      <c r="C264" s="236" t="str">
        <f t="shared" si="72"/>
        <v>13156 SOAP LAKE SCHOOL DISTRICT</v>
      </c>
      <c r="D264" s="387">
        <v>0</v>
      </c>
      <c r="E264" s="387">
        <v>24704.74</v>
      </c>
      <c r="F264" s="387">
        <v>2899.86</v>
      </c>
      <c r="G264" s="387">
        <v>1141596.99</v>
      </c>
      <c r="H264" s="387">
        <v>244604.75</v>
      </c>
      <c r="I264" s="387">
        <v>170277.94</v>
      </c>
      <c r="J264" s="387">
        <v>279355.46999999997</v>
      </c>
      <c r="K264" s="387">
        <v>250340.67</v>
      </c>
      <c r="L264" s="387">
        <v>16031.26</v>
      </c>
      <c r="M264" s="387">
        <v>399939.72</v>
      </c>
      <c r="N264" s="388">
        <v>4.1599999999999998E-2</v>
      </c>
      <c r="O264" s="389">
        <v>0.2243</v>
      </c>
      <c r="P264" s="387">
        <v>0</v>
      </c>
      <c r="Q264" s="387">
        <v>0</v>
      </c>
      <c r="R264" s="387">
        <v>0</v>
      </c>
      <c r="S264" s="387">
        <v>0</v>
      </c>
      <c r="T264" s="387">
        <v>0</v>
      </c>
      <c r="U264" s="387">
        <v>0</v>
      </c>
      <c r="V264" s="387">
        <v>0</v>
      </c>
      <c r="W264" s="387">
        <v>0</v>
      </c>
      <c r="X264" s="387">
        <v>0</v>
      </c>
      <c r="Y264" s="387">
        <v>0</v>
      </c>
      <c r="Z264" s="387">
        <v>0</v>
      </c>
      <c r="AA264" s="387">
        <v>0</v>
      </c>
      <c r="AB264" s="387">
        <v>22952.27</v>
      </c>
      <c r="AC264" s="387">
        <v>320317.67</v>
      </c>
      <c r="AD264" s="525">
        <v>32.36</v>
      </c>
      <c r="AE264" s="387">
        <v>299776.67</v>
      </c>
      <c r="AF264" s="526">
        <f t="shared" ref="AF264:AF327" si="75">IFERROR(ROUND(AE264/AD264,2),0)</f>
        <v>9263.7999999999993</v>
      </c>
      <c r="AG264" s="526">
        <f t="shared" ref="AG264:AG327" si="76">IFERROR(ROUND(AC264/AD264,2),0)</f>
        <v>9898.57</v>
      </c>
      <c r="AH264" s="527">
        <f t="shared" si="73"/>
        <v>634.77</v>
      </c>
      <c r="AI264" s="525">
        <v>2.41</v>
      </c>
      <c r="AJ264" s="387">
        <v>21871.25</v>
      </c>
      <c r="AK264" s="526">
        <f t="shared" ref="AK264:AK327" si="77">IFERROR(ROUND(AJ264/AI264,2),0)</f>
        <v>9075.2099999999991</v>
      </c>
      <c r="AL264" s="526">
        <f t="shared" ref="AL264:AL327" si="78">IFERROR(ROUND(AB264/AI264,2),0)</f>
        <v>9523.76</v>
      </c>
      <c r="AM264" s="527">
        <f t="shared" si="74"/>
        <v>448.55</v>
      </c>
      <c r="AN264" s="387">
        <v>195.27</v>
      </c>
      <c r="AO264" s="387">
        <v>0</v>
      </c>
      <c r="AP264" s="73"/>
      <c r="AQ264" s="241">
        <v>43975.270000000019</v>
      </c>
      <c r="AR264" s="659">
        <v>70922.81</v>
      </c>
    </row>
    <row r="265" spans="1:44">
      <c r="A265" s="236" t="s">
        <v>493</v>
      </c>
      <c r="B265" s="236" t="s">
        <v>492</v>
      </c>
      <c r="C265" s="236" t="str">
        <f t="shared" si="72"/>
        <v>25118 SOUTH BEND SCHOOL DISTRICT</v>
      </c>
      <c r="D265" s="387">
        <v>0</v>
      </c>
      <c r="E265" s="387">
        <v>0</v>
      </c>
      <c r="F265" s="387">
        <v>0</v>
      </c>
      <c r="G265" s="387">
        <v>1896567.33</v>
      </c>
      <c r="H265" s="387">
        <v>429569.76</v>
      </c>
      <c r="I265" s="387">
        <v>169086.43</v>
      </c>
      <c r="J265" s="387">
        <v>261916.05</v>
      </c>
      <c r="K265" s="387">
        <v>225178.67</v>
      </c>
      <c r="L265" s="387">
        <v>0</v>
      </c>
      <c r="M265" s="387">
        <v>593673.1</v>
      </c>
      <c r="N265" s="388">
        <v>2.1999999999999999E-2</v>
      </c>
      <c r="O265" s="389">
        <v>0.18970000000000001</v>
      </c>
      <c r="P265" s="387">
        <v>0</v>
      </c>
      <c r="Q265" s="387">
        <v>0</v>
      </c>
      <c r="R265" s="387">
        <v>0</v>
      </c>
      <c r="S265" s="387">
        <v>0</v>
      </c>
      <c r="T265" s="387">
        <v>0</v>
      </c>
      <c r="U265" s="387">
        <v>0</v>
      </c>
      <c r="V265" s="387">
        <v>0</v>
      </c>
      <c r="W265" s="387">
        <v>0</v>
      </c>
      <c r="X265" s="387">
        <v>0</v>
      </c>
      <c r="Y265" s="387">
        <v>0</v>
      </c>
      <c r="Z265" s="387">
        <v>0</v>
      </c>
      <c r="AA265" s="387">
        <v>0</v>
      </c>
      <c r="AB265" s="387">
        <v>66237.33</v>
      </c>
      <c r="AC265" s="387">
        <v>370430.17</v>
      </c>
      <c r="AD265" s="525">
        <v>37.57</v>
      </c>
      <c r="AE265" s="387">
        <v>348277.57</v>
      </c>
      <c r="AF265" s="526">
        <f t="shared" si="75"/>
        <v>9270.1</v>
      </c>
      <c r="AG265" s="526">
        <f t="shared" si="76"/>
        <v>9859.73</v>
      </c>
      <c r="AH265" s="527">
        <f t="shared" si="73"/>
        <v>589.63</v>
      </c>
      <c r="AI265" s="525">
        <v>6.94</v>
      </c>
      <c r="AJ265" s="387">
        <v>63097.96</v>
      </c>
      <c r="AK265" s="526">
        <f t="shared" si="77"/>
        <v>9091.93</v>
      </c>
      <c r="AL265" s="526">
        <f t="shared" si="78"/>
        <v>9544.2800000000007</v>
      </c>
      <c r="AM265" s="527">
        <f t="shared" si="74"/>
        <v>452.35</v>
      </c>
      <c r="AN265" s="387">
        <v>0</v>
      </c>
      <c r="AO265" s="387">
        <v>2889.91</v>
      </c>
      <c r="AP265" s="73"/>
      <c r="AQ265" s="241">
        <v>9450.3199999999924</v>
      </c>
      <c r="AR265" s="659">
        <v>71460.45</v>
      </c>
    </row>
    <row r="266" spans="1:44">
      <c r="A266" s="236" t="s">
        <v>383</v>
      </c>
      <c r="B266" s="236" t="s">
        <v>382</v>
      </c>
      <c r="C266" s="236" t="str">
        <f t="shared" si="72"/>
        <v>18402 SOUTH KITSAP SCHOOL DISTRICT</v>
      </c>
      <c r="D266" s="387">
        <v>0</v>
      </c>
      <c r="E266" s="387">
        <v>272907.62</v>
      </c>
      <c r="F266" s="387">
        <v>437.7</v>
      </c>
      <c r="G266" s="387">
        <v>23492010.390000001</v>
      </c>
      <c r="H266" s="387">
        <v>4131025.42</v>
      </c>
      <c r="I266" s="387">
        <v>476217</v>
      </c>
      <c r="J266" s="387">
        <v>3231588.73</v>
      </c>
      <c r="K266" s="387">
        <v>499554.24</v>
      </c>
      <c r="L266" s="387">
        <v>330334.06</v>
      </c>
      <c r="M266" s="387">
        <v>7768447.9000000004</v>
      </c>
      <c r="N266" s="388">
        <v>1.78E-2</v>
      </c>
      <c r="O266" s="389">
        <v>0.16969999999999999</v>
      </c>
      <c r="P266" s="387">
        <v>0</v>
      </c>
      <c r="Q266" s="387">
        <v>0</v>
      </c>
      <c r="R266" s="387">
        <v>0</v>
      </c>
      <c r="S266" s="387">
        <v>0</v>
      </c>
      <c r="T266" s="387">
        <v>0</v>
      </c>
      <c r="U266" s="387">
        <v>0</v>
      </c>
      <c r="V266" s="387">
        <v>0</v>
      </c>
      <c r="W266" s="387">
        <v>0</v>
      </c>
      <c r="X266" s="387">
        <v>0</v>
      </c>
      <c r="Y266" s="387">
        <v>10497.89</v>
      </c>
      <c r="Z266" s="387">
        <v>204419.56</v>
      </c>
      <c r="AA266" s="387">
        <v>141488.4</v>
      </c>
      <c r="AB266" s="387">
        <v>3577091.16</v>
      </c>
      <c r="AC266" s="387">
        <v>7421015.6500000004</v>
      </c>
      <c r="AD266" s="525">
        <v>672.44</v>
      </c>
      <c r="AE266" s="387">
        <v>7003034.5599999996</v>
      </c>
      <c r="AF266" s="526">
        <f t="shared" si="75"/>
        <v>10414.36</v>
      </c>
      <c r="AG266" s="526">
        <f t="shared" si="76"/>
        <v>11035.95</v>
      </c>
      <c r="AH266" s="527">
        <f t="shared" si="73"/>
        <v>621.59</v>
      </c>
      <c r="AI266" s="525">
        <v>332.66</v>
      </c>
      <c r="AJ266" s="387">
        <v>3405168.02</v>
      </c>
      <c r="AK266" s="526">
        <f t="shared" si="77"/>
        <v>10236.18</v>
      </c>
      <c r="AL266" s="526">
        <f t="shared" si="78"/>
        <v>10752.99</v>
      </c>
      <c r="AM266" s="527">
        <f t="shared" si="74"/>
        <v>516.80999999999995</v>
      </c>
      <c r="AN266" s="387">
        <v>0</v>
      </c>
      <c r="AO266" s="387">
        <v>0</v>
      </c>
      <c r="AP266" s="73"/>
      <c r="AQ266" s="241">
        <v>933059.44999999949</v>
      </c>
      <c r="AR266" s="659">
        <v>1139660.08</v>
      </c>
    </row>
    <row r="267" spans="1:44">
      <c r="A267" s="236" t="s">
        <v>327</v>
      </c>
      <c r="B267" s="236" t="s">
        <v>326</v>
      </c>
      <c r="C267" s="236" t="str">
        <f t="shared" si="72"/>
        <v>15206 SOUTH WHIDBEY SCHOOL DISTRICT</v>
      </c>
      <c r="D267" s="387">
        <v>0</v>
      </c>
      <c r="E267" s="387">
        <v>4666.6099999999997</v>
      </c>
      <c r="F267" s="387">
        <v>0</v>
      </c>
      <c r="G267" s="387">
        <v>2576765.92</v>
      </c>
      <c r="H267" s="387">
        <v>406640.54</v>
      </c>
      <c r="I267" s="387">
        <v>9083.2199999999993</v>
      </c>
      <c r="J267" s="387">
        <v>290284.39</v>
      </c>
      <c r="K267" s="387">
        <v>22724.04</v>
      </c>
      <c r="L267" s="387">
        <v>42514.5</v>
      </c>
      <c r="M267" s="387">
        <v>831671.74</v>
      </c>
      <c r="N267" s="388">
        <v>3.3000000000000002E-2</v>
      </c>
      <c r="O267" s="389">
        <v>0.17330000000000001</v>
      </c>
      <c r="P267" s="387">
        <v>0</v>
      </c>
      <c r="Q267" s="387">
        <v>0</v>
      </c>
      <c r="R267" s="387">
        <v>0</v>
      </c>
      <c r="S267" s="387">
        <v>0</v>
      </c>
      <c r="T267" s="387">
        <v>0</v>
      </c>
      <c r="U267" s="387">
        <v>0</v>
      </c>
      <c r="V267" s="387">
        <v>0</v>
      </c>
      <c r="W267" s="387">
        <v>0</v>
      </c>
      <c r="X267" s="387">
        <v>0</v>
      </c>
      <c r="Y267" s="387">
        <v>1356.58</v>
      </c>
      <c r="Z267" s="387">
        <v>0</v>
      </c>
      <c r="AA267" s="387">
        <v>37611.42</v>
      </c>
      <c r="AB267" s="387">
        <v>0</v>
      </c>
      <c r="AC267" s="387">
        <v>695176.49</v>
      </c>
      <c r="AD267" s="525">
        <v>62.91</v>
      </c>
      <c r="AE267" s="387">
        <v>657974.67000000004</v>
      </c>
      <c r="AF267" s="526">
        <f t="shared" si="75"/>
        <v>10458.98</v>
      </c>
      <c r="AG267" s="526">
        <f t="shared" si="76"/>
        <v>11050.33</v>
      </c>
      <c r="AH267" s="527">
        <f t="shared" si="73"/>
        <v>591.35</v>
      </c>
      <c r="AI267" s="525">
        <v>0</v>
      </c>
      <c r="AJ267" s="387">
        <v>0</v>
      </c>
      <c r="AK267" s="526">
        <f t="shared" si="77"/>
        <v>0</v>
      </c>
      <c r="AL267" s="526">
        <f t="shared" si="78"/>
        <v>0</v>
      </c>
      <c r="AM267" s="527">
        <f t="shared" si="74"/>
        <v>0</v>
      </c>
      <c r="AN267" s="387">
        <v>0</v>
      </c>
      <c r="AO267" s="387">
        <v>0</v>
      </c>
      <c r="AP267" s="73"/>
      <c r="AQ267" s="241">
        <v>0</v>
      </c>
      <c r="AR267" s="659">
        <v>138886.52999999997</v>
      </c>
    </row>
    <row r="268" spans="1:44">
      <c r="A268" s="236" t="s">
        <v>459</v>
      </c>
      <c r="B268" s="236" t="s">
        <v>458</v>
      </c>
      <c r="C268" s="236" t="str">
        <f t="shared" si="72"/>
        <v>23042 SOUTHSIDE SCHOOL DISTRICT</v>
      </c>
      <c r="D268" s="387">
        <v>0</v>
      </c>
      <c r="E268" s="387">
        <v>0</v>
      </c>
      <c r="F268" s="387">
        <v>0</v>
      </c>
      <c r="G268" s="387">
        <v>496566.17</v>
      </c>
      <c r="H268" s="387">
        <v>44933.79</v>
      </c>
      <c r="I268" s="387">
        <v>0</v>
      </c>
      <c r="J268" s="387">
        <v>72790.570000000007</v>
      </c>
      <c r="K268" s="387">
        <v>29213.53</v>
      </c>
      <c r="L268" s="387">
        <v>6499.15</v>
      </c>
      <c r="M268" s="387">
        <v>147767.34</v>
      </c>
      <c r="N268" s="388">
        <v>5.5599999999999997E-2</v>
      </c>
      <c r="O268" s="389">
        <v>0.27429999999999999</v>
      </c>
      <c r="P268" s="387">
        <v>0</v>
      </c>
      <c r="Q268" s="387">
        <v>0</v>
      </c>
      <c r="R268" s="387">
        <v>0</v>
      </c>
      <c r="S268" s="387">
        <v>0</v>
      </c>
      <c r="T268" s="387">
        <v>0</v>
      </c>
      <c r="U268" s="387">
        <v>0</v>
      </c>
      <c r="V268" s="387">
        <v>0</v>
      </c>
      <c r="W268" s="387">
        <v>0</v>
      </c>
      <c r="X268" s="387">
        <v>0</v>
      </c>
      <c r="Y268" s="387">
        <v>232.05</v>
      </c>
      <c r="Z268" s="387">
        <v>0</v>
      </c>
      <c r="AA268" s="387">
        <v>0</v>
      </c>
      <c r="AB268" s="387">
        <v>0</v>
      </c>
      <c r="AC268" s="387">
        <v>0</v>
      </c>
      <c r="AD268" s="525">
        <v>0</v>
      </c>
      <c r="AE268" s="387">
        <v>0</v>
      </c>
      <c r="AF268" s="526">
        <f t="shared" si="75"/>
        <v>0</v>
      </c>
      <c r="AG268" s="526">
        <f t="shared" si="76"/>
        <v>0</v>
      </c>
      <c r="AH268" s="527">
        <f t="shared" si="73"/>
        <v>0</v>
      </c>
      <c r="AI268" s="525">
        <v>0</v>
      </c>
      <c r="AJ268" s="387">
        <v>0</v>
      </c>
      <c r="AK268" s="526">
        <f t="shared" si="77"/>
        <v>0</v>
      </c>
      <c r="AL268" s="526">
        <f t="shared" si="78"/>
        <v>0</v>
      </c>
      <c r="AM268" s="527">
        <f t="shared" si="74"/>
        <v>0</v>
      </c>
      <c r="AN268" s="387">
        <v>0</v>
      </c>
      <c r="AO268" s="387">
        <v>0</v>
      </c>
      <c r="AP268" s="73"/>
      <c r="AQ268" s="241">
        <v>56089.3</v>
      </c>
      <c r="AR268" s="659">
        <v>25657.420000000002</v>
      </c>
    </row>
    <row r="269" spans="1:44">
      <c r="A269" s="236" t="s">
        <v>593</v>
      </c>
      <c r="B269" s="236" t="s">
        <v>592</v>
      </c>
      <c r="C269" s="236" t="str">
        <f t="shared" si="72"/>
        <v>32081 SPOKANE SCHOOL DISTRICT</v>
      </c>
      <c r="D269" s="387">
        <v>0</v>
      </c>
      <c r="E269" s="387">
        <v>1136755.3700000001</v>
      </c>
      <c r="F269" s="387">
        <v>475893.1</v>
      </c>
      <c r="G269" s="387">
        <v>59912282.780000001</v>
      </c>
      <c r="H269" s="387">
        <v>11053843.550000001</v>
      </c>
      <c r="I269" s="387">
        <v>5653400.8200000003</v>
      </c>
      <c r="J269" s="387">
        <v>11873203.26</v>
      </c>
      <c r="K269" s="387">
        <v>4559441.46</v>
      </c>
      <c r="L269" s="387">
        <v>894284.12</v>
      </c>
      <c r="M269" s="387">
        <v>15359813.48</v>
      </c>
      <c r="N269" s="388">
        <v>1.7600000000000001E-2</v>
      </c>
      <c r="O269" s="389">
        <v>0.13569999999999999</v>
      </c>
      <c r="P269" s="387">
        <v>0</v>
      </c>
      <c r="Q269" s="387">
        <v>0</v>
      </c>
      <c r="R269" s="387">
        <v>0</v>
      </c>
      <c r="S269" s="387">
        <v>0</v>
      </c>
      <c r="T269" s="387">
        <v>0</v>
      </c>
      <c r="U269" s="387">
        <v>0</v>
      </c>
      <c r="V269" s="387">
        <v>0</v>
      </c>
      <c r="W269" s="387">
        <v>0</v>
      </c>
      <c r="X269" s="387">
        <v>0</v>
      </c>
      <c r="Y269" s="387">
        <v>1625.44</v>
      </c>
      <c r="Z269" s="387">
        <v>131828.15</v>
      </c>
      <c r="AA269" s="387">
        <v>0</v>
      </c>
      <c r="AB269" s="387">
        <v>2451669.63</v>
      </c>
      <c r="AC269" s="387">
        <v>10988568.74</v>
      </c>
      <c r="AD269" s="525">
        <v>1123.96</v>
      </c>
      <c r="AE269" s="387">
        <v>10414306.34</v>
      </c>
      <c r="AF269" s="526">
        <f t="shared" si="75"/>
        <v>9265.73</v>
      </c>
      <c r="AG269" s="526">
        <f t="shared" si="76"/>
        <v>9776.65</v>
      </c>
      <c r="AH269" s="527">
        <f t="shared" si="73"/>
        <v>510.92</v>
      </c>
      <c r="AI269" s="525">
        <v>256.74</v>
      </c>
      <c r="AJ269" s="387">
        <v>2332338.46</v>
      </c>
      <c r="AK269" s="526">
        <f t="shared" si="77"/>
        <v>9084.44</v>
      </c>
      <c r="AL269" s="526">
        <f t="shared" si="78"/>
        <v>9549.23</v>
      </c>
      <c r="AM269" s="527">
        <f t="shared" si="74"/>
        <v>464.79</v>
      </c>
      <c r="AN269" s="387">
        <v>0</v>
      </c>
      <c r="AO269" s="387">
        <v>0</v>
      </c>
      <c r="AP269" s="73"/>
      <c r="AQ269" s="241">
        <v>0</v>
      </c>
      <c r="AR269" s="659">
        <v>3184198.95</v>
      </c>
    </row>
    <row r="270" spans="1:44">
      <c r="A270" s="236" t="s">
        <v>1646</v>
      </c>
      <c r="B270" s="236" t="s">
        <v>1446</v>
      </c>
      <c r="C270" s="236" t="str">
        <f>CONCATENATE(B270," ",A270," CHARTER")</f>
        <v>32901 SPOKANE INT'L CHARTER</v>
      </c>
      <c r="D270" s="387">
        <v>68915.570000000007</v>
      </c>
      <c r="E270" s="387">
        <v>0</v>
      </c>
      <c r="F270" s="387">
        <v>0</v>
      </c>
      <c r="G270" s="387">
        <v>1206935.25</v>
      </c>
      <c r="H270" s="387">
        <v>76801.58</v>
      </c>
      <c r="I270" s="387">
        <v>0</v>
      </c>
      <c r="J270" s="387">
        <v>267115.39</v>
      </c>
      <c r="K270" s="387">
        <v>91158.99</v>
      </c>
      <c r="L270" s="387">
        <v>25779.99</v>
      </c>
      <c r="M270" s="387">
        <v>528762.77</v>
      </c>
      <c r="N270" s="388">
        <v>5.1299999999999998E-2</v>
      </c>
      <c r="O270" s="389">
        <v>0.34129999999999999</v>
      </c>
      <c r="P270" s="387">
        <v>0</v>
      </c>
      <c r="Q270" s="387">
        <v>0</v>
      </c>
      <c r="R270" s="387">
        <v>0</v>
      </c>
      <c r="S270" s="387">
        <v>0</v>
      </c>
      <c r="T270" s="387">
        <v>0</v>
      </c>
      <c r="U270" s="387">
        <v>0</v>
      </c>
      <c r="V270" s="387">
        <v>0</v>
      </c>
      <c r="W270" s="387">
        <v>0</v>
      </c>
      <c r="X270" s="387">
        <v>0</v>
      </c>
      <c r="Y270" s="387">
        <v>0</v>
      </c>
      <c r="Z270" s="387">
        <v>0</v>
      </c>
      <c r="AA270" s="387">
        <v>0</v>
      </c>
      <c r="AB270" s="387">
        <v>0</v>
      </c>
      <c r="AC270" s="387">
        <v>4974.8100000000004</v>
      </c>
      <c r="AD270" s="525">
        <v>0</v>
      </c>
      <c r="AE270" s="387">
        <v>0</v>
      </c>
      <c r="AF270" s="526">
        <f t="shared" si="75"/>
        <v>0</v>
      </c>
      <c r="AG270" s="526">
        <f t="shared" si="76"/>
        <v>0</v>
      </c>
      <c r="AH270" s="527">
        <f t="shared" si="73"/>
        <v>0</v>
      </c>
      <c r="AI270" s="525">
        <v>0</v>
      </c>
      <c r="AJ270" s="387">
        <v>0</v>
      </c>
      <c r="AK270" s="526">
        <f t="shared" si="77"/>
        <v>0</v>
      </c>
      <c r="AL270" s="526">
        <f t="shared" si="78"/>
        <v>0</v>
      </c>
      <c r="AM270" s="527">
        <f t="shared" si="74"/>
        <v>0</v>
      </c>
      <c r="AN270" s="387">
        <v>0</v>
      </c>
      <c r="AO270" s="387">
        <v>0</v>
      </c>
      <c r="AP270" s="73"/>
      <c r="AQ270" s="241">
        <v>0</v>
      </c>
      <c r="AR270" s="659">
        <v>98552.36</v>
      </c>
    </row>
    <row r="271" spans="1:44">
      <c r="A271" s="236" t="s">
        <v>443</v>
      </c>
      <c r="B271" s="236" t="s">
        <v>442</v>
      </c>
      <c r="C271" s="236" t="str">
        <f t="shared" ref="C271:C281" si="79">CONCATENATE(B271," ",A271," SCHOOL DISTRICT")</f>
        <v>22008 SPRAGUE SCHOOL DISTRICT</v>
      </c>
      <c r="D271" s="387">
        <v>0</v>
      </c>
      <c r="E271" s="387">
        <v>0</v>
      </c>
      <c r="F271" s="387">
        <v>1080.49</v>
      </c>
      <c r="G271" s="387">
        <v>100711.49</v>
      </c>
      <c r="H271" s="387">
        <v>18691.27</v>
      </c>
      <c r="I271" s="387">
        <v>11373.54</v>
      </c>
      <c r="J271" s="387">
        <v>28487.98</v>
      </c>
      <c r="K271" s="387">
        <v>0</v>
      </c>
      <c r="L271" s="387">
        <v>1516.48</v>
      </c>
      <c r="M271" s="387">
        <v>168161.97</v>
      </c>
      <c r="N271" s="388">
        <v>6.4899999999999999E-2</v>
      </c>
      <c r="O271" s="389">
        <v>0.221</v>
      </c>
      <c r="P271" s="387">
        <v>0</v>
      </c>
      <c r="Q271" s="387">
        <v>0</v>
      </c>
      <c r="R271" s="387">
        <v>0</v>
      </c>
      <c r="S271" s="387">
        <v>0</v>
      </c>
      <c r="T271" s="387">
        <v>0</v>
      </c>
      <c r="U271" s="387">
        <v>0</v>
      </c>
      <c r="V271" s="387">
        <v>0</v>
      </c>
      <c r="W271" s="387">
        <v>0</v>
      </c>
      <c r="X271" s="387">
        <v>0</v>
      </c>
      <c r="Y271" s="387">
        <v>0</v>
      </c>
      <c r="Z271" s="387">
        <v>0</v>
      </c>
      <c r="AA271" s="387">
        <v>0</v>
      </c>
      <c r="AB271" s="387">
        <v>0</v>
      </c>
      <c r="AC271" s="387">
        <v>30669.09</v>
      </c>
      <c r="AD271" s="525">
        <v>3.22</v>
      </c>
      <c r="AE271" s="387">
        <v>29705.75</v>
      </c>
      <c r="AF271" s="526">
        <f t="shared" si="75"/>
        <v>9225.39</v>
      </c>
      <c r="AG271" s="526">
        <f t="shared" si="76"/>
        <v>9524.56</v>
      </c>
      <c r="AH271" s="527">
        <f t="shared" si="73"/>
        <v>299.17</v>
      </c>
      <c r="AI271" s="525">
        <v>0</v>
      </c>
      <c r="AJ271" s="387">
        <v>0</v>
      </c>
      <c r="AK271" s="526">
        <f t="shared" si="77"/>
        <v>0</v>
      </c>
      <c r="AL271" s="526">
        <f t="shared" si="78"/>
        <v>0</v>
      </c>
      <c r="AM271" s="527">
        <f t="shared" si="74"/>
        <v>0</v>
      </c>
      <c r="AN271" s="387">
        <v>0.33</v>
      </c>
      <c r="AO271" s="387">
        <v>0</v>
      </c>
      <c r="AP271" s="73"/>
      <c r="AQ271" s="241">
        <v>12646.429999999997</v>
      </c>
      <c r="AR271" s="659">
        <v>19526.700000000004</v>
      </c>
    </row>
    <row r="272" spans="1:44">
      <c r="A272" s="236" t="s">
        <v>708</v>
      </c>
      <c r="B272" s="236" t="s">
        <v>707</v>
      </c>
      <c r="C272" s="236" t="str">
        <f t="shared" si="79"/>
        <v>38322 ST JOHN SCHOOL DISTRICT</v>
      </c>
      <c r="D272" s="387">
        <v>0</v>
      </c>
      <c r="E272" s="387">
        <v>3525.35</v>
      </c>
      <c r="F272" s="387">
        <v>1820.59</v>
      </c>
      <c r="G272" s="387">
        <v>270503.69</v>
      </c>
      <c r="H272" s="387">
        <v>27067.9</v>
      </c>
      <c r="I272" s="387">
        <v>13106.65</v>
      </c>
      <c r="J272" s="387">
        <v>45060.83</v>
      </c>
      <c r="K272" s="387">
        <v>0</v>
      </c>
      <c r="L272" s="387">
        <v>0</v>
      </c>
      <c r="M272" s="387">
        <v>373035.94</v>
      </c>
      <c r="N272" s="388">
        <v>4.8399999999999999E-2</v>
      </c>
      <c r="O272" s="389">
        <v>0.23</v>
      </c>
      <c r="P272" s="387">
        <v>0</v>
      </c>
      <c r="Q272" s="387">
        <v>0</v>
      </c>
      <c r="R272" s="387">
        <v>0</v>
      </c>
      <c r="S272" s="387">
        <v>0</v>
      </c>
      <c r="T272" s="387">
        <v>0</v>
      </c>
      <c r="U272" s="387">
        <v>0</v>
      </c>
      <c r="V272" s="387">
        <v>0</v>
      </c>
      <c r="W272" s="387">
        <v>0</v>
      </c>
      <c r="X272" s="387">
        <v>0</v>
      </c>
      <c r="Y272" s="387">
        <v>161.76</v>
      </c>
      <c r="Z272" s="387">
        <v>0</v>
      </c>
      <c r="AA272" s="387">
        <v>0</v>
      </c>
      <c r="AB272" s="387">
        <v>0</v>
      </c>
      <c r="AC272" s="387">
        <v>115249.1</v>
      </c>
      <c r="AD272" s="525">
        <v>11.76</v>
      </c>
      <c r="AE272" s="387">
        <v>108933.09</v>
      </c>
      <c r="AF272" s="526">
        <f t="shared" si="75"/>
        <v>9263.02</v>
      </c>
      <c r="AG272" s="526">
        <f t="shared" si="76"/>
        <v>9800.09</v>
      </c>
      <c r="AH272" s="527">
        <f t="shared" si="73"/>
        <v>537.07000000000005</v>
      </c>
      <c r="AI272" s="525">
        <v>0</v>
      </c>
      <c r="AJ272" s="387">
        <v>0</v>
      </c>
      <c r="AK272" s="526">
        <f t="shared" si="77"/>
        <v>0</v>
      </c>
      <c r="AL272" s="526">
        <f t="shared" si="78"/>
        <v>0</v>
      </c>
      <c r="AM272" s="527">
        <f t="shared" si="74"/>
        <v>0</v>
      </c>
      <c r="AN272" s="387">
        <v>0</v>
      </c>
      <c r="AO272" s="387">
        <v>0</v>
      </c>
      <c r="AP272" s="73"/>
      <c r="AQ272" s="241">
        <v>30002.159999999996</v>
      </c>
      <c r="AR272" s="659">
        <v>28014.84</v>
      </c>
    </row>
    <row r="273" spans="1:44">
      <c r="A273" s="236" t="s">
        <v>591</v>
      </c>
      <c r="B273" s="236" t="s">
        <v>590</v>
      </c>
      <c r="C273" s="236" t="str">
        <f t="shared" si="79"/>
        <v>31401 STANWOOD SCHOOL DISTRICT</v>
      </c>
      <c r="D273" s="387">
        <v>0</v>
      </c>
      <c r="E273" s="387">
        <v>35117.050000000003</v>
      </c>
      <c r="F273" s="387">
        <v>0</v>
      </c>
      <c r="G273" s="387">
        <v>11602396.800000001</v>
      </c>
      <c r="H273" s="387">
        <v>1772911.92</v>
      </c>
      <c r="I273" s="387">
        <v>0</v>
      </c>
      <c r="J273" s="387">
        <v>1168378.8999999999</v>
      </c>
      <c r="K273" s="387">
        <v>334789.68</v>
      </c>
      <c r="L273" s="387">
        <v>168831.61</v>
      </c>
      <c r="M273" s="387">
        <v>3761078.28</v>
      </c>
      <c r="N273" s="388">
        <v>4.87E-2</v>
      </c>
      <c r="O273" s="389">
        <v>0.14249999999999999</v>
      </c>
      <c r="P273" s="387">
        <v>0</v>
      </c>
      <c r="Q273" s="387">
        <v>0</v>
      </c>
      <c r="R273" s="387">
        <v>0</v>
      </c>
      <c r="S273" s="387">
        <v>0</v>
      </c>
      <c r="T273" s="387">
        <v>0</v>
      </c>
      <c r="U273" s="387">
        <v>0</v>
      </c>
      <c r="V273" s="387">
        <v>0</v>
      </c>
      <c r="W273" s="387">
        <v>0</v>
      </c>
      <c r="X273" s="387">
        <v>0</v>
      </c>
      <c r="Y273" s="387">
        <v>5487.68</v>
      </c>
      <c r="Z273" s="387">
        <v>16185.8</v>
      </c>
      <c r="AA273" s="387">
        <v>30449.87</v>
      </c>
      <c r="AB273" s="387">
        <v>904963.3</v>
      </c>
      <c r="AC273" s="387">
        <v>4047316.19</v>
      </c>
      <c r="AD273" s="525">
        <v>377.21</v>
      </c>
      <c r="AE273" s="387">
        <v>3853622.23</v>
      </c>
      <c r="AF273" s="526">
        <f t="shared" si="75"/>
        <v>10216.120000000001</v>
      </c>
      <c r="AG273" s="526">
        <f t="shared" si="76"/>
        <v>10729.61</v>
      </c>
      <c r="AH273" s="527">
        <f t="shared" si="73"/>
        <v>513.49</v>
      </c>
      <c r="AI273" s="525">
        <v>85.78</v>
      </c>
      <c r="AJ273" s="387">
        <v>861070.23</v>
      </c>
      <c r="AK273" s="526">
        <f t="shared" si="77"/>
        <v>10038.120000000001</v>
      </c>
      <c r="AL273" s="526">
        <f t="shared" si="78"/>
        <v>10549.82</v>
      </c>
      <c r="AM273" s="527">
        <f t="shared" si="74"/>
        <v>511.7</v>
      </c>
      <c r="AN273" s="387">
        <v>0</v>
      </c>
      <c r="AO273" s="387">
        <v>0</v>
      </c>
      <c r="AP273" s="73"/>
      <c r="AQ273" s="241">
        <v>0</v>
      </c>
      <c r="AR273" s="659">
        <v>578249.12</v>
      </c>
    </row>
    <row r="274" spans="1:44">
      <c r="A274" s="236" t="s">
        <v>272</v>
      </c>
      <c r="B274" s="236" t="s">
        <v>271</v>
      </c>
      <c r="C274" s="236" t="str">
        <f t="shared" si="79"/>
        <v>11054 STAR SCHOOL DISTRICT</v>
      </c>
      <c r="D274" s="387">
        <v>0</v>
      </c>
      <c r="E274" s="387">
        <v>0</v>
      </c>
      <c r="F274" s="387">
        <v>0</v>
      </c>
      <c r="G274" s="387">
        <v>0</v>
      </c>
      <c r="H274" s="387">
        <v>0</v>
      </c>
      <c r="I274" s="387">
        <v>0</v>
      </c>
      <c r="J274" s="387">
        <v>0</v>
      </c>
      <c r="K274" s="387">
        <v>0</v>
      </c>
      <c r="L274" s="387">
        <v>0</v>
      </c>
      <c r="M274" s="387">
        <v>123456.31</v>
      </c>
      <c r="N274" s="388">
        <v>9.0399999999999994E-2</v>
      </c>
      <c r="O274" s="389">
        <v>0.32119999999999999</v>
      </c>
      <c r="P274" s="387">
        <v>0</v>
      </c>
      <c r="Q274" s="387">
        <v>0</v>
      </c>
      <c r="R274" s="387">
        <v>0</v>
      </c>
      <c r="S274" s="387">
        <v>0</v>
      </c>
      <c r="T274" s="387">
        <v>0</v>
      </c>
      <c r="U274" s="387">
        <v>0</v>
      </c>
      <c r="V274" s="387">
        <v>0</v>
      </c>
      <c r="W274" s="387">
        <v>0</v>
      </c>
      <c r="X274" s="387">
        <v>0</v>
      </c>
      <c r="Y274" s="387">
        <v>0</v>
      </c>
      <c r="Z274" s="387">
        <v>0</v>
      </c>
      <c r="AA274" s="387">
        <v>0</v>
      </c>
      <c r="AB274" s="387">
        <v>0</v>
      </c>
      <c r="AC274" s="387">
        <v>0</v>
      </c>
      <c r="AD274" s="525">
        <v>0</v>
      </c>
      <c r="AE274" s="387">
        <v>0</v>
      </c>
      <c r="AF274" s="526">
        <f t="shared" si="75"/>
        <v>0</v>
      </c>
      <c r="AG274" s="526">
        <f t="shared" si="76"/>
        <v>0</v>
      </c>
      <c r="AH274" s="527">
        <f t="shared" si="73"/>
        <v>0</v>
      </c>
      <c r="AI274" s="525">
        <v>0</v>
      </c>
      <c r="AJ274" s="387">
        <v>0</v>
      </c>
      <c r="AK274" s="526">
        <f t="shared" si="77"/>
        <v>0</v>
      </c>
      <c r="AL274" s="526">
        <f t="shared" si="78"/>
        <v>0</v>
      </c>
      <c r="AM274" s="527">
        <f t="shared" si="74"/>
        <v>0</v>
      </c>
      <c r="AN274" s="387">
        <v>0</v>
      </c>
      <c r="AO274" s="387">
        <v>0</v>
      </c>
      <c r="AP274" s="73"/>
      <c r="AQ274" s="241">
        <v>0</v>
      </c>
      <c r="AR274" s="659">
        <v>3205.9</v>
      </c>
    </row>
    <row r="275" spans="1:44">
      <c r="A275" s="236" t="s">
        <v>232</v>
      </c>
      <c r="B275" s="236" t="s">
        <v>231</v>
      </c>
      <c r="C275" s="236" t="str">
        <f t="shared" si="79"/>
        <v>07035 STARBUCK SCHOOL DISTRICT</v>
      </c>
      <c r="D275" s="387">
        <v>42107.67</v>
      </c>
      <c r="E275" s="387">
        <v>23126.67</v>
      </c>
      <c r="F275" s="387">
        <v>0</v>
      </c>
      <c r="G275" s="387">
        <v>1292684.25</v>
      </c>
      <c r="H275" s="387">
        <v>435470.01</v>
      </c>
      <c r="I275" s="387">
        <v>7798.99</v>
      </c>
      <c r="J275" s="387">
        <v>411938.3</v>
      </c>
      <c r="K275" s="387">
        <v>0</v>
      </c>
      <c r="L275" s="387">
        <v>0</v>
      </c>
      <c r="M275" s="387">
        <v>64975.73</v>
      </c>
      <c r="N275" s="388">
        <v>0</v>
      </c>
      <c r="O275" s="389">
        <v>6.2799999999999995E-2</v>
      </c>
      <c r="P275" s="387">
        <v>0</v>
      </c>
      <c r="Q275" s="387">
        <v>0</v>
      </c>
      <c r="R275" s="387">
        <v>0</v>
      </c>
      <c r="S275" s="387">
        <v>0</v>
      </c>
      <c r="T275" s="387">
        <v>0</v>
      </c>
      <c r="U275" s="387">
        <v>0</v>
      </c>
      <c r="V275" s="387">
        <v>0</v>
      </c>
      <c r="W275" s="387">
        <v>0</v>
      </c>
      <c r="X275" s="387">
        <v>0</v>
      </c>
      <c r="Y275" s="387">
        <v>22.31</v>
      </c>
      <c r="Z275" s="387">
        <v>0</v>
      </c>
      <c r="AA275" s="387">
        <v>0</v>
      </c>
      <c r="AB275" s="387">
        <v>0</v>
      </c>
      <c r="AC275" s="387">
        <v>0</v>
      </c>
      <c r="AD275" s="525">
        <v>0</v>
      </c>
      <c r="AE275" s="387">
        <v>0</v>
      </c>
      <c r="AF275" s="526">
        <f t="shared" si="75"/>
        <v>0</v>
      </c>
      <c r="AG275" s="526">
        <f t="shared" si="76"/>
        <v>0</v>
      </c>
      <c r="AH275" s="527">
        <f t="shared" si="73"/>
        <v>0</v>
      </c>
      <c r="AI275" s="525">
        <v>0</v>
      </c>
      <c r="AJ275" s="387">
        <v>0</v>
      </c>
      <c r="AK275" s="526">
        <f t="shared" si="77"/>
        <v>0</v>
      </c>
      <c r="AL275" s="526">
        <f t="shared" si="78"/>
        <v>0</v>
      </c>
      <c r="AM275" s="527">
        <f t="shared" si="74"/>
        <v>0</v>
      </c>
      <c r="AN275" s="387">
        <v>0</v>
      </c>
      <c r="AO275" s="387">
        <v>0</v>
      </c>
      <c r="AP275" s="73"/>
      <c r="AQ275" s="241">
        <v>35633.54</v>
      </c>
      <c r="AR275" s="659">
        <v>18387.900000000001</v>
      </c>
    </row>
    <row r="276" spans="1:44">
      <c r="A276" s="236" t="s">
        <v>192</v>
      </c>
      <c r="B276" s="236" t="s">
        <v>191</v>
      </c>
      <c r="C276" s="236" t="str">
        <f t="shared" si="79"/>
        <v>04069 STEHEKIN SCHOOL DISTRICT</v>
      </c>
      <c r="D276" s="387">
        <v>0</v>
      </c>
      <c r="E276" s="387">
        <v>0</v>
      </c>
      <c r="F276" s="387">
        <v>0</v>
      </c>
      <c r="G276" s="387">
        <v>0</v>
      </c>
      <c r="H276" s="387">
        <v>0</v>
      </c>
      <c r="I276" s="387">
        <v>0</v>
      </c>
      <c r="J276" s="387">
        <v>0</v>
      </c>
      <c r="K276" s="387">
        <v>0</v>
      </c>
      <c r="L276" s="387">
        <v>0</v>
      </c>
      <c r="M276" s="387">
        <v>0</v>
      </c>
      <c r="N276" s="388">
        <v>0.27879999999999999</v>
      </c>
      <c r="O276" s="389">
        <v>0.71950000000000003</v>
      </c>
      <c r="P276" s="387">
        <v>0</v>
      </c>
      <c r="Q276" s="387">
        <v>0</v>
      </c>
      <c r="R276" s="387">
        <v>0</v>
      </c>
      <c r="S276" s="387">
        <v>0</v>
      </c>
      <c r="T276" s="387">
        <v>0</v>
      </c>
      <c r="U276" s="387">
        <v>0</v>
      </c>
      <c r="V276" s="387">
        <v>0</v>
      </c>
      <c r="W276" s="387">
        <v>0</v>
      </c>
      <c r="X276" s="387">
        <v>0</v>
      </c>
      <c r="Y276" s="387">
        <v>0</v>
      </c>
      <c r="Z276" s="387">
        <v>0</v>
      </c>
      <c r="AA276" s="387">
        <v>0</v>
      </c>
      <c r="AB276" s="387">
        <v>0</v>
      </c>
      <c r="AC276" s="387">
        <v>0</v>
      </c>
      <c r="AD276" s="525">
        <v>0</v>
      </c>
      <c r="AE276" s="387">
        <v>0</v>
      </c>
      <c r="AF276" s="526">
        <f t="shared" si="75"/>
        <v>0</v>
      </c>
      <c r="AG276" s="526">
        <f t="shared" si="76"/>
        <v>0</v>
      </c>
      <c r="AH276" s="527">
        <f t="shared" si="73"/>
        <v>0</v>
      </c>
      <c r="AI276" s="525">
        <v>0</v>
      </c>
      <c r="AJ276" s="387">
        <v>0</v>
      </c>
      <c r="AK276" s="526">
        <f t="shared" si="77"/>
        <v>0</v>
      </c>
      <c r="AL276" s="526">
        <f t="shared" si="78"/>
        <v>0</v>
      </c>
      <c r="AM276" s="527">
        <f t="shared" si="74"/>
        <v>0</v>
      </c>
      <c r="AN276" s="387">
        <v>0</v>
      </c>
      <c r="AO276" s="387">
        <v>0</v>
      </c>
      <c r="AP276" s="73"/>
      <c r="AQ276" s="241">
        <v>1.8189894035458565E-12</v>
      </c>
      <c r="AR276" s="659">
        <v>3605.68</v>
      </c>
    </row>
    <row r="277" spans="1:44">
      <c r="A277" s="236" t="s">
        <v>506</v>
      </c>
      <c r="B277" s="236" t="s">
        <v>505</v>
      </c>
      <c r="C277" s="236" t="str">
        <f t="shared" si="79"/>
        <v>27001 STEILACOOM HIST. SCHOOL DISTRICT</v>
      </c>
      <c r="D277" s="387">
        <v>0</v>
      </c>
      <c r="E277" s="387">
        <v>60475.360000000001</v>
      </c>
      <c r="F277" s="387">
        <v>0</v>
      </c>
      <c r="G277" s="387">
        <v>5869628.25</v>
      </c>
      <c r="H277" s="387">
        <v>823250.54</v>
      </c>
      <c r="I277" s="387">
        <v>5697.68</v>
      </c>
      <c r="J277" s="387">
        <v>616487.55000000005</v>
      </c>
      <c r="K277" s="387">
        <v>218271.66</v>
      </c>
      <c r="L277" s="387">
        <v>97430.11</v>
      </c>
      <c r="M277" s="387">
        <v>3133583.87</v>
      </c>
      <c r="N277" s="388">
        <v>8.0500000000000002E-2</v>
      </c>
      <c r="O277" s="389">
        <v>0.18190000000000001</v>
      </c>
      <c r="P277" s="387">
        <v>0</v>
      </c>
      <c r="Q277" s="387">
        <v>0</v>
      </c>
      <c r="R277" s="387">
        <v>0</v>
      </c>
      <c r="S277" s="387">
        <v>0</v>
      </c>
      <c r="T277" s="387">
        <v>0</v>
      </c>
      <c r="U277" s="387">
        <v>0</v>
      </c>
      <c r="V277" s="387">
        <v>0</v>
      </c>
      <c r="W277" s="387">
        <v>0</v>
      </c>
      <c r="X277" s="387">
        <v>0</v>
      </c>
      <c r="Y277" s="387">
        <v>3391.45</v>
      </c>
      <c r="Z277" s="387">
        <v>12870</v>
      </c>
      <c r="AA277" s="387">
        <v>230400.17</v>
      </c>
      <c r="AB277" s="387">
        <v>166211.95000000001</v>
      </c>
      <c r="AC277" s="387">
        <v>2405316.06</v>
      </c>
      <c r="AD277" s="525">
        <v>230.24</v>
      </c>
      <c r="AE277" s="387">
        <v>2221464.36</v>
      </c>
      <c r="AF277" s="526">
        <f t="shared" si="75"/>
        <v>9648.4699999999993</v>
      </c>
      <c r="AG277" s="526">
        <f t="shared" si="76"/>
        <v>10446.99</v>
      </c>
      <c r="AH277" s="527">
        <f t="shared" si="73"/>
        <v>798.52</v>
      </c>
      <c r="AI277" s="525">
        <v>16.7</v>
      </c>
      <c r="AJ277" s="387">
        <v>158050.35999999999</v>
      </c>
      <c r="AK277" s="526">
        <f t="shared" si="77"/>
        <v>9464.09</v>
      </c>
      <c r="AL277" s="526">
        <f t="shared" si="78"/>
        <v>9952.81</v>
      </c>
      <c r="AM277" s="527">
        <f t="shared" si="74"/>
        <v>488.72</v>
      </c>
      <c r="AN277" s="387">
        <v>0</v>
      </c>
      <c r="AO277" s="387">
        <v>0</v>
      </c>
      <c r="AP277" s="73"/>
      <c r="AQ277" s="241">
        <v>16987.289999999863</v>
      </c>
      <c r="AR277" s="659">
        <v>326171.76</v>
      </c>
    </row>
    <row r="278" spans="1:44">
      <c r="A278" s="236" t="s">
        <v>700</v>
      </c>
      <c r="B278" s="236" t="s">
        <v>699</v>
      </c>
      <c r="C278" s="236" t="str">
        <f t="shared" si="79"/>
        <v>38304 STEPTOE SCHOOL DISTRICT</v>
      </c>
      <c r="D278" s="387">
        <v>0</v>
      </c>
      <c r="E278" s="387">
        <v>0</v>
      </c>
      <c r="F278" s="387">
        <v>0</v>
      </c>
      <c r="G278" s="387">
        <v>62864.93</v>
      </c>
      <c r="H278" s="387">
        <v>6346.53</v>
      </c>
      <c r="I278" s="387">
        <v>0</v>
      </c>
      <c r="J278" s="387">
        <v>0</v>
      </c>
      <c r="K278" s="387">
        <v>0</v>
      </c>
      <c r="L278" s="387">
        <v>0</v>
      </c>
      <c r="M278" s="387">
        <v>99147.23</v>
      </c>
      <c r="N278" s="388">
        <v>8.72E-2</v>
      </c>
      <c r="O278" s="389">
        <v>0.29649999999999999</v>
      </c>
      <c r="P278" s="387">
        <v>0</v>
      </c>
      <c r="Q278" s="387">
        <v>0</v>
      </c>
      <c r="R278" s="387">
        <v>0</v>
      </c>
      <c r="S278" s="387">
        <v>0</v>
      </c>
      <c r="T278" s="387">
        <v>0</v>
      </c>
      <c r="U278" s="387">
        <v>0</v>
      </c>
      <c r="V278" s="387">
        <v>0</v>
      </c>
      <c r="W278" s="387">
        <v>0</v>
      </c>
      <c r="X278" s="387">
        <v>0</v>
      </c>
      <c r="Y278" s="387">
        <v>52.43</v>
      </c>
      <c r="Z278" s="387">
        <v>0</v>
      </c>
      <c r="AA278" s="387">
        <v>0</v>
      </c>
      <c r="AB278" s="387">
        <v>0</v>
      </c>
      <c r="AC278" s="387">
        <v>0</v>
      </c>
      <c r="AD278" s="525">
        <v>0</v>
      </c>
      <c r="AE278" s="387">
        <v>0</v>
      </c>
      <c r="AF278" s="526">
        <f t="shared" si="75"/>
        <v>0</v>
      </c>
      <c r="AG278" s="526">
        <f t="shared" si="76"/>
        <v>0</v>
      </c>
      <c r="AH278" s="527">
        <f t="shared" si="73"/>
        <v>0</v>
      </c>
      <c r="AI278" s="525">
        <v>0</v>
      </c>
      <c r="AJ278" s="387">
        <v>0</v>
      </c>
      <c r="AK278" s="526">
        <f t="shared" si="77"/>
        <v>0</v>
      </c>
      <c r="AL278" s="526">
        <f t="shared" si="78"/>
        <v>0</v>
      </c>
      <c r="AM278" s="527">
        <f t="shared" si="74"/>
        <v>0</v>
      </c>
      <c r="AN278" s="387">
        <v>0</v>
      </c>
      <c r="AO278" s="387">
        <v>0</v>
      </c>
      <c r="AP278" s="73"/>
      <c r="AQ278" s="241">
        <v>9961.9600000000028</v>
      </c>
      <c r="AR278" s="659">
        <v>7174.84</v>
      </c>
    </row>
    <row r="279" spans="1:44">
      <c r="A279" s="236" t="s">
        <v>563</v>
      </c>
      <c r="B279" s="236" t="s">
        <v>562</v>
      </c>
      <c r="C279" s="236" t="str">
        <f t="shared" si="79"/>
        <v>30303 STEVENSON-CARSON SCHOOL DISTRICT</v>
      </c>
      <c r="D279" s="387">
        <v>0</v>
      </c>
      <c r="E279" s="387">
        <v>3759.02</v>
      </c>
      <c r="F279" s="387">
        <v>3857.26</v>
      </c>
      <c r="G279" s="387">
        <v>0</v>
      </c>
      <c r="H279" s="387">
        <v>0</v>
      </c>
      <c r="I279" s="387">
        <v>249784.29</v>
      </c>
      <c r="J279" s="387">
        <v>291053.95</v>
      </c>
      <c r="K279" s="387">
        <v>28360.58</v>
      </c>
      <c r="L279" s="387">
        <v>21988.83</v>
      </c>
      <c r="M279" s="387">
        <v>779311.16</v>
      </c>
      <c r="N279" s="388">
        <v>4.1399999999999999E-2</v>
      </c>
      <c r="O279" s="389">
        <v>0.20250000000000001</v>
      </c>
      <c r="P279" s="387">
        <v>0</v>
      </c>
      <c r="Q279" s="387">
        <v>0</v>
      </c>
      <c r="R279" s="387">
        <v>0</v>
      </c>
      <c r="S279" s="387">
        <v>0</v>
      </c>
      <c r="T279" s="387">
        <v>0</v>
      </c>
      <c r="U279" s="387">
        <v>0</v>
      </c>
      <c r="V279" s="387">
        <v>0</v>
      </c>
      <c r="W279" s="387">
        <v>0</v>
      </c>
      <c r="X279" s="387">
        <v>0</v>
      </c>
      <c r="Y279" s="387">
        <v>0</v>
      </c>
      <c r="Z279" s="387">
        <v>0</v>
      </c>
      <c r="AA279" s="387">
        <v>0</v>
      </c>
      <c r="AB279" s="387">
        <v>146499.73000000001</v>
      </c>
      <c r="AC279" s="387">
        <v>279131.19</v>
      </c>
      <c r="AD279" s="525">
        <v>29.12</v>
      </c>
      <c r="AE279" s="387">
        <v>269730.63</v>
      </c>
      <c r="AF279" s="526">
        <f t="shared" si="75"/>
        <v>9262.73</v>
      </c>
      <c r="AG279" s="526">
        <f t="shared" si="76"/>
        <v>9585.5499999999993</v>
      </c>
      <c r="AH279" s="527">
        <f t="shared" si="73"/>
        <v>322.82</v>
      </c>
      <c r="AI279" s="525">
        <v>15.34</v>
      </c>
      <c r="AJ279" s="387">
        <v>139387.73000000001</v>
      </c>
      <c r="AK279" s="526">
        <f t="shared" si="77"/>
        <v>9086.5499999999993</v>
      </c>
      <c r="AL279" s="526">
        <f t="shared" si="78"/>
        <v>9550.18</v>
      </c>
      <c r="AM279" s="527">
        <f t="shared" si="74"/>
        <v>463.63</v>
      </c>
      <c r="AN279" s="387">
        <v>0</v>
      </c>
      <c r="AO279" s="387">
        <v>531.67999999999995</v>
      </c>
      <c r="AP279" s="73"/>
      <c r="AQ279" s="241">
        <v>161984.62999999995</v>
      </c>
      <c r="AR279" s="659">
        <v>71237.399999999994</v>
      </c>
    </row>
    <row r="280" spans="1:44">
      <c r="A280" s="236" t="s">
        <v>585</v>
      </c>
      <c r="B280" s="236" t="s">
        <v>584</v>
      </c>
      <c r="C280" s="236" t="str">
        <f t="shared" si="79"/>
        <v>31311 SULTAN SCHOOL DISTRICT</v>
      </c>
      <c r="D280" s="387">
        <v>0</v>
      </c>
      <c r="E280" s="387">
        <v>72605.210000000006</v>
      </c>
      <c r="F280" s="387">
        <v>0</v>
      </c>
      <c r="G280" s="387">
        <v>5621399.3600000003</v>
      </c>
      <c r="H280" s="387">
        <v>1012179.91</v>
      </c>
      <c r="I280" s="387">
        <v>722652.69</v>
      </c>
      <c r="J280" s="387">
        <v>914366.68</v>
      </c>
      <c r="K280" s="387">
        <v>593474.89</v>
      </c>
      <c r="L280" s="387">
        <v>75758.960000000006</v>
      </c>
      <c r="M280" s="387">
        <v>2044653.19</v>
      </c>
      <c r="N280" s="388">
        <v>1.8599999999999998E-2</v>
      </c>
      <c r="O280" s="389">
        <v>0.16839999999999999</v>
      </c>
      <c r="P280" s="387">
        <v>0</v>
      </c>
      <c r="Q280" s="387">
        <v>0</v>
      </c>
      <c r="R280" s="387">
        <v>0</v>
      </c>
      <c r="S280" s="387">
        <v>0</v>
      </c>
      <c r="T280" s="387">
        <v>0</v>
      </c>
      <c r="U280" s="387">
        <v>0</v>
      </c>
      <c r="V280" s="387">
        <v>0</v>
      </c>
      <c r="W280" s="387">
        <v>0</v>
      </c>
      <c r="X280" s="387">
        <v>0</v>
      </c>
      <c r="Y280" s="387">
        <v>2424.2199999999998</v>
      </c>
      <c r="Z280" s="387">
        <v>26390.47</v>
      </c>
      <c r="AA280" s="387">
        <v>179991.42</v>
      </c>
      <c r="AB280" s="387">
        <v>258814.54</v>
      </c>
      <c r="AC280" s="387">
        <v>1774508.97</v>
      </c>
      <c r="AD280" s="525">
        <v>160.79</v>
      </c>
      <c r="AE280" s="387">
        <v>1674572.59</v>
      </c>
      <c r="AF280" s="526">
        <f t="shared" si="75"/>
        <v>10414.66</v>
      </c>
      <c r="AG280" s="526">
        <f t="shared" si="76"/>
        <v>11036.19</v>
      </c>
      <c r="AH280" s="527">
        <f t="shared" si="73"/>
        <v>621.53</v>
      </c>
      <c r="AI280" s="525">
        <v>24.07</v>
      </c>
      <c r="AJ280" s="387">
        <v>246221.55</v>
      </c>
      <c r="AK280" s="526">
        <f t="shared" si="77"/>
        <v>10229.4</v>
      </c>
      <c r="AL280" s="526">
        <f t="shared" si="78"/>
        <v>10752.58</v>
      </c>
      <c r="AM280" s="527">
        <f t="shared" si="74"/>
        <v>523.17999999999995</v>
      </c>
      <c r="AN280" s="387">
        <v>0</v>
      </c>
      <c r="AO280" s="387">
        <v>0</v>
      </c>
      <c r="AP280" s="73"/>
      <c r="AQ280" s="241">
        <v>85826.220000000088</v>
      </c>
      <c r="AR280" s="659">
        <v>294323.07999999996</v>
      </c>
    </row>
    <row r="281" spans="1:44">
      <c r="A281" s="236" t="s">
        <v>631</v>
      </c>
      <c r="B281" s="236" t="s">
        <v>630</v>
      </c>
      <c r="C281" s="236" t="str">
        <f t="shared" si="79"/>
        <v>33202 SUMMIT VALLEY SCHOOL DISTRICT</v>
      </c>
      <c r="D281" s="387">
        <v>0</v>
      </c>
      <c r="E281" s="387">
        <v>0</v>
      </c>
      <c r="F281" s="387">
        <v>0</v>
      </c>
      <c r="G281" s="387">
        <v>181837.72</v>
      </c>
      <c r="H281" s="387">
        <v>13971.77</v>
      </c>
      <c r="I281" s="387">
        <v>26104.95</v>
      </c>
      <c r="J281" s="387">
        <v>49610.23</v>
      </c>
      <c r="K281" s="387">
        <v>0</v>
      </c>
      <c r="L281" s="387">
        <v>3032.93</v>
      </c>
      <c r="M281" s="387">
        <v>0</v>
      </c>
      <c r="N281" s="388">
        <v>9.0300000000000005E-2</v>
      </c>
      <c r="O281" s="389">
        <v>0.24299999999999999</v>
      </c>
      <c r="P281" s="387">
        <v>0</v>
      </c>
      <c r="Q281" s="387">
        <v>0</v>
      </c>
      <c r="R281" s="387">
        <v>0</v>
      </c>
      <c r="S281" s="387">
        <v>0</v>
      </c>
      <c r="T281" s="387">
        <v>0</v>
      </c>
      <c r="U281" s="387">
        <v>0</v>
      </c>
      <c r="V281" s="387">
        <v>0</v>
      </c>
      <c r="W281" s="387">
        <v>0</v>
      </c>
      <c r="X281" s="387">
        <v>0</v>
      </c>
      <c r="Y281" s="387">
        <v>0</v>
      </c>
      <c r="Z281" s="387">
        <v>0</v>
      </c>
      <c r="AA281" s="387">
        <v>0</v>
      </c>
      <c r="AB281" s="387">
        <v>0</v>
      </c>
      <c r="AC281" s="387">
        <v>0</v>
      </c>
      <c r="AD281" s="525">
        <v>0</v>
      </c>
      <c r="AE281" s="387">
        <v>0</v>
      </c>
      <c r="AF281" s="526">
        <f t="shared" si="75"/>
        <v>0</v>
      </c>
      <c r="AG281" s="526">
        <f t="shared" si="76"/>
        <v>0</v>
      </c>
      <c r="AH281" s="527">
        <f t="shared" si="73"/>
        <v>0</v>
      </c>
      <c r="AI281" s="525">
        <v>0</v>
      </c>
      <c r="AJ281" s="387">
        <v>0</v>
      </c>
      <c r="AK281" s="526">
        <f t="shared" si="77"/>
        <v>0</v>
      </c>
      <c r="AL281" s="526">
        <f t="shared" si="78"/>
        <v>0</v>
      </c>
      <c r="AM281" s="527">
        <f t="shared" si="74"/>
        <v>0</v>
      </c>
      <c r="AN281" s="387">
        <v>0</v>
      </c>
      <c r="AO281" s="387">
        <v>0</v>
      </c>
      <c r="AP281" s="73"/>
      <c r="AQ281" s="241">
        <v>0</v>
      </c>
      <c r="AR281" s="659">
        <v>12519.64</v>
      </c>
    </row>
    <row r="282" spans="1:44">
      <c r="A282" s="236" t="s">
        <v>1518</v>
      </c>
      <c r="B282" s="236" t="s">
        <v>1515</v>
      </c>
      <c r="C282" s="236" t="str">
        <f>CONCATENATE(B282," ",A282," CHARTER")</f>
        <v>17905 SUMMIT: ATLAS CHARTER</v>
      </c>
      <c r="D282" s="387">
        <v>0</v>
      </c>
      <c r="E282" s="387">
        <v>0</v>
      </c>
      <c r="F282" s="387">
        <v>0</v>
      </c>
      <c r="G282" s="387">
        <v>1348594.33</v>
      </c>
      <c r="H282" s="387">
        <v>106142.49</v>
      </c>
      <c r="I282" s="387">
        <v>0</v>
      </c>
      <c r="J282" s="387">
        <v>172179.42</v>
      </c>
      <c r="K282" s="387">
        <v>213601.66</v>
      </c>
      <c r="L282" s="387">
        <v>20411.080000000002</v>
      </c>
      <c r="M282" s="387">
        <v>882423.49</v>
      </c>
      <c r="N282" s="388">
        <v>0.1767</v>
      </c>
      <c r="O282" s="389">
        <v>0.3518</v>
      </c>
      <c r="P282" s="387">
        <v>0</v>
      </c>
      <c r="Q282" s="387">
        <v>0</v>
      </c>
      <c r="R282" s="387">
        <v>0</v>
      </c>
      <c r="S282" s="387">
        <v>0</v>
      </c>
      <c r="T282" s="387">
        <v>0</v>
      </c>
      <c r="U282" s="387">
        <v>0</v>
      </c>
      <c r="V282" s="387">
        <v>0</v>
      </c>
      <c r="W282" s="387">
        <v>0</v>
      </c>
      <c r="X282" s="387">
        <v>0</v>
      </c>
      <c r="Y282" s="387">
        <v>0</v>
      </c>
      <c r="Z282" s="387">
        <v>0</v>
      </c>
      <c r="AA282" s="387">
        <v>0</v>
      </c>
      <c r="AB282" s="387">
        <v>0</v>
      </c>
      <c r="AC282" s="387">
        <v>7512.98</v>
      </c>
      <c r="AD282" s="525">
        <v>0</v>
      </c>
      <c r="AE282" s="387">
        <v>0</v>
      </c>
      <c r="AF282" s="526">
        <f t="shared" si="75"/>
        <v>0</v>
      </c>
      <c r="AG282" s="526">
        <f t="shared" si="76"/>
        <v>0</v>
      </c>
      <c r="AH282" s="527">
        <f t="shared" si="73"/>
        <v>0</v>
      </c>
      <c r="AI282" s="525">
        <v>0</v>
      </c>
      <c r="AJ282" s="387">
        <v>0</v>
      </c>
      <c r="AK282" s="526">
        <f t="shared" si="77"/>
        <v>0</v>
      </c>
      <c r="AL282" s="526">
        <f t="shared" si="78"/>
        <v>0</v>
      </c>
      <c r="AM282" s="527">
        <f t="shared" si="74"/>
        <v>0</v>
      </c>
      <c r="AN282" s="387">
        <v>0</v>
      </c>
      <c r="AO282" s="387">
        <v>0</v>
      </c>
      <c r="AP282" s="73"/>
      <c r="AQ282" s="241">
        <v>77012.510000000009</v>
      </c>
      <c r="AR282" s="659">
        <v>62936.570000000007</v>
      </c>
    </row>
    <row r="283" spans="1:44">
      <c r="A283" s="236" t="s">
        <v>1647</v>
      </c>
      <c r="B283" s="236" t="s">
        <v>1458</v>
      </c>
      <c r="C283" s="236" t="str">
        <f>CONCATENATE(B283," ",A283," CHARTER")</f>
        <v>27905 SUMMIT: OLYMPUS CHARTER</v>
      </c>
      <c r="D283" s="387">
        <v>0</v>
      </c>
      <c r="E283" s="387">
        <v>0</v>
      </c>
      <c r="F283" s="387">
        <v>0</v>
      </c>
      <c r="G283" s="387">
        <v>187034.55</v>
      </c>
      <c r="H283" s="387">
        <v>17235.810000000001</v>
      </c>
      <c r="I283" s="387">
        <v>53694.73</v>
      </c>
      <c r="J283" s="387">
        <v>69241.08</v>
      </c>
      <c r="K283" s="387">
        <v>20128.38</v>
      </c>
      <c r="L283" s="387">
        <v>3468.03</v>
      </c>
      <c r="M283" s="387">
        <v>22670.93</v>
      </c>
      <c r="N283" s="388">
        <v>0.14069999999999999</v>
      </c>
      <c r="O283" s="389">
        <v>0.3523</v>
      </c>
      <c r="P283" s="387">
        <v>0</v>
      </c>
      <c r="Q283" s="387">
        <v>0</v>
      </c>
      <c r="R283" s="387">
        <v>0</v>
      </c>
      <c r="S283" s="387">
        <v>0</v>
      </c>
      <c r="T283" s="387">
        <v>0</v>
      </c>
      <c r="U283" s="387">
        <v>0</v>
      </c>
      <c r="V283" s="387">
        <v>0</v>
      </c>
      <c r="W283" s="387">
        <v>0</v>
      </c>
      <c r="X283" s="387">
        <v>0</v>
      </c>
      <c r="Y283" s="387">
        <v>0</v>
      </c>
      <c r="Z283" s="387">
        <v>0</v>
      </c>
      <c r="AA283" s="387">
        <v>0</v>
      </c>
      <c r="AB283" s="387">
        <v>0</v>
      </c>
      <c r="AC283" s="387">
        <v>0</v>
      </c>
      <c r="AD283" s="525">
        <v>0</v>
      </c>
      <c r="AE283" s="387">
        <v>0</v>
      </c>
      <c r="AF283" s="526">
        <f t="shared" si="75"/>
        <v>0</v>
      </c>
      <c r="AG283" s="526">
        <f t="shared" si="76"/>
        <v>0</v>
      </c>
      <c r="AH283" s="527">
        <f t="shared" si="73"/>
        <v>0</v>
      </c>
      <c r="AI283" s="525">
        <v>0</v>
      </c>
      <c r="AJ283" s="387">
        <v>0</v>
      </c>
      <c r="AK283" s="526">
        <f t="shared" si="77"/>
        <v>0</v>
      </c>
      <c r="AL283" s="526">
        <f t="shared" si="78"/>
        <v>0</v>
      </c>
      <c r="AM283" s="527">
        <f t="shared" si="74"/>
        <v>0</v>
      </c>
      <c r="AN283" s="387">
        <v>0</v>
      </c>
      <c r="AO283" s="387">
        <v>0</v>
      </c>
      <c r="AP283" s="73"/>
      <c r="AQ283" s="241">
        <v>35077.919999999998</v>
      </c>
      <c r="AR283" s="659">
        <v>20597.86</v>
      </c>
    </row>
    <row r="284" spans="1:44">
      <c r="A284" s="236" t="s">
        <v>1648</v>
      </c>
      <c r="B284" s="236" t="s">
        <v>1460</v>
      </c>
      <c r="C284" s="236" t="str">
        <f>CONCATENATE(B284," ",A284," CHARTER")</f>
        <v>17902 SUMMIT: SIERRA CHARTER</v>
      </c>
      <c r="D284" s="387">
        <v>0</v>
      </c>
      <c r="E284" s="387">
        <v>0</v>
      </c>
      <c r="F284" s="387">
        <v>0</v>
      </c>
      <c r="G284" s="387">
        <v>401021.41</v>
      </c>
      <c r="H284" s="387">
        <v>55446.67</v>
      </c>
      <c r="I284" s="387">
        <v>0</v>
      </c>
      <c r="J284" s="387">
        <v>67995.199999999997</v>
      </c>
      <c r="K284" s="387">
        <v>59655.63</v>
      </c>
      <c r="L284" s="387">
        <v>7638.5</v>
      </c>
      <c r="M284" s="387">
        <v>27647.73</v>
      </c>
      <c r="N284" s="388">
        <v>0.16220000000000001</v>
      </c>
      <c r="O284" s="389">
        <v>0.3982</v>
      </c>
      <c r="P284" s="387">
        <v>0</v>
      </c>
      <c r="Q284" s="387">
        <v>0</v>
      </c>
      <c r="R284" s="387">
        <v>0</v>
      </c>
      <c r="S284" s="387">
        <v>0</v>
      </c>
      <c r="T284" s="387">
        <v>0</v>
      </c>
      <c r="U284" s="387">
        <v>0</v>
      </c>
      <c r="V284" s="387">
        <v>0</v>
      </c>
      <c r="W284" s="387">
        <v>0</v>
      </c>
      <c r="X284" s="387">
        <v>0</v>
      </c>
      <c r="Y284" s="387">
        <v>0</v>
      </c>
      <c r="Z284" s="387">
        <v>0</v>
      </c>
      <c r="AA284" s="387">
        <v>0</v>
      </c>
      <c r="AB284" s="387">
        <v>0</v>
      </c>
      <c r="AC284" s="387">
        <v>0</v>
      </c>
      <c r="AD284" s="525">
        <v>0</v>
      </c>
      <c r="AE284" s="387">
        <v>0</v>
      </c>
      <c r="AF284" s="526">
        <f t="shared" si="75"/>
        <v>0</v>
      </c>
      <c r="AG284" s="526">
        <f t="shared" si="76"/>
        <v>0</v>
      </c>
      <c r="AH284" s="527">
        <f t="shared" si="73"/>
        <v>0</v>
      </c>
      <c r="AI284" s="525">
        <v>0</v>
      </c>
      <c r="AJ284" s="387">
        <v>0</v>
      </c>
      <c r="AK284" s="526">
        <f t="shared" si="77"/>
        <v>0</v>
      </c>
      <c r="AL284" s="526">
        <f t="shared" si="78"/>
        <v>0</v>
      </c>
      <c r="AM284" s="527">
        <f t="shared" si="74"/>
        <v>0</v>
      </c>
      <c r="AN284" s="387">
        <v>0</v>
      </c>
      <c r="AO284" s="387">
        <v>0</v>
      </c>
      <c r="AP284" s="73"/>
      <c r="AQ284" s="241">
        <v>52070.920000000013</v>
      </c>
      <c r="AR284" s="659">
        <v>26687.289999999997</v>
      </c>
    </row>
    <row r="285" spans="1:44">
      <c r="A285" s="236" t="s">
        <v>516</v>
      </c>
      <c r="B285" s="236" t="s">
        <v>515</v>
      </c>
      <c r="C285" s="236" t="str">
        <f>CONCATENATE(B285," ",A285," SCHOOL DISTRICT")</f>
        <v>27320 SUMNER SCHOOL DISTRICT</v>
      </c>
      <c r="D285" s="387">
        <v>0</v>
      </c>
      <c r="E285" s="387">
        <v>218706.25</v>
      </c>
      <c r="F285" s="387">
        <v>0</v>
      </c>
      <c r="G285" s="387">
        <v>20157104.02</v>
      </c>
      <c r="H285" s="387">
        <v>3520555.14</v>
      </c>
      <c r="I285" s="387">
        <v>305665.32</v>
      </c>
      <c r="J285" s="387">
        <v>2518988.31</v>
      </c>
      <c r="K285" s="387">
        <v>1290806.17</v>
      </c>
      <c r="L285" s="387">
        <v>361153.85</v>
      </c>
      <c r="M285" s="387">
        <v>5834940.5800000001</v>
      </c>
      <c r="N285" s="388">
        <v>4.5400000000000003E-2</v>
      </c>
      <c r="O285" s="389">
        <v>0.14299999999999999</v>
      </c>
      <c r="P285" s="387">
        <v>0</v>
      </c>
      <c r="Q285" s="387">
        <v>0</v>
      </c>
      <c r="R285" s="387">
        <v>0</v>
      </c>
      <c r="S285" s="387">
        <v>0</v>
      </c>
      <c r="T285" s="387">
        <v>0</v>
      </c>
      <c r="U285" s="387">
        <v>0</v>
      </c>
      <c r="V285" s="387">
        <v>0</v>
      </c>
      <c r="W285" s="387">
        <v>0</v>
      </c>
      <c r="X285" s="387">
        <v>0</v>
      </c>
      <c r="Y285" s="387">
        <v>8053.59</v>
      </c>
      <c r="Z285" s="387">
        <v>97019.85</v>
      </c>
      <c r="AA285" s="387">
        <v>110582.35</v>
      </c>
      <c r="AB285" s="387">
        <v>1273258.83</v>
      </c>
      <c r="AC285" s="387">
        <v>6782389.1500000004</v>
      </c>
      <c r="AD285" s="525">
        <v>615.51</v>
      </c>
      <c r="AE285" s="387">
        <v>6174427.2199999997</v>
      </c>
      <c r="AF285" s="526">
        <f t="shared" si="75"/>
        <v>10031.4</v>
      </c>
      <c r="AG285" s="526">
        <f t="shared" si="76"/>
        <v>11019.14</v>
      </c>
      <c r="AH285" s="527">
        <f t="shared" si="73"/>
        <v>987.74</v>
      </c>
      <c r="AI285" s="525">
        <v>123</v>
      </c>
      <c r="AJ285" s="387">
        <v>1211859.67</v>
      </c>
      <c r="AK285" s="526">
        <f t="shared" si="77"/>
        <v>9852.52</v>
      </c>
      <c r="AL285" s="526">
        <f t="shared" si="78"/>
        <v>10351.700000000001</v>
      </c>
      <c r="AM285" s="527">
        <f t="shared" si="74"/>
        <v>499.18</v>
      </c>
      <c r="AN285" s="387">
        <v>0</v>
      </c>
      <c r="AO285" s="387">
        <v>0</v>
      </c>
      <c r="AP285" s="73"/>
      <c r="AQ285" s="241">
        <v>0</v>
      </c>
      <c r="AR285" s="659">
        <v>1210976.7999999998</v>
      </c>
    </row>
    <row r="286" spans="1:44">
      <c r="A286" s="236" t="s">
        <v>725</v>
      </c>
      <c r="B286" s="236" t="s">
        <v>724</v>
      </c>
      <c r="C286" s="236" t="str">
        <f>CONCATENATE(B286," ",A286," SCHOOL DISTRICT")</f>
        <v>39201 SUNNYSIDE SCHOOL DISTRICT</v>
      </c>
      <c r="D286" s="387">
        <v>0</v>
      </c>
      <c r="E286" s="387">
        <v>288147.08</v>
      </c>
      <c r="F286" s="387">
        <v>31404.65</v>
      </c>
      <c r="G286" s="387">
        <v>10199071.34</v>
      </c>
      <c r="H286" s="387">
        <v>1966907.06</v>
      </c>
      <c r="I286" s="387">
        <v>1945522.92</v>
      </c>
      <c r="J286" s="387">
        <v>3983008.92</v>
      </c>
      <c r="K286" s="387">
        <v>3361473.9</v>
      </c>
      <c r="L286" s="387">
        <v>185659.29</v>
      </c>
      <c r="M286" s="387">
        <v>3516804.89</v>
      </c>
      <c r="N286" s="388">
        <v>5.1799999999999999E-2</v>
      </c>
      <c r="O286" s="389">
        <v>0.16500000000000001</v>
      </c>
      <c r="P286" s="387">
        <v>0</v>
      </c>
      <c r="Q286" s="387">
        <v>0</v>
      </c>
      <c r="R286" s="387">
        <v>0</v>
      </c>
      <c r="S286" s="387">
        <v>0</v>
      </c>
      <c r="T286" s="387">
        <v>0</v>
      </c>
      <c r="U286" s="387">
        <v>0</v>
      </c>
      <c r="V286" s="387">
        <v>0</v>
      </c>
      <c r="W286" s="387">
        <v>0</v>
      </c>
      <c r="X286" s="387">
        <v>0</v>
      </c>
      <c r="Y286" s="387">
        <v>450.71</v>
      </c>
      <c r="Z286" s="387">
        <v>40283.449999999997</v>
      </c>
      <c r="AA286" s="387">
        <v>0</v>
      </c>
      <c r="AB286" s="387">
        <v>419800.05</v>
      </c>
      <c r="AC286" s="387">
        <v>3296258.37</v>
      </c>
      <c r="AD286" s="525">
        <v>332.1</v>
      </c>
      <c r="AE286" s="387">
        <v>3077005.29</v>
      </c>
      <c r="AF286" s="526">
        <f t="shared" si="75"/>
        <v>9265.2999999999993</v>
      </c>
      <c r="AG286" s="526">
        <f t="shared" si="76"/>
        <v>9925.5</v>
      </c>
      <c r="AH286" s="527">
        <f t="shared" si="73"/>
        <v>660.2</v>
      </c>
      <c r="AI286" s="525">
        <v>43.97</v>
      </c>
      <c r="AJ286" s="387">
        <v>399350.73</v>
      </c>
      <c r="AK286" s="526">
        <f t="shared" si="77"/>
        <v>9082.35</v>
      </c>
      <c r="AL286" s="526">
        <f t="shared" si="78"/>
        <v>9547.42</v>
      </c>
      <c r="AM286" s="527">
        <f t="shared" si="74"/>
        <v>465.07</v>
      </c>
      <c r="AN286" s="387">
        <v>7296</v>
      </c>
      <c r="AO286" s="387">
        <v>0</v>
      </c>
      <c r="AP286" s="73"/>
      <c r="AQ286" s="241">
        <v>172811.06000000041</v>
      </c>
      <c r="AR286" s="659">
        <v>718871.08000000007</v>
      </c>
    </row>
    <row r="287" spans="1:44">
      <c r="A287" s="236" t="s">
        <v>1694</v>
      </c>
      <c r="B287" s="236" t="s">
        <v>1178</v>
      </c>
      <c r="C287" s="236" t="str">
        <f>CONCATENATE(B287," ",A287," TRIBAL COMPACT")</f>
        <v>18902 SUQUAMISH TRIBAL COMPACT</v>
      </c>
      <c r="D287" s="387">
        <v>846.95</v>
      </c>
      <c r="E287" s="387">
        <v>0</v>
      </c>
      <c r="F287" s="387">
        <v>2691.83</v>
      </c>
      <c r="G287" s="387">
        <v>142654.91</v>
      </c>
      <c r="H287" s="387">
        <v>27787.61</v>
      </c>
      <c r="I287" s="387">
        <v>27423.49</v>
      </c>
      <c r="J287" s="387">
        <v>36564.65</v>
      </c>
      <c r="K287" s="387">
        <v>0</v>
      </c>
      <c r="L287" s="387">
        <v>0</v>
      </c>
      <c r="M287" s="387">
        <v>55592.32</v>
      </c>
      <c r="N287" s="388">
        <v>3.5000000000000003E-2</v>
      </c>
      <c r="O287" s="389">
        <v>0.14979999999999999</v>
      </c>
      <c r="P287" s="387">
        <v>0</v>
      </c>
      <c r="Q287" s="387">
        <v>0</v>
      </c>
      <c r="R287" s="387">
        <v>0</v>
      </c>
      <c r="S287" s="387">
        <v>0</v>
      </c>
      <c r="T287" s="387">
        <v>0</v>
      </c>
      <c r="U287" s="387">
        <v>0</v>
      </c>
      <c r="V287" s="387">
        <v>0</v>
      </c>
      <c r="W287" s="387">
        <v>0</v>
      </c>
      <c r="X287" s="387">
        <v>0</v>
      </c>
      <c r="Y287" s="387">
        <v>0</v>
      </c>
      <c r="Z287" s="387">
        <v>0</v>
      </c>
      <c r="AA287" s="387">
        <v>0</v>
      </c>
      <c r="AB287" s="387">
        <v>5127.0600000000004</v>
      </c>
      <c r="AC287" s="387">
        <v>71464.3</v>
      </c>
      <c r="AD287" s="525">
        <v>6.66</v>
      </c>
      <c r="AE287" s="387">
        <v>69362.22</v>
      </c>
      <c r="AF287" s="526">
        <f t="shared" si="75"/>
        <v>10414.75</v>
      </c>
      <c r="AG287" s="526">
        <f t="shared" si="76"/>
        <v>10730.38</v>
      </c>
      <c r="AH287" s="527">
        <f t="shared" si="73"/>
        <v>315.63</v>
      </c>
      <c r="AI287" s="525">
        <v>0.48</v>
      </c>
      <c r="AJ287" s="387">
        <v>4910.5</v>
      </c>
      <c r="AK287" s="526">
        <f t="shared" si="77"/>
        <v>10230.209999999999</v>
      </c>
      <c r="AL287" s="526">
        <f t="shared" si="78"/>
        <v>10681.38</v>
      </c>
      <c r="AM287" s="527">
        <f t="shared" si="74"/>
        <v>451.17</v>
      </c>
      <c r="AN287" s="387">
        <v>0</v>
      </c>
      <c r="AO287" s="387">
        <v>0</v>
      </c>
      <c r="AP287" s="73"/>
      <c r="AQ287" s="241">
        <v>117224.25</v>
      </c>
      <c r="AR287" s="659">
        <v>25406.5</v>
      </c>
    </row>
    <row r="288" spans="1:44">
      <c r="A288" s="236" t="s">
        <v>510</v>
      </c>
      <c r="B288" s="236" t="s">
        <v>509</v>
      </c>
      <c r="C288" s="236" t="str">
        <f t="shared" ref="C288:C306" si="80">CONCATENATE(B288," ",A288," SCHOOL DISTRICT")</f>
        <v>27010 TACOMA SCHOOL DISTRICT</v>
      </c>
      <c r="D288" s="387">
        <v>0</v>
      </c>
      <c r="E288" s="387">
        <v>1014241.54</v>
      </c>
      <c r="F288" s="387">
        <v>520048.96</v>
      </c>
      <c r="G288" s="387">
        <v>61719977.990000002</v>
      </c>
      <c r="H288" s="387">
        <v>11573703.529999999</v>
      </c>
      <c r="I288" s="387">
        <v>5974345.7199999997</v>
      </c>
      <c r="J288" s="387">
        <v>11909347.189999999</v>
      </c>
      <c r="K288" s="387">
        <v>7141574.0599999996</v>
      </c>
      <c r="L288" s="387">
        <v>933977.33</v>
      </c>
      <c r="M288" s="387">
        <v>16817758.52</v>
      </c>
      <c r="N288" s="388">
        <v>3.04E-2</v>
      </c>
      <c r="O288" s="389">
        <v>0.1401</v>
      </c>
      <c r="P288" s="387">
        <v>186122.05</v>
      </c>
      <c r="Q288" s="387">
        <v>19491.48</v>
      </c>
      <c r="R288" s="387">
        <v>0</v>
      </c>
      <c r="S288" s="387">
        <v>555443.68999999994</v>
      </c>
      <c r="T288" s="387">
        <v>12854.249999999884</v>
      </c>
      <c r="U288" s="387">
        <v>16851.099999999999</v>
      </c>
      <c r="V288" s="387">
        <v>0</v>
      </c>
      <c r="W288" s="387">
        <v>0</v>
      </c>
      <c r="X288" s="387">
        <v>0</v>
      </c>
      <c r="Y288" s="387">
        <v>0</v>
      </c>
      <c r="Z288" s="387">
        <v>20593.349999999999</v>
      </c>
      <c r="AA288" s="387">
        <v>621834.62</v>
      </c>
      <c r="AB288" s="387">
        <v>3040043.56</v>
      </c>
      <c r="AC288" s="387">
        <v>15926012.42</v>
      </c>
      <c r="AD288" s="525">
        <v>1513.83</v>
      </c>
      <c r="AE288" s="387">
        <v>15186125.48</v>
      </c>
      <c r="AF288" s="526">
        <f t="shared" si="75"/>
        <v>10031.59</v>
      </c>
      <c r="AG288" s="526">
        <f t="shared" si="76"/>
        <v>10520.34</v>
      </c>
      <c r="AH288" s="527">
        <f t="shared" si="73"/>
        <v>488.75</v>
      </c>
      <c r="AI288" s="525">
        <v>293.68</v>
      </c>
      <c r="AJ288" s="387">
        <v>2893453.58</v>
      </c>
      <c r="AK288" s="526">
        <f t="shared" si="77"/>
        <v>9852.4</v>
      </c>
      <c r="AL288" s="526">
        <f t="shared" si="78"/>
        <v>10351.549999999999</v>
      </c>
      <c r="AM288" s="527">
        <f t="shared" si="74"/>
        <v>499.15</v>
      </c>
      <c r="AN288" s="387">
        <v>0</v>
      </c>
      <c r="AO288" s="387">
        <v>0</v>
      </c>
      <c r="AP288" s="73"/>
      <c r="AQ288" s="241">
        <v>0</v>
      </c>
      <c r="AR288" s="659">
        <v>3492856.21</v>
      </c>
    </row>
    <row r="289" spans="1:44">
      <c r="A289" s="236" t="s">
        <v>310</v>
      </c>
      <c r="B289" s="236" t="s">
        <v>309</v>
      </c>
      <c r="C289" s="236" t="str">
        <f t="shared" si="80"/>
        <v>14077 TAHOLAH SCHOOL DISTRICT</v>
      </c>
      <c r="D289" s="387">
        <v>6998</v>
      </c>
      <c r="E289" s="387">
        <v>5386.72</v>
      </c>
      <c r="F289" s="387">
        <v>0</v>
      </c>
      <c r="G289" s="387">
        <v>348328.67</v>
      </c>
      <c r="H289" s="387">
        <v>31687.83</v>
      </c>
      <c r="I289" s="387">
        <v>58600.74</v>
      </c>
      <c r="J289" s="387">
        <v>98787.21</v>
      </c>
      <c r="K289" s="387">
        <v>0</v>
      </c>
      <c r="L289" s="387">
        <v>0</v>
      </c>
      <c r="M289" s="387">
        <v>129420.71</v>
      </c>
      <c r="N289" s="388">
        <v>0.16239999999999999</v>
      </c>
      <c r="O289" s="389">
        <v>0.32740000000000002</v>
      </c>
      <c r="P289" s="387">
        <v>0</v>
      </c>
      <c r="Q289" s="387">
        <v>0</v>
      </c>
      <c r="R289" s="387">
        <v>0</v>
      </c>
      <c r="S289" s="387">
        <v>0</v>
      </c>
      <c r="T289" s="387">
        <v>0</v>
      </c>
      <c r="U289" s="387">
        <v>0</v>
      </c>
      <c r="V289" s="387">
        <v>0</v>
      </c>
      <c r="W289" s="387">
        <v>0</v>
      </c>
      <c r="X289" s="387">
        <v>0</v>
      </c>
      <c r="Y289" s="387">
        <v>0</v>
      </c>
      <c r="Z289" s="387">
        <v>0</v>
      </c>
      <c r="AA289" s="387">
        <v>0</v>
      </c>
      <c r="AB289" s="387">
        <v>1349</v>
      </c>
      <c r="AC289" s="387">
        <v>43239.56</v>
      </c>
      <c r="AD289" s="525">
        <v>4.24</v>
      </c>
      <c r="AE289" s="387">
        <v>39224.06</v>
      </c>
      <c r="AF289" s="526">
        <f t="shared" si="75"/>
        <v>9250.9599999999991</v>
      </c>
      <c r="AG289" s="526">
        <f t="shared" si="76"/>
        <v>10198.01</v>
      </c>
      <c r="AH289" s="527">
        <f t="shared" si="73"/>
        <v>947.05</v>
      </c>
      <c r="AI289" s="525">
        <v>0.15</v>
      </c>
      <c r="AJ289" s="387">
        <v>1168.49</v>
      </c>
      <c r="AK289" s="526">
        <f t="shared" si="77"/>
        <v>7789.93</v>
      </c>
      <c r="AL289" s="526">
        <f t="shared" si="78"/>
        <v>8993.33</v>
      </c>
      <c r="AM289" s="527">
        <f t="shared" si="74"/>
        <v>1203.4000000000001</v>
      </c>
      <c r="AN289" s="387">
        <v>0</v>
      </c>
      <c r="AO289" s="387">
        <v>93.81</v>
      </c>
      <c r="AP289" s="73"/>
      <c r="AQ289" s="241">
        <v>0</v>
      </c>
      <c r="AR289" s="659">
        <v>30599.939999999995</v>
      </c>
    </row>
    <row r="290" spans="1:44">
      <c r="A290" s="236" t="s">
        <v>362</v>
      </c>
      <c r="B290" s="236" t="s">
        <v>361</v>
      </c>
      <c r="C290" s="236" t="str">
        <f t="shared" si="80"/>
        <v>17409 TAHOMA SCHOOL DISTRICT</v>
      </c>
      <c r="D290" s="387">
        <v>0</v>
      </c>
      <c r="E290" s="387">
        <v>0</v>
      </c>
      <c r="F290" s="387">
        <v>0</v>
      </c>
      <c r="G290" s="387">
        <v>19620146.359999999</v>
      </c>
      <c r="H290" s="387">
        <v>2597617.35</v>
      </c>
      <c r="I290" s="387">
        <v>0</v>
      </c>
      <c r="J290" s="387">
        <v>1295004.3500000001</v>
      </c>
      <c r="K290" s="387">
        <v>1158528.02</v>
      </c>
      <c r="L290" s="387">
        <v>334261.24</v>
      </c>
      <c r="M290" s="387">
        <v>6525683.8899999997</v>
      </c>
      <c r="N290" s="388">
        <v>2.9100000000000001E-2</v>
      </c>
      <c r="O290" s="389">
        <v>0.15160000000000001</v>
      </c>
      <c r="P290" s="387">
        <v>0</v>
      </c>
      <c r="Q290" s="387">
        <v>0</v>
      </c>
      <c r="R290" s="387">
        <v>0</v>
      </c>
      <c r="S290" s="387">
        <v>0</v>
      </c>
      <c r="T290" s="387">
        <v>0</v>
      </c>
      <c r="U290" s="387">
        <v>0</v>
      </c>
      <c r="V290" s="387">
        <v>0</v>
      </c>
      <c r="W290" s="387">
        <v>0</v>
      </c>
      <c r="X290" s="387">
        <v>0</v>
      </c>
      <c r="Y290" s="387">
        <v>10359.549999999999</v>
      </c>
      <c r="Z290" s="387">
        <v>2673.43</v>
      </c>
      <c r="AA290" s="387">
        <v>365476.21</v>
      </c>
      <c r="AB290" s="387">
        <v>414330.34</v>
      </c>
      <c r="AC290" s="387">
        <v>6065612.7400000002</v>
      </c>
      <c r="AD290" s="525">
        <v>510.47</v>
      </c>
      <c r="AE290" s="387">
        <v>5410265.3899999997</v>
      </c>
      <c r="AF290" s="526">
        <f t="shared" si="75"/>
        <v>10598.6</v>
      </c>
      <c r="AG290" s="526">
        <f t="shared" si="76"/>
        <v>11882.41</v>
      </c>
      <c r="AH290" s="527">
        <f t="shared" si="73"/>
        <v>1283.81</v>
      </c>
      <c r="AI290" s="525">
        <v>37.840000000000003</v>
      </c>
      <c r="AJ290" s="387">
        <v>394328.69</v>
      </c>
      <c r="AK290" s="526">
        <f t="shared" si="77"/>
        <v>10420.950000000001</v>
      </c>
      <c r="AL290" s="526">
        <f t="shared" si="78"/>
        <v>10949.53</v>
      </c>
      <c r="AM290" s="527">
        <f t="shared" si="74"/>
        <v>528.58000000000004</v>
      </c>
      <c r="AN290" s="387">
        <v>119.01</v>
      </c>
      <c r="AO290" s="387">
        <v>0</v>
      </c>
      <c r="AP290" s="73"/>
      <c r="AQ290" s="241">
        <v>411052.65000000049</v>
      </c>
      <c r="AR290" s="659">
        <v>1092095.21</v>
      </c>
    </row>
    <row r="291" spans="1:44">
      <c r="A291" s="236" t="s">
        <v>690</v>
      </c>
      <c r="B291" s="236" t="s">
        <v>689</v>
      </c>
      <c r="C291" s="236" t="str">
        <f t="shared" si="80"/>
        <v>38265 TEKOA SCHOOL DISTRICT</v>
      </c>
      <c r="D291" s="387">
        <v>0</v>
      </c>
      <c r="E291" s="387">
        <v>4651.75</v>
      </c>
      <c r="F291" s="387">
        <v>0</v>
      </c>
      <c r="G291" s="387">
        <v>356022.68</v>
      </c>
      <c r="H291" s="387">
        <v>42753.33</v>
      </c>
      <c r="I291" s="387">
        <v>63148.61</v>
      </c>
      <c r="J291" s="387">
        <v>90243.51</v>
      </c>
      <c r="K291" s="387">
        <v>4086.45</v>
      </c>
      <c r="L291" s="387">
        <v>5681.2</v>
      </c>
      <c r="M291" s="387">
        <v>266834.09999999998</v>
      </c>
      <c r="N291" s="388">
        <v>6.0400000000000002E-2</v>
      </c>
      <c r="O291" s="389">
        <v>0.2354</v>
      </c>
      <c r="P291" s="387">
        <v>0</v>
      </c>
      <c r="Q291" s="387">
        <v>0</v>
      </c>
      <c r="R291" s="387">
        <v>0</v>
      </c>
      <c r="S291" s="387">
        <v>0</v>
      </c>
      <c r="T291" s="387">
        <v>0</v>
      </c>
      <c r="U291" s="387">
        <v>0</v>
      </c>
      <c r="V291" s="387">
        <v>0</v>
      </c>
      <c r="W291" s="387">
        <v>0</v>
      </c>
      <c r="X291" s="387">
        <v>0</v>
      </c>
      <c r="Y291" s="387">
        <v>0</v>
      </c>
      <c r="Z291" s="387">
        <v>7517.63</v>
      </c>
      <c r="AA291" s="387">
        <v>23741.72</v>
      </c>
      <c r="AB291" s="387">
        <v>62941.77</v>
      </c>
      <c r="AC291" s="387">
        <v>209138.44</v>
      </c>
      <c r="AD291" s="525">
        <v>21.28</v>
      </c>
      <c r="AE291" s="387">
        <v>198373.39</v>
      </c>
      <c r="AF291" s="526">
        <f t="shared" si="75"/>
        <v>9322.06</v>
      </c>
      <c r="AG291" s="526">
        <f t="shared" si="76"/>
        <v>9827.93</v>
      </c>
      <c r="AH291" s="527">
        <f t="shared" si="73"/>
        <v>505.87</v>
      </c>
      <c r="AI291" s="525">
        <v>6.56</v>
      </c>
      <c r="AJ291" s="387">
        <v>59893.08</v>
      </c>
      <c r="AK291" s="526">
        <f t="shared" si="77"/>
        <v>9130.0400000000009</v>
      </c>
      <c r="AL291" s="526">
        <f t="shared" si="78"/>
        <v>9594.7800000000007</v>
      </c>
      <c r="AM291" s="527">
        <f t="shared" si="74"/>
        <v>464.74</v>
      </c>
      <c r="AN291" s="387">
        <v>0</v>
      </c>
      <c r="AO291" s="387">
        <v>0</v>
      </c>
      <c r="AP291" s="73"/>
      <c r="AQ291" s="241">
        <v>0</v>
      </c>
      <c r="AR291" s="659">
        <v>31774.91</v>
      </c>
    </row>
    <row r="292" spans="1:44">
      <c r="A292" s="236" t="s">
        <v>655</v>
      </c>
      <c r="B292" s="236" t="s">
        <v>654</v>
      </c>
      <c r="C292" s="236" t="str">
        <f t="shared" si="80"/>
        <v>34402 TENINO SCHOOL DISTRICT</v>
      </c>
      <c r="D292" s="387">
        <v>0</v>
      </c>
      <c r="E292" s="387">
        <v>0</v>
      </c>
      <c r="F292" s="387">
        <v>0</v>
      </c>
      <c r="G292" s="387">
        <v>2156789.34</v>
      </c>
      <c r="H292" s="387">
        <v>377269.35</v>
      </c>
      <c r="I292" s="387">
        <v>278163.96000000002</v>
      </c>
      <c r="J292" s="387">
        <v>431219.13</v>
      </c>
      <c r="K292" s="387">
        <v>37849.65</v>
      </c>
      <c r="L292" s="387">
        <v>38886.629999999997</v>
      </c>
      <c r="M292" s="387">
        <v>1306174.43</v>
      </c>
      <c r="N292" s="388">
        <v>1.6500000000000001E-2</v>
      </c>
      <c r="O292" s="389">
        <v>0.17050000000000001</v>
      </c>
      <c r="P292" s="387">
        <v>0</v>
      </c>
      <c r="Q292" s="387">
        <v>0</v>
      </c>
      <c r="R292" s="387">
        <v>0</v>
      </c>
      <c r="S292" s="387">
        <v>0</v>
      </c>
      <c r="T292" s="387">
        <v>0</v>
      </c>
      <c r="U292" s="387">
        <v>0</v>
      </c>
      <c r="V292" s="387">
        <v>0</v>
      </c>
      <c r="W292" s="387">
        <v>0</v>
      </c>
      <c r="X292" s="387">
        <v>0</v>
      </c>
      <c r="Y292" s="387">
        <v>1446.95</v>
      </c>
      <c r="Z292" s="387">
        <v>28963.22</v>
      </c>
      <c r="AA292" s="387">
        <v>48081.71</v>
      </c>
      <c r="AB292" s="387">
        <v>265907.20000000001</v>
      </c>
      <c r="AC292" s="387">
        <v>894981.33</v>
      </c>
      <c r="AD292" s="525">
        <v>87.88</v>
      </c>
      <c r="AE292" s="387">
        <v>814262.08</v>
      </c>
      <c r="AF292" s="526">
        <f t="shared" si="75"/>
        <v>9265.61</v>
      </c>
      <c r="AG292" s="526">
        <f t="shared" si="76"/>
        <v>10184.129999999999</v>
      </c>
      <c r="AH292" s="527">
        <f t="shared" si="73"/>
        <v>918.52</v>
      </c>
      <c r="AI292" s="525">
        <v>27.84</v>
      </c>
      <c r="AJ292" s="387">
        <v>252752.93</v>
      </c>
      <c r="AK292" s="526">
        <f t="shared" si="77"/>
        <v>9078.77</v>
      </c>
      <c r="AL292" s="526">
        <f t="shared" si="78"/>
        <v>9551.26</v>
      </c>
      <c r="AM292" s="527">
        <f t="shared" si="74"/>
        <v>472.49</v>
      </c>
      <c r="AN292" s="387">
        <v>283.47000000000003</v>
      </c>
      <c r="AO292" s="387">
        <v>0</v>
      </c>
      <c r="AP292" s="73"/>
      <c r="AQ292" s="241">
        <v>0</v>
      </c>
      <c r="AR292" s="659">
        <v>138894.51</v>
      </c>
    </row>
    <row r="293" spans="1:44">
      <c r="A293" s="236" t="s">
        <v>389</v>
      </c>
      <c r="B293" s="236" t="s">
        <v>388</v>
      </c>
      <c r="C293" s="236" t="str">
        <f t="shared" si="80"/>
        <v>19400 THORP SCHOOL DISTRICT</v>
      </c>
      <c r="D293" s="387">
        <v>0</v>
      </c>
      <c r="E293" s="387">
        <v>0</v>
      </c>
      <c r="F293" s="387">
        <v>0</v>
      </c>
      <c r="G293" s="387">
        <v>431711.22</v>
      </c>
      <c r="H293" s="387">
        <v>29269.3</v>
      </c>
      <c r="I293" s="387">
        <v>0</v>
      </c>
      <c r="J293" s="387">
        <v>90023.14</v>
      </c>
      <c r="K293" s="387">
        <v>8860.9699999999993</v>
      </c>
      <c r="L293" s="387">
        <v>0</v>
      </c>
      <c r="M293" s="387">
        <v>277638.53000000003</v>
      </c>
      <c r="N293" s="388">
        <v>5.2200000000000003E-2</v>
      </c>
      <c r="O293" s="389">
        <v>0.27260000000000001</v>
      </c>
      <c r="P293" s="387">
        <v>0</v>
      </c>
      <c r="Q293" s="387">
        <v>0</v>
      </c>
      <c r="R293" s="387">
        <v>0</v>
      </c>
      <c r="S293" s="387">
        <v>0</v>
      </c>
      <c r="T293" s="387">
        <v>0</v>
      </c>
      <c r="U293" s="387">
        <v>0</v>
      </c>
      <c r="V293" s="387">
        <v>0</v>
      </c>
      <c r="W293" s="387">
        <v>0</v>
      </c>
      <c r="X293" s="387">
        <v>0</v>
      </c>
      <c r="Y293" s="387">
        <v>0</v>
      </c>
      <c r="Z293" s="387">
        <v>0</v>
      </c>
      <c r="AA293" s="387">
        <v>11294.83</v>
      </c>
      <c r="AB293" s="387">
        <v>95158.76</v>
      </c>
      <c r="AC293" s="387">
        <v>177011.23</v>
      </c>
      <c r="AD293" s="525">
        <v>17.78</v>
      </c>
      <c r="AE293" s="387">
        <v>171585.36</v>
      </c>
      <c r="AF293" s="526">
        <f t="shared" si="75"/>
        <v>9650.4699999999993</v>
      </c>
      <c r="AG293" s="526">
        <f t="shared" si="76"/>
        <v>9955.64</v>
      </c>
      <c r="AH293" s="527">
        <f t="shared" si="73"/>
        <v>305.17</v>
      </c>
      <c r="AI293" s="525">
        <v>9.56</v>
      </c>
      <c r="AJ293" s="387">
        <v>90578.58</v>
      </c>
      <c r="AK293" s="526">
        <f t="shared" si="77"/>
        <v>9474.75</v>
      </c>
      <c r="AL293" s="526">
        <f t="shared" si="78"/>
        <v>9953.85</v>
      </c>
      <c r="AM293" s="527">
        <f t="shared" si="74"/>
        <v>479.1</v>
      </c>
      <c r="AN293" s="387">
        <v>0</v>
      </c>
      <c r="AO293" s="387">
        <v>0</v>
      </c>
      <c r="AP293" s="73"/>
      <c r="AQ293" s="241">
        <v>0</v>
      </c>
      <c r="AR293" s="659">
        <v>37756.25</v>
      </c>
    </row>
    <row r="294" spans="1:44">
      <c r="A294" s="236" t="s">
        <v>431</v>
      </c>
      <c r="B294" s="236" t="s">
        <v>430</v>
      </c>
      <c r="C294" s="236" t="str">
        <f t="shared" si="80"/>
        <v>21237 TOLEDO SCHOOL DISTRICT</v>
      </c>
      <c r="D294" s="387">
        <v>0</v>
      </c>
      <c r="E294" s="387">
        <v>0</v>
      </c>
      <c r="F294" s="387">
        <v>6292.1</v>
      </c>
      <c r="G294" s="387">
        <v>1856279.48</v>
      </c>
      <c r="H294" s="387">
        <v>374903.81</v>
      </c>
      <c r="I294" s="387">
        <v>197858.35</v>
      </c>
      <c r="J294" s="387">
        <v>313011.7</v>
      </c>
      <c r="K294" s="387">
        <v>16560.91</v>
      </c>
      <c r="L294" s="387">
        <v>28515.200000000001</v>
      </c>
      <c r="M294" s="387">
        <v>833343.7</v>
      </c>
      <c r="N294" s="388">
        <v>6.7999999999999996E-3</v>
      </c>
      <c r="O294" s="389">
        <v>0.18279999999999999</v>
      </c>
      <c r="P294" s="387">
        <v>0</v>
      </c>
      <c r="Q294" s="387">
        <v>0</v>
      </c>
      <c r="R294" s="387">
        <v>0</v>
      </c>
      <c r="S294" s="387">
        <v>0</v>
      </c>
      <c r="T294" s="387">
        <v>0</v>
      </c>
      <c r="U294" s="387">
        <v>0</v>
      </c>
      <c r="V294" s="387">
        <v>0</v>
      </c>
      <c r="W294" s="387">
        <v>0</v>
      </c>
      <c r="X294" s="387">
        <v>0</v>
      </c>
      <c r="Y294" s="387">
        <v>1015.2</v>
      </c>
      <c r="Z294" s="387">
        <v>34248.03</v>
      </c>
      <c r="AA294" s="387">
        <v>9739.86</v>
      </c>
      <c r="AB294" s="387">
        <v>279111.63</v>
      </c>
      <c r="AC294" s="387">
        <v>688274.57</v>
      </c>
      <c r="AD294" s="525">
        <v>65.88</v>
      </c>
      <c r="AE294" s="387">
        <v>613443.44999999995</v>
      </c>
      <c r="AF294" s="526">
        <f t="shared" si="75"/>
        <v>9311.5300000000007</v>
      </c>
      <c r="AG294" s="526">
        <f t="shared" si="76"/>
        <v>10447.4</v>
      </c>
      <c r="AH294" s="527">
        <f t="shared" si="73"/>
        <v>1135.8699999999999</v>
      </c>
      <c r="AI294" s="525">
        <v>29.07</v>
      </c>
      <c r="AJ294" s="387">
        <v>265433.34000000003</v>
      </c>
      <c r="AK294" s="526">
        <f t="shared" si="77"/>
        <v>9130.83</v>
      </c>
      <c r="AL294" s="526">
        <f t="shared" si="78"/>
        <v>9601.36</v>
      </c>
      <c r="AM294" s="527">
        <f t="shared" si="74"/>
        <v>470.53</v>
      </c>
      <c r="AN294" s="387">
        <v>0</v>
      </c>
      <c r="AO294" s="387">
        <v>0</v>
      </c>
      <c r="AP294" s="73"/>
      <c r="AQ294" s="241">
        <v>72652.710000000021</v>
      </c>
      <c r="AR294" s="659">
        <v>98476.070000000022</v>
      </c>
    </row>
    <row r="295" spans="1:44">
      <c r="A295" s="236" t="s">
        <v>485</v>
      </c>
      <c r="B295" s="236" t="s">
        <v>484</v>
      </c>
      <c r="C295" s="236" t="str">
        <f t="shared" si="80"/>
        <v>24404 TONASKET SCHOOL DISTRICT</v>
      </c>
      <c r="D295" s="387">
        <v>0</v>
      </c>
      <c r="E295" s="387">
        <v>0</v>
      </c>
      <c r="F295" s="387">
        <v>20559.84</v>
      </c>
      <c r="G295" s="387">
        <v>1560269.59</v>
      </c>
      <c r="H295" s="387">
        <v>176037.69</v>
      </c>
      <c r="I295" s="387">
        <v>348354.85</v>
      </c>
      <c r="J295" s="387">
        <v>550695.31000000006</v>
      </c>
      <c r="K295" s="387">
        <v>217608.74</v>
      </c>
      <c r="L295" s="387">
        <v>32929.08</v>
      </c>
      <c r="M295" s="387">
        <v>1187957.3700000001</v>
      </c>
      <c r="N295" s="388">
        <v>1.84E-2</v>
      </c>
      <c r="O295" s="389">
        <v>0.17960000000000001</v>
      </c>
      <c r="P295" s="387">
        <v>0</v>
      </c>
      <c r="Q295" s="387">
        <v>0</v>
      </c>
      <c r="R295" s="387">
        <v>0</v>
      </c>
      <c r="S295" s="387">
        <v>0</v>
      </c>
      <c r="T295" s="387">
        <v>0</v>
      </c>
      <c r="U295" s="387">
        <v>0</v>
      </c>
      <c r="V295" s="387">
        <v>0</v>
      </c>
      <c r="W295" s="387">
        <v>0</v>
      </c>
      <c r="X295" s="387">
        <v>0</v>
      </c>
      <c r="Y295" s="387">
        <v>0</v>
      </c>
      <c r="Z295" s="387">
        <v>0</v>
      </c>
      <c r="AA295" s="387">
        <v>0</v>
      </c>
      <c r="AB295" s="387">
        <v>76597.39</v>
      </c>
      <c r="AC295" s="387">
        <v>449451.72</v>
      </c>
      <c r="AD295" s="525">
        <v>44.85</v>
      </c>
      <c r="AE295" s="387">
        <v>415758.91</v>
      </c>
      <c r="AF295" s="526">
        <f t="shared" si="75"/>
        <v>9269.99</v>
      </c>
      <c r="AG295" s="526">
        <f t="shared" si="76"/>
        <v>10021.219999999999</v>
      </c>
      <c r="AH295" s="527">
        <f t="shared" si="73"/>
        <v>751.23</v>
      </c>
      <c r="AI295" s="525">
        <v>8.0299999999999994</v>
      </c>
      <c r="AJ295" s="387">
        <v>72842.259999999995</v>
      </c>
      <c r="AK295" s="526">
        <f t="shared" si="77"/>
        <v>9071.27</v>
      </c>
      <c r="AL295" s="526">
        <f t="shared" si="78"/>
        <v>9538.9</v>
      </c>
      <c r="AM295" s="527">
        <f t="shared" si="74"/>
        <v>467.63</v>
      </c>
      <c r="AN295" s="387">
        <v>0</v>
      </c>
      <c r="AO295" s="387">
        <v>0</v>
      </c>
      <c r="AP295" s="73"/>
      <c r="AQ295" s="241">
        <v>29750.570000000036</v>
      </c>
      <c r="AR295" s="659">
        <v>111166.57</v>
      </c>
    </row>
    <row r="296" spans="1:44">
      <c r="A296" s="236" t="s">
        <v>727</v>
      </c>
      <c r="B296" s="236" t="s">
        <v>726</v>
      </c>
      <c r="C296" s="236" t="str">
        <f t="shared" si="80"/>
        <v>39202 TOPPENISH SCHOOL DISTRICT</v>
      </c>
      <c r="D296" s="387">
        <v>0</v>
      </c>
      <c r="E296" s="387">
        <v>228023.56</v>
      </c>
      <c r="F296" s="387">
        <v>82933.78</v>
      </c>
      <c r="G296" s="387">
        <v>5972177.8300000001</v>
      </c>
      <c r="H296" s="387">
        <v>653237.22</v>
      </c>
      <c r="I296" s="387">
        <v>1089042.23</v>
      </c>
      <c r="J296" s="387">
        <v>2556985.35</v>
      </c>
      <c r="K296" s="387">
        <v>1995581.94</v>
      </c>
      <c r="L296" s="387">
        <v>120559.39</v>
      </c>
      <c r="M296" s="387">
        <v>2044821.7</v>
      </c>
      <c r="N296" s="388">
        <v>6.2E-2</v>
      </c>
      <c r="O296" s="389">
        <v>0.187</v>
      </c>
      <c r="P296" s="387">
        <v>0</v>
      </c>
      <c r="Q296" s="387">
        <v>0</v>
      </c>
      <c r="R296" s="387">
        <v>0</v>
      </c>
      <c r="S296" s="387">
        <v>0</v>
      </c>
      <c r="T296" s="387">
        <v>0</v>
      </c>
      <c r="U296" s="387">
        <v>0</v>
      </c>
      <c r="V296" s="387">
        <v>0</v>
      </c>
      <c r="W296" s="387">
        <v>0</v>
      </c>
      <c r="X296" s="387">
        <v>0</v>
      </c>
      <c r="Y296" s="387">
        <v>0</v>
      </c>
      <c r="Z296" s="387">
        <v>135759.57</v>
      </c>
      <c r="AA296" s="387">
        <v>435716.92</v>
      </c>
      <c r="AB296" s="387">
        <v>1492734.61</v>
      </c>
      <c r="AC296" s="387">
        <v>5093202.0599999996</v>
      </c>
      <c r="AD296" s="525">
        <v>528.91999999999996</v>
      </c>
      <c r="AE296" s="387">
        <v>4900836.87</v>
      </c>
      <c r="AF296" s="526">
        <f t="shared" si="75"/>
        <v>9265.74</v>
      </c>
      <c r="AG296" s="526">
        <f t="shared" si="76"/>
        <v>9629.44</v>
      </c>
      <c r="AH296" s="527">
        <f t="shared" si="73"/>
        <v>363.7</v>
      </c>
      <c r="AI296" s="525">
        <v>156.32</v>
      </c>
      <c r="AJ296" s="387">
        <v>1420125.81</v>
      </c>
      <c r="AK296" s="526">
        <f t="shared" si="77"/>
        <v>9084.74</v>
      </c>
      <c r="AL296" s="526">
        <f t="shared" si="78"/>
        <v>9549.2199999999993</v>
      </c>
      <c r="AM296" s="527">
        <f t="shared" si="74"/>
        <v>464.48</v>
      </c>
      <c r="AN296" s="387">
        <v>856.99</v>
      </c>
      <c r="AO296" s="387">
        <v>0</v>
      </c>
      <c r="AP296" s="73"/>
      <c r="AQ296" s="241">
        <v>209095.05999999994</v>
      </c>
      <c r="AR296" s="659">
        <v>419464.31</v>
      </c>
    </row>
    <row r="297" spans="1:44">
      <c r="A297" s="236" t="s">
        <v>665</v>
      </c>
      <c r="B297" s="236" t="s">
        <v>664</v>
      </c>
      <c r="C297" s="236" t="str">
        <f t="shared" si="80"/>
        <v>36300 TOUCHET SCHOOL DISTRICT</v>
      </c>
      <c r="D297" s="387">
        <v>0</v>
      </c>
      <c r="E297" s="387">
        <v>0</v>
      </c>
      <c r="F297" s="387">
        <v>0</v>
      </c>
      <c r="G297" s="387">
        <v>115193.39</v>
      </c>
      <c r="H297" s="387">
        <v>8256.51</v>
      </c>
      <c r="I297" s="387">
        <v>74956.95</v>
      </c>
      <c r="J297" s="387">
        <v>90446.62</v>
      </c>
      <c r="K297" s="387">
        <v>55441.71</v>
      </c>
      <c r="L297" s="387">
        <v>7257.38</v>
      </c>
      <c r="M297" s="387">
        <v>223621.51</v>
      </c>
      <c r="N297" s="388">
        <v>3.3399999999999999E-2</v>
      </c>
      <c r="O297" s="389">
        <v>0.31490000000000001</v>
      </c>
      <c r="P297" s="387">
        <v>0</v>
      </c>
      <c r="Q297" s="387">
        <v>0</v>
      </c>
      <c r="R297" s="387">
        <v>0</v>
      </c>
      <c r="S297" s="387">
        <v>0</v>
      </c>
      <c r="T297" s="387">
        <v>0</v>
      </c>
      <c r="U297" s="387">
        <v>0</v>
      </c>
      <c r="V297" s="387">
        <v>0</v>
      </c>
      <c r="W297" s="387">
        <v>0</v>
      </c>
      <c r="X297" s="387">
        <v>0</v>
      </c>
      <c r="Y297" s="387">
        <v>284.48</v>
      </c>
      <c r="Z297" s="387">
        <v>0</v>
      </c>
      <c r="AA297" s="387">
        <v>0</v>
      </c>
      <c r="AB297" s="387">
        <v>20350.07</v>
      </c>
      <c r="AC297" s="387">
        <v>137561.34</v>
      </c>
      <c r="AD297" s="525">
        <v>14.33</v>
      </c>
      <c r="AE297" s="387">
        <v>132709.18</v>
      </c>
      <c r="AF297" s="526">
        <f t="shared" si="75"/>
        <v>9260.93</v>
      </c>
      <c r="AG297" s="526">
        <f t="shared" si="76"/>
        <v>9599.5400000000009</v>
      </c>
      <c r="AH297" s="527">
        <f t="shared" si="73"/>
        <v>338.61</v>
      </c>
      <c r="AI297" s="525">
        <v>2.13</v>
      </c>
      <c r="AJ297" s="387">
        <v>19522.29</v>
      </c>
      <c r="AK297" s="526">
        <f t="shared" si="77"/>
        <v>9165.39</v>
      </c>
      <c r="AL297" s="526">
        <f t="shared" si="78"/>
        <v>9554.02</v>
      </c>
      <c r="AM297" s="527">
        <f t="shared" si="74"/>
        <v>388.63</v>
      </c>
      <c r="AN297" s="387">
        <v>0</v>
      </c>
      <c r="AO297" s="387">
        <v>0</v>
      </c>
      <c r="AP297" s="73"/>
      <c r="AQ297" s="241">
        <v>24978.450000000015</v>
      </c>
      <c r="AR297" s="659">
        <v>30510.790000000005</v>
      </c>
    </row>
    <row r="298" spans="1:44">
      <c r="A298" s="236" t="s">
        <v>236</v>
      </c>
      <c r="B298" s="236" t="s">
        <v>235</v>
      </c>
      <c r="C298" s="236" t="str">
        <f t="shared" si="80"/>
        <v>08130 TOUTLE LAKE SCHOOL DISTRICT</v>
      </c>
      <c r="D298" s="387">
        <v>0</v>
      </c>
      <c r="E298" s="387">
        <v>20335.27</v>
      </c>
      <c r="F298" s="387">
        <v>0</v>
      </c>
      <c r="G298" s="387">
        <v>0</v>
      </c>
      <c r="H298" s="387">
        <v>0</v>
      </c>
      <c r="I298" s="387">
        <v>0</v>
      </c>
      <c r="J298" s="387">
        <v>210859.54</v>
      </c>
      <c r="K298" s="387">
        <v>0</v>
      </c>
      <c r="L298" s="387">
        <v>20867.45</v>
      </c>
      <c r="M298" s="387">
        <v>622671.21</v>
      </c>
      <c r="N298" s="388">
        <v>1.95E-2</v>
      </c>
      <c r="O298" s="389">
        <v>0.19439999999999999</v>
      </c>
      <c r="P298" s="387">
        <v>0</v>
      </c>
      <c r="Q298" s="387">
        <v>0</v>
      </c>
      <c r="R298" s="387">
        <v>0</v>
      </c>
      <c r="S298" s="387">
        <v>0</v>
      </c>
      <c r="T298" s="387">
        <v>0</v>
      </c>
      <c r="U298" s="387">
        <v>0</v>
      </c>
      <c r="V298" s="387">
        <v>0</v>
      </c>
      <c r="W298" s="387">
        <v>0</v>
      </c>
      <c r="X298" s="387">
        <v>0</v>
      </c>
      <c r="Y298" s="387">
        <v>760.85</v>
      </c>
      <c r="Z298" s="387">
        <v>10865.68</v>
      </c>
      <c r="AA298" s="387">
        <v>0</v>
      </c>
      <c r="AB298" s="387">
        <v>121370.17</v>
      </c>
      <c r="AC298" s="387">
        <v>309686.90000000002</v>
      </c>
      <c r="AD298" s="525">
        <v>29.06</v>
      </c>
      <c r="AE298" s="387">
        <v>270551.14</v>
      </c>
      <c r="AF298" s="526">
        <f t="shared" si="75"/>
        <v>9310.09</v>
      </c>
      <c r="AG298" s="526">
        <f t="shared" si="76"/>
        <v>10656.81</v>
      </c>
      <c r="AH298" s="527">
        <f t="shared" si="73"/>
        <v>1346.72</v>
      </c>
      <c r="AI298" s="525">
        <v>12.64</v>
      </c>
      <c r="AJ298" s="387">
        <v>115692.28</v>
      </c>
      <c r="AK298" s="526">
        <f t="shared" si="77"/>
        <v>9152.8700000000008</v>
      </c>
      <c r="AL298" s="526">
        <f t="shared" si="78"/>
        <v>9602.07</v>
      </c>
      <c r="AM298" s="527">
        <f t="shared" si="74"/>
        <v>449.2</v>
      </c>
      <c r="AN298" s="387">
        <v>0</v>
      </c>
      <c r="AO298" s="387">
        <v>0</v>
      </c>
      <c r="AP298" s="73"/>
      <c r="AQ298" s="241">
        <v>55131.790000000008</v>
      </c>
      <c r="AR298" s="659">
        <v>63442.570000000007</v>
      </c>
    </row>
    <row r="299" spans="1:44">
      <c r="A299" s="236" t="s">
        <v>403</v>
      </c>
      <c r="B299" s="236" t="s">
        <v>402</v>
      </c>
      <c r="C299" s="236" t="str">
        <f t="shared" si="80"/>
        <v>20400 TROUT LAKE SCHOOL DISTRICT</v>
      </c>
      <c r="D299" s="387">
        <v>0</v>
      </c>
      <c r="E299" s="387">
        <v>0</v>
      </c>
      <c r="F299" s="387">
        <v>0</v>
      </c>
      <c r="G299" s="387">
        <v>0</v>
      </c>
      <c r="H299" s="387">
        <v>0</v>
      </c>
      <c r="I299" s="387">
        <v>0</v>
      </c>
      <c r="J299" s="387">
        <v>39319.910000000003</v>
      </c>
      <c r="K299" s="387">
        <v>20364.18</v>
      </c>
      <c r="L299" s="387">
        <v>6607.47</v>
      </c>
      <c r="M299" s="387">
        <v>161601.82</v>
      </c>
      <c r="N299" s="388">
        <v>3.7699999999999997E-2</v>
      </c>
      <c r="O299" s="389">
        <v>0.2039</v>
      </c>
      <c r="P299" s="387">
        <v>0</v>
      </c>
      <c r="Q299" s="387">
        <v>0</v>
      </c>
      <c r="R299" s="387">
        <v>0</v>
      </c>
      <c r="S299" s="387">
        <v>0</v>
      </c>
      <c r="T299" s="387">
        <v>0</v>
      </c>
      <c r="U299" s="387">
        <v>0</v>
      </c>
      <c r="V299" s="387">
        <v>0</v>
      </c>
      <c r="W299" s="387">
        <v>0</v>
      </c>
      <c r="X299" s="387">
        <v>0</v>
      </c>
      <c r="Y299" s="387">
        <v>236.51</v>
      </c>
      <c r="Z299" s="387">
        <v>0</v>
      </c>
      <c r="AA299" s="387">
        <v>0</v>
      </c>
      <c r="AB299" s="387">
        <v>0</v>
      </c>
      <c r="AC299" s="387">
        <v>8381.64</v>
      </c>
      <c r="AD299" s="525">
        <v>0.65</v>
      </c>
      <c r="AE299" s="387">
        <v>6126.3</v>
      </c>
      <c r="AF299" s="526">
        <f t="shared" si="75"/>
        <v>9425.08</v>
      </c>
      <c r="AG299" s="526">
        <f t="shared" si="76"/>
        <v>12894.83</v>
      </c>
      <c r="AH299" s="527">
        <f t="shared" si="73"/>
        <v>3469.75</v>
      </c>
      <c r="AI299" s="525">
        <v>0</v>
      </c>
      <c r="AJ299" s="387">
        <v>0</v>
      </c>
      <c r="AK299" s="526">
        <f t="shared" si="77"/>
        <v>0</v>
      </c>
      <c r="AL299" s="526">
        <f t="shared" si="78"/>
        <v>0</v>
      </c>
      <c r="AM299" s="527">
        <f t="shared" si="74"/>
        <v>0</v>
      </c>
      <c r="AN299" s="387">
        <v>0</v>
      </c>
      <c r="AO299" s="387">
        <v>0</v>
      </c>
      <c r="AP299" s="73"/>
      <c r="AQ299" s="241">
        <v>0</v>
      </c>
      <c r="AR299" s="659">
        <v>28408.86</v>
      </c>
    </row>
    <row r="300" spans="1:44">
      <c r="A300" s="236" t="s">
        <v>1197</v>
      </c>
      <c r="B300" s="236" t="s">
        <v>356</v>
      </c>
      <c r="C300" s="236" t="str">
        <f t="shared" si="80"/>
        <v>17406 TUKWILA SCHOOL DISTRICT</v>
      </c>
      <c r="D300" s="387">
        <v>0</v>
      </c>
      <c r="E300" s="387">
        <v>99243.7</v>
      </c>
      <c r="F300" s="387">
        <v>76663.56</v>
      </c>
      <c r="G300" s="387">
        <v>5790967.2699999996</v>
      </c>
      <c r="H300" s="387">
        <v>925380.54</v>
      </c>
      <c r="I300" s="387">
        <v>1009660.16</v>
      </c>
      <c r="J300" s="387">
        <v>1648164.09</v>
      </c>
      <c r="K300" s="387">
        <v>2650484.67</v>
      </c>
      <c r="L300" s="387">
        <v>99801.46</v>
      </c>
      <c r="M300" s="387">
        <v>1205477</v>
      </c>
      <c r="N300" s="388">
        <v>1.95E-2</v>
      </c>
      <c r="O300" s="389">
        <v>0.16850000000000001</v>
      </c>
      <c r="P300" s="387">
        <v>0</v>
      </c>
      <c r="Q300" s="387">
        <v>0</v>
      </c>
      <c r="R300" s="387">
        <v>0</v>
      </c>
      <c r="S300" s="387">
        <v>0</v>
      </c>
      <c r="T300" s="387">
        <v>0</v>
      </c>
      <c r="U300" s="387">
        <v>0</v>
      </c>
      <c r="V300" s="387">
        <v>0</v>
      </c>
      <c r="W300" s="387">
        <v>0</v>
      </c>
      <c r="X300" s="387">
        <v>0</v>
      </c>
      <c r="Y300" s="387">
        <v>0</v>
      </c>
      <c r="Z300" s="387">
        <v>0</v>
      </c>
      <c r="AA300" s="387">
        <v>64321.89</v>
      </c>
      <c r="AB300" s="387">
        <v>138475.42000000001</v>
      </c>
      <c r="AC300" s="387">
        <v>1862385.88</v>
      </c>
      <c r="AD300" s="525">
        <v>162.79</v>
      </c>
      <c r="AE300" s="387">
        <v>1695323.97</v>
      </c>
      <c r="AF300" s="526">
        <f t="shared" si="75"/>
        <v>10414.18</v>
      </c>
      <c r="AG300" s="526">
        <f t="shared" si="76"/>
        <v>11440.42</v>
      </c>
      <c r="AH300" s="527">
        <f t="shared" si="73"/>
        <v>1026.24</v>
      </c>
      <c r="AI300" s="525">
        <v>12.9</v>
      </c>
      <c r="AJ300" s="387">
        <v>132044.44</v>
      </c>
      <c r="AK300" s="526">
        <f t="shared" si="77"/>
        <v>10236</v>
      </c>
      <c r="AL300" s="526">
        <f t="shared" si="78"/>
        <v>10734.53</v>
      </c>
      <c r="AM300" s="527">
        <f t="shared" si="74"/>
        <v>498.53</v>
      </c>
      <c r="AN300" s="387">
        <v>0</v>
      </c>
      <c r="AO300" s="387">
        <v>0</v>
      </c>
      <c r="AP300" s="73"/>
      <c r="AQ300" s="241">
        <v>538590.42000000016</v>
      </c>
      <c r="AR300" s="659">
        <v>400472.21000000008</v>
      </c>
    </row>
    <row r="301" spans="1:44">
      <c r="A301" s="236" t="s">
        <v>645</v>
      </c>
      <c r="B301" s="236" t="s">
        <v>644</v>
      </c>
      <c r="C301" s="236" t="str">
        <f t="shared" si="80"/>
        <v>34033 TUMWATER SCHOOL DISTRICT</v>
      </c>
      <c r="D301" s="387">
        <v>0</v>
      </c>
      <c r="E301" s="387">
        <v>127627.7</v>
      </c>
      <c r="F301" s="387">
        <v>0</v>
      </c>
      <c r="G301" s="387">
        <v>12049496.529999999</v>
      </c>
      <c r="H301" s="387">
        <v>2031711</v>
      </c>
      <c r="I301" s="387">
        <v>0</v>
      </c>
      <c r="J301" s="387">
        <v>1468376.41</v>
      </c>
      <c r="K301" s="387">
        <v>315804.55</v>
      </c>
      <c r="L301" s="387">
        <v>208189.69</v>
      </c>
      <c r="M301" s="387">
        <v>4666296.55</v>
      </c>
      <c r="N301" s="388">
        <v>3.3799999999999997E-2</v>
      </c>
      <c r="O301" s="389">
        <v>0.14080000000000001</v>
      </c>
      <c r="P301" s="387">
        <v>0</v>
      </c>
      <c r="Q301" s="387">
        <v>0</v>
      </c>
      <c r="R301" s="387">
        <v>0</v>
      </c>
      <c r="S301" s="387">
        <v>171437.57</v>
      </c>
      <c r="T301" s="387">
        <v>0</v>
      </c>
      <c r="U301" s="387">
        <v>5982.2</v>
      </c>
      <c r="V301" s="387">
        <v>0</v>
      </c>
      <c r="W301" s="387">
        <v>0</v>
      </c>
      <c r="X301" s="387">
        <v>0</v>
      </c>
      <c r="Y301" s="387">
        <v>1029.71</v>
      </c>
      <c r="Z301" s="387">
        <v>125914.92</v>
      </c>
      <c r="AA301" s="387">
        <v>193079.75</v>
      </c>
      <c r="AB301" s="387">
        <v>1195896.5</v>
      </c>
      <c r="AC301" s="387">
        <v>4088733.16</v>
      </c>
      <c r="AD301" s="525">
        <v>404.08</v>
      </c>
      <c r="AE301" s="387">
        <v>3744068.43</v>
      </c>
      <c r="AF301" s="526">
        <f t="shared" si="75"/>
        <v>9265.66</v>
      </c>
      <c r="AG301" s="526">
        <f t="shared" si="76"/>
        <v>10118.620000000001</v>
      </c>
      <c r="AH301" s="527">
        <f t="shared" si="73"/>
        <v>852.96</v>
      </c>
      <c r="AI301" s="525">
        <v>125.24</v>
      </c>
      <c r="AJ301" s="387">
        <v>1137727.3899999999</v>
      </c>
      <c r="AK301" s="526">
        <f t="shared" si="77"/>
        <v>9084.3799999999992</v>
      </c>
      <c r="AL301" s="526">
        <f t="shared" si="78"/>
        <v>9548.84</v>
      </c>
      <c r="AM301" s="527">
        <f t="shared" si="74"/>
        <v>464.46</v>
      </c>
      <c r="AN301" s="387">
        <v>2990.78</v>
      </c>
      <c r="AO301" s="387">
        <v>0</v>
      </c>
      <c r="AP301" s="73"/>
      <c r="AQ301" s="241">
        <v>299575.07999999996</v>
      </c>
      <c r="AR301" s="659">
        <v>689840.96000000008</v>
      </c>
    </row>
    <row r="302" spans="1:44">
      <c r="A302" s="236" t="s">
        <v>712</v>
      </c>
      <c r="B302" s="236" t="s">
        <v>711</v>
      </c>
      <c r="C302" s="236" t="str">
        <f t="shared" si="80"/>
        <v>39002 UNION GAP SCHOOL DISTRICT</v>
      </c>
      <c r="D302" s="387">
        <v>95300.78</v>
      </c>
      <c r="E302" s="387">
        <v>32573.71</v>
      </c>
      <c r="F302" s="387">
        <v>17048.91</v>
      </c>
      <c r="G302" s="387">
        <v>952545.23</v>
      </c>
      <c r="H302" s="387">
        <v>113759.88</v>
      </c>
      <c r="I302" s="387">
        <v>178076.95</v>
      </c>
      <c r="J302" s="387">
        <v>342722.26</v>
      </c>
      <c r="K302" s="387">
        <v>201615.94</v>
      </c>
      <c r="L302" s="387">
        <v>0</v>
      </c>
      <c r="M302" s="387">
        <v>160120.99</v>
      </c>
      <c r="N302" s="388">
        <v>2.5600000000000001E-2</v>
      </c>
      <c r="O302" s="389">
        <v>0.2089</v>
      </c>
      <c r="P302" s="387">
        <v>0</v>
      </c>
      <c r="Q302" s="387">
        <v>0</v>
      </c>
      <c r="R302" s="387">
        <v>0</v>
      </c>
      <c r="S302" s="387">
        <v>0</v>
      </c>
      <c r="T302" s="387">
        <v>0</v>
      </c>
      <c r="U302" s="387">
        <v>0</v>
      </c>
      <c r="V302" s="387">
        <v>0</v>
      </c>
      <c r="W302" s="387">
        <v>0</v>
      </c>
      <c r="X302" s="387">
        <v>0</v>
      </c>
      <c r="Y302" s="387">
        <v>623.63</v>
      </c>
      <c r="Z302" s="387">
        <v>0</v>
      </c>
      <c r="AA302" s="387">
        <v>0</v>
      </c>
      <c r="AB302" s="387">
        <v>0</v>
      </c>
      <c r="AC302" s="387">
        <v>0</v>
      </c>
      <c r="AD302" s="525">
        <v>0</v>
      </c>
      <c r="AE302" s="387">
        <v>0</v>
      </c>
      <c r="AF302" s="526">
        <f t="shared" si="75"/>
        <v>0</v>
      </c>
      <c r="AG302" s="526">
        <f t="shared" si="76"/>
        <v>0</v>
      </c>
      <c r="AH302" s="527">
        <f t="shared" si="73"/>
        <v>0</v>
      </c>
      <c r="AI302" s="525">
        <v>0</v>
      </c>
      <c r="AJ302" s="387">
        <v>0</v>
      </c>
      <c r="AK302" s="526">
        <f t="shared" si="77"/>
        <v>0</v>
      </c>
      <c r="AL302" s="526">
        <f t="shared" si="78"/>
        <v>0</v>
      </c>
      <c r="AM302" s="527">
        <f t="shared" si="74"/>
        <v>0</v>
      </c>
      <c r="AN302" s="387">
        <v>0</v>
      </c>
      <c r="AO302" s="387">
        <v>0</v>
      </c>
      <c r="AP302" s="73"/>
      <c r="AQ302" s="241">
        <v>42894.580000000009</v>
      </c>
      <c r="AR302" s="659">
        <v>67019.83</v>
      </c>
    </row>
    <row r="303" spans="1:44">
      <c r="A303" s="236" t="s">
        <v>514</v>
      </c>
      <c r="B303" s="236" t="s">
        <v>513</v>
      </c>
      <c r="C303" s="236" t="str">
        <f t="shared" si="80"/>
        <v>27083 UNIVERSITY PLACE SCHOOL DISTRICT</v>
      </c>
      <c r="D303" s="387">
        <v>0</v>
      </c>
      <c r="E303" s="387">
        <v>0</v>
      </c>
      <c r="F303" s="387">
        <v>0</v>
      </c>
      <c r="G303" s="387">
        <v>7566736.7800000003</v>
      </c>
      <c r="H303" s="387">
        <v>1451268.75</v>
      </c>
      <c r="I303" s="387">
        <v>0</v>
      </c>
      <c r="J303" s="387">
        <v>1578821.25</v>
      </c>
      <c r="K303" s="387">
        <v>744986.29</v>
      </c>
      <c r="L303" s="387">
        <v>188540.56</v>
      </c>
      <c r="M303" s="387">
        <v>3080597.02</v>
      </c>
      <c r="N303" s="388">
        <v>3.8199999999999998E-2</v>
      </c>
      <c r="O303" s="389">
        <v>0.15079999999999999</v>
      </c>
      <c r="P303" s="387">
        <v>0</v>
      </c>
      <c r="Q303" s="387">
        <v>0</v>
      </c>
      <c r="R303" s="387">
        <v>0</v>
      </c>
      <c r="S303" s="387">
        <v>0</v>
      </c>
      <c r="T303" s="387">
        <v>0</v>
      </c>
      <c r="U303" s="387">
        <v>0</v>
      </c>
      <c r="V303" s="387">
        <v>0</v>
      </c>
      <c r="W303" s="387">
        <v>0</v>
      </c>
      <c r="X303" s="387">
        <v>0</v>
      </c>
      <c r="Y303" s="387">
        <v>6335.55</v>
      </c>
      <c r="Z303" s="387">
        <v>0</v>
      </c>
      <c r="AA303" s="387">
        <v>0</v>
      </c>
      <c r="AB303" s="387">
        <v>0</v>
      </c>
      <c r="AC303" s="387">
        <v>2964095.48</v>
      </c>
      <c r="AD303" s="525">
        <v>278.44</v>
      </c>
      <c r="AE303" s="387">
        <v>2737842.31</v>
      </c>
      <c r="AF303" s="526">
        <f t="shared" si="75"/>
        <v>9832.7900000000009</v>
      </c>
      <c r="AG303" s="526">
        <f t="shared" si="76"/>
        <v>10645.37</v>
      </c>
      <c r="AH303" s="527">
        <f t="shared" si="73"/>
        <v>812.58</v>
      </c>
      <c r="AI303" s="525">
        <v>0</v>
      </c>
      <c r="AJ303" s="387">
        <v>0</v>
      </c>
      <c r="AK303" s="526">
        <f t="shared" si="77"/>
        <v>0</v>
      </c>
      <c r="AL303" s="526">
        <f t="shared" si="78"/>
        <v>0</v>
      </c>
      <c r="AM303" s="527">
        <f t="shared" si="74"/>
        <v>0</v>
      </c>
      <c r="AN303" s="387">
        <v>0</v>
      </c>
      <c r="AO303" s="387">
        <v>0</v>
      </c>
      <c r="AP303" s="73"/>
      <c r="AQ303" s="241">
        <v>8276.2000000003027</v>
      </c>
      <c r="AR303" s="659">
        <v>610398.31000000006</v>
      </c>
    </row>
    <row r="304" spans="1:44">
      <c r="A304" s="236" t="s">
        <v>625</v>
      </c>
      <c r="B304" s="236" t="s">
        <v>624</v>
      </c>
      <c r="C304" s="236" t="str">
        <f t="shared" si="80"/>
        <v>33070 VALLEY SCHOOL DISTRICT</v>
      </c>
      <c r="D304" s="387">
        <v>0</v>
      </c>
      <c r="E304" s="387">
        <v>2417.7399999999998</v>
      </c>
      <c r="F304" s="387">
        <v>6836.19</v>
      </c>
      <c r="G304" s="387">
        <v>1227144.96</v>
      </c>
      <c r="H304" s="387">
        <v>94385.15</v>
      </c>
      <c r="I304" s="387">
        <v>63583.43</v>
      </c>
      <c r="J304" s="387">
        <v>196599.54</v>
      </c>
      <c r="K304" s="387">
        <v>81456.679999999993</v>
      </c>
      <c r="L304" s="387">
        <v>31195.95</v>
      </c>
      <c r="M304" s="387">
        <v>1329628.71</v>
      </c>
      <c r="N304" s="388">
        <v>7.1300000000000002E-2</v>
      </c>
      <c r="O304" s="389">
        <v>0.22739999999999999</v>
      </c>
      <c r="P304" s="387">
        <v>0</v>
      </c>
      <c r="Q304" s="387">
        <v>0</v>
      </c>
      <c r="R304" s="387">
        <v>0</v>
      </c>
      <c r="S304" s="387">
        <v>0</v>
      </c>
      <c r="T304" s="387">
        <v>0</v>
      </c>
      <c r="U304" s="387">
        <v>0</v>
      </c>
      <c r="V304" s="387">
        <v>0</v>
      </c>
      <c r="W304" s="387">
        <v>0</v>
      </c>
      <c r="X304" s="387">
        <v>0</v>
      </c>
      <c r="Y304" s="387">
        <v>1240.56</v>
      </c>
      <c r="Z304" s="387">
        <v>0</v>
      </c>
      <c r="AA304" s="387">
        <v>0</v>
      </c>
      <c r="AB304" s="387">
        <v>0</v>
      </c>
      <c r="AC304" s="387">
        <v>1116.79</v>
      </c>
      <c r="AD304" s="525">
        <v>0</v>
      </c>
      <c r="AE304" s="387">
        <v>0</v>
      </c>
      <c r="AF304" s="526">
        <f t="shared" si="75"/>
        <v>0</v>
      </c>
      <c r="AG304" s="526">
        <f t="shared" si="76"/>
        <v>0</v>
      </c>
      <c r="AH304" s="527">
        <f t="shared" si="73"/>
        <v>0</v>
      </c>
      <c r="AI304" s="525">
        <v>0</v>
      </c>
      <c r="AJ304" s="387">
        <v>0</v>
      </c>
      <c r="AK304" s="526">
        <f t="shared" si="77"/>
        <v>0</v>
      </c>
      <c r="AL304" s="526">
        <f t="shared" si="78"/>
        <v>0</v>
      </c>
      <c r="AM304" s="527">
        <f t="shared" si="74"/>
        <v>0</v>
      </c>
      <c r="AN304" s="387">
        <v>0</v>
      </c>
      <c r="AO304" s="387">
        <v>0</v>
      </c>
      <c r="AP304" s="73"/>
      <c r="AQ304" s="241">
        <v>3319.0599999999977</v>
      </c>
      <c r="AR304" s="659">
        <v>46375.5</v>
      </c>
    </row>
    <row r="305" spans="1:44">
      <c r="A305" s="236" t="s">
        <v>214</v>
      </c>
      <c r="B305" s="236" t="s">
        <v>213</v>
      </c>
      <c r="C305" s="236" t="str">
        <f t="shared" si="80"/>
        <v>06037 VANCOUVER SCHOOL DISTRICT</v>
      </c>
      <c r="D305" s="387">
        <v>0</v>
      </c>
      <c r="E305" s="387">
        <v>123918.44</v>
      </c>
      <c r="F305" s="387">
        <v>127168.09</v>
      </c>
      <c r="G305" s="387">
        <v>47536740.759999998</v>
      </c>
      <c r="H305" s="387">
        <v>8772548.2699999996</v>
      </c>
      <c r="I305" s="387">
        <v>4062094.46</v>
      </c>
      <c r="J305" s="387">
        <v>7565817.6100000003</v>
      </c>
      <c r="K305" s="387">
        <v>6766309.3200000003</v>
      </c>
      <c r="L305" s="387">
        <v>688506.05</v>
      </c>
      <c r="M305" s="387">
        <v>15421602.140000001</v>
      </c>
      <c r="N305" s="388">
        <v>4.3900000000000002E-2</v>
      </c>
      <c r="O305" s="389">
        <v>0.16650000000000001</v>
      </c>
      <c r="P305" s="387">
        <v>0</v>
      </c>
      <c r="Q305" s="387">
        <v>0</v>
      </c>
      <c r="R305" s="387">
        <v>0</v>
      </c>
      <c r="S305" s="387">
        <v>0</v>
      </c>
      <c r="T305" s="387">
        <v>0</v>
      </c>
      <c r="U305" s="387">
        <v>0</v>
      </c>
      <c r="V305" s="387">
        <v>0</v>
      </c>
      <c r="W305" s="387">
        <v>0</v>
      </c>
      <c r="X305" s="387">
        <v>0</v>
      </c>
      <c r="Y305" s="387">
        <v>12634.28</v>
      </c>
      <c r="Z305" s="387">
        <v>207118.25</v>
      </c>
      <c r="AA305" s="387">
        <v>693928.27</v>
      </c>
      <c r="AB305" s="387">
        <v>3237322.96</v>
      </c>
      <c r="AC305" s="387">
        <v>17196790.390000001</v>
      </c>
      <c r="AD305" s="525">
        <v>1721.68</v>
      </c>
      <c r="AE305" s="387">
        <v>16611885.560000001</v>
      </c>
      <c r="AF305" s="526">
        <f t="shared" si="75"/>
        <v>9648.65</v>
      </c>
      <c r="AG305" s="526">
        <f t="shared" si="76"/>
        <v>9988.3799999999992</v>
      </c>
      <c r="AH305" s="527">
        <f t="shared" si="73"/>
        <v>339.73</v>
      </c>
      <c r="AI305" s="525">
        <v>325.35000000000002</v>
      </c>
      <c r="AJ305" s="387">
        <v>3080541.46</v>
      </c>
      <c r="AK305" s="526">
        <f t="shared" si="77"/>
        <v>9468.39</v>
      </c>
      <c r="AL305" s="526">
        <f t="shared" si="78"/>
        <v>9950.2800000000007</v>
      </c>
      <c r="AM305" s="527">
        <f t="shared" si="74"/>
        <v>481.89</v>
      </c>
      <c r="AN305" s="387">
        <v>0</v>
      </c>
      <c r="AO305" s="387">
        <v>0</v>
      </c>
      <c r="AP305" s="73"/>
      <c r="AQ305" s="241">
        <v>0</v>
      </c>
      <c r="AR305" s="659">
        <v>2526171.3799999994</v>
      </c>
    </row>
    <row r="306" spans="1:44">
      <c r="A306" s="236" t="s">
        <v>349</v>
      </c>
      <c r="B306" s="236" t="s">
        <v>348</v>
      </c>
      <c r="C306" s="236" t="str">
        <f t="shared" si="80"/>
        <v>17402 VASHON ISLAND SCHOOL DISTRICT</v>
      </c>
      <c r="D306" s="387">
        <v>0</v>
      </c>
      <c r="E306" s="387">
        <v>0</v>
      </c>
      <c r="F306" s="387">
        <v>715.3</v>
      </c>
      <c r="G306" s="387">
        <v>2503678.42</v>
      </c>
      <c r="H306" s="387">
        <v>338988.2</v>
      </c>
      <c r="I306" s="387">
        <v>18128.740000000002</v>
      </c>
      <c r="J306" s="387">
        <v>307448.65999999997</v>
      </c>
      <c r="K306" s="387">
        <v>188030.9</v>
      </c>
      <c r="L306" s="387">
        <v>50439.839999999997</v>
      </c>
      <c r="M306" s="387">
        <v>1452710.4</v>
      </c>
      <c r="N306" s="388">
        <v>2.53E-2</v>
      </c>
      <c r="O306" s="389">
        <v>0.22850000000000001</v>
      </c>
      <c r="P306" s="387">
        <v>0</v>
      </c>
      <c r="Q306" s="387">
        <v>0</v>
      </c>
      <c r="R306" s="387">
        <v>0</v>
      </c>
      <c r="S306" s="387">
        <v>0</v>
      </c>
      <c r="T306" s="387">
        <v>0</v>
      </c>
      <c r="U306" s="387">
        <v>0</v>
      </c>
      <c r="V306" s="387">
        <v>0</v>
      </c>
      <c r="W306" s="387">
        <v>0</v>
      </c>
      <c r="X306" s="387">
        <v>0</v>
      </c>
      <c r="Y306" s="387">
        <v>1587.51</v>
      </c>
      <c r="Z306" s="387">
        <v>0</v>
      </c>
      <c r="AA306" s="387">
        <v>0</v>
      </c>
      <c r="AB306" s="387">
        <v>463287.37</v>
      </c>
      <c r="AC306" s="387">
        <v>867756.53</v>
      </c>
      <c r="AD306" s="525">
        <v>81.73</v>
      </c>
      <c r="AE306" s="387">
        <v>835022.38</v>
      </c>
      <c r="AF306" s="526">
        <f t="shared" si="75"/>
        <v>10216.84</v>
      </c>
      <c r="AG306" s="526">
        <f t="shared" si="76"/>
        <v>10617.36</v>
      </c>
      <c r="AH306" s="527">
        <f t="shared" si="73"/>
        <v>400.52</v>
      </c>
      <c r="AI306" s="525">
        <v>43.91</v>
      </c>
      <c r="AJ306" s="387">
        <v>440811.05</v>
      </c>
      <c r="AK306" s="526">
        <f t="shared" si="77"/>
        <v>10038.969999999999</v>
      </c>
      <c r="AL306" s="526">
        <f t="shared" si="78"/>
        <v>10550.84</v>
      </c>
      <c r="AM306" s="527">
        <f t="shared" si="74"/>
        <v>511.87</v>
      </c>
      <c r="AN306" s="387">
        <v>0</v>
      </c>
      <c r="AO306" s="387">
        <v>0</v>
      </c>
      <c r="AP306" s="73"/>
      <c r="AQ306" s="241">
        <v>0</v>
      </c>
      <c r="AR306" s="659">
        <v>156175.22</v>
      </c>
    </row>
    <row r="307" spans="1:44">
      <c r="A307" s="236" t="s">
        <v>1546</v>
      </c>
      <c r="B307" s="236" t="s">
        <v>1547</v>
      </c>
      <c r="C307" s="236" t="str">
        <f>CONCATENATE(B307," ",A307," TRIBAL COMPACT")</f>
        <v>34901 WA HE LUT TRIBAL COMPACT</v>
      </c>
      <c r="D307" s="387">
        <v>2909.2</v>
      </c>
      <c r="E307" s="387">
        <v>0</v>
      </c>
      <c r="F307" s="387">
        <v>4178.42</v>
      </c>
      <c r="G307" s="387">
        <v>248405.33</v>
      </c>
      <c r="H307" s="387">
        <v>58335.09</v>
      </c>
      <c r="I307" s="387">
        <v>41702.93</v>
      </c>
      <c r="J307" s="387">
        <v>90229.97</v>
      </c>
      <c r="K307" s="387">
        <v>0</v>
      </c>
      <c r="L307" s="387">
        <v>0</v>
      </c>
      <c r="M307" s="387">
        <v>251328.04</v>
      </c>
      <c r="N307" s="388">
        <v>3.5000000000000003E-2</v>
      </c>
      <c r="O307" s="389">
        <v>0.14979999999999999</v>
      </c>
      <c r="P307" s="387">
        <v>0</v>
      </c>
      <c r="Q307" s="387">
        <v>0</v>
      </c>
      <c r="R307" s="387">
        <v>0</v>
      </c>
      <c r="S307" s="387">
        <v>0</v>
      </c>
      <c r="T307" s="387">
        <v>0</v>
      </c>
      <c r="U307" s="387">
        <v>0</v>
      </c>
      <c r="V307" s="387">
        <v>0</v>
      </c>
      <c r="W307" s="387">
        <v>0</v>
      </c>
      <c r="X307" s="387">
        <v>0</v>
      </c>
      <c r="Y307" s="387">
        <v>0</v>
      </c>
      <c r="Z307" s="387">
        <v>0</v>
      </c>
      <c r="AA307" s="387">
        <v>0</v>
      </c>
      <c r="AB307" s="387">
        <v>0</v>
      </c>
      <c r="AC307" s="387">
        <v>0</v>
      </c>
      <c r="AD307" s="525">
        <v>0</v>
      </c>
      <c r="AE307" s="387">
        <v>0</v>
      </c>
      <c r="AF307" s="526">
        <f t="shared" si="75"/>
        <v>0</v>
      </c>
      <c r="AG307" s="526">
        <f t="shared" si="76"/>
        <v>0</v>
      </c>
      <c r="AH307" s="527">
        <f t="shared" si="73"/>
        <v>0</v>
      </c>
      <c r="AI307" s="525">
        <v>0</v>
      </c>
      <c r="AJ307" s="387">
        <v>0</v>
      </c>
      <c r="AK307" s="526">
        <f t="shared" si="77"/>
        <v>0</v>
      </c>
      <c r="AL307" s="526">
        <f t="shared" si="78"/>
        <v>0</v>
      </c>
      <c r="AM307" s="527">
        <f t="shared" si="74"/>
        <v>0</v>
      </c>
      <c r="AN307" s="387">
        <v>0</v>
      </c>
      <c r="AO307" s="387">
        <v>0</v>
      </c>
      <c r="AP307" s="73"/>
      <c r="AQ307" s="241">
        <v>0</v>
      </c>
      <c r="AR307" s="659">
        <v>17729.019999999997</v>
      </c>
    </row>
    <row r="308" spans="1:44">
      <c r="A308" s="236" t="s">
        <v>657</v>
      </c>
      <c r="B308" s="238" t="s">
        <v>656</v>
      </c>
      <c r="C308" s="236" t="str">
        <f t="shared" ref="C308:C320" si="81">CONCATENATE(B308," ",A308," SCHOOL DISTRICT")</f>
        <v>35200 WAHKIAKUM SCHOOL DISTRICT</v>
      </c>
      <c r="D308" s="387">
        <v>0</v>
      </c>
      <c r="E308" s="387">
        <v>17155.71</v>
      </c>
      <c r="F308" s="387">
        <v>13576.22</v>
      </c>
      <c r="G308" s="387">
        <v>0</v>
      </c>
      <c r="H308" s="387">
        <v>0</v>
      </c>
      <c r="I308" s="387">
        <v>134804.20000000001</v>
      </c>
      <c r="J308" s="387">
        <v>169765.91</v>
      </c>
      <c r="K308" s="387">
        <v>0</v>
      </c>
      <c r="L308" s="387">
        <v>12886.53</v>
      </c>
      <c r="M308" s="387">
        <v>398437.25</v>
      </c>
      <c r="N308" s="388">
        <v>0.112</v>
      </c>
      <c r="O308" s="389">
        <v>0.43559999999999999</v>
      </c>
      <c r="P308" s="387">
        <v>0</v>
      </c>
      <c r="Q308" s="387">
        <v>0</v>
      </c>
      <c r="R308" s="387">
        <v>0</v>
      </c>
      <c r="S308" s="387">
        <v>0</v>
      </c>
      <c r="T308" s="387">
        <v>0</v>
      </c>
      <c r="U308" s="387">
        <v>0</v>
      </c>
      <c r="V308" s="387">
        <v>0</v>
      </c>
      <c r="W308" s="387">
        <v>0</v>
      </c>
      <c r="X308" s="387">
        <v>0</v>
      </c>
      <c r="Y308" s="387">
        <v>0</v>
      </c>
      <c r="Z308" s="387">
        <v>0</v>
      </c>
      <c r="AA308" s="387">
        <v>24695.74</v>
      </c>
      <c r="AB308" s="387">
        <v>29077.52</v>
      </c>
      <c r="AC308" s="387">
        <v>235873.73</v>
      </c>
      <c r="AD308" s="525">
        <v>24.01</v>
      </c>
      <c r="AE308" s="387">
        <v>226925.47</v>
      </c>
      <c r="AF308" s="526">
        <f t="shared" si="75"/>
        <v>9451.2900000000009</v>
      </c>
      <c r="AG308" s="526">
        <f t="shared" si="76"/>
        <v>9823.98</v>
      </c>
      <c r="AH308" s="527">
        <f t="shared" si="73"/>
        <v>372.69</v>
      </c>
      <c r="AI308" s="525">
        <v>2.98</v>
      </c>
      <c r="AJ308" s="387">
        <v>27528.400000000001</v>
      </c>
      <c r="AK308" s="526">
        <f t="shared" si="77"/>
        <v>9237.7199999999993</v>
      </c>
      <c r="AL308" s="526">
        <f t="shared" si="78"/>
        <v>9757.56</v>
      </c>
      <c r="AM308" s="527">
        <f t="shared" si="74"/>
        <v>519.84</v>
      </c>
      <c r="AN308" s="387">
        <v>0</v>
      </c>
      <c r="AO308" s="387">
        <v>0</v>
      </c>
      <c r="AP308" s="73"/>
      <c r="AQ308" s="241">
        <v>11576.039999999994</v>
      </c>
      <c r="AR308" s="659">
        <v>45596.22</v>
      </c>
    </row>
    <row r="309" spans="1:44">
      <c r="A309" s="236" t="s">
        <v>278</v>
      </c>
      <c r="B309" s="236" t="s">
        <v>277</v>
      </c>
      <c r="C309" s="236" t="str">
        <f t="shared" si="81"/>
        <v>13073 WAHLUKE SCHOOL DISTRICT</v>
      </c>
      <c r="D309" s="387">
        <v>0</v>
      </c>
      <c r="E309" s="387">
        <v>0</v>
      </c>
      <c r="F309" s="387">
        <v>0</v>
      </c>
      <c r="G309" s="387">
        <v>4201252.82</v>
      </c>
      <c r="H309" s="387">
        <v>618714.15</v>
      </c>
      <c r="I309" s="387">
        <v>745886.69</v>
      </c>
      <c r="J309" s="387">
        <v>1526435.56</v>
      </c>
      <c r="K309" s="387">
        <v>2252426.35</v>
      </c>
      <c r="L309" s="387">
        <v>70949.149999999994</v>
      </c>
      <c r="M309" s="387">
        <v>1342184.31</v>
      </c>
      <c r="N309" s="388">
        <v>3.7999999999999999E-2</v>
      </c>
      <c r="O309" s="389">
        <v>0.14180000000000001</v>
      </c>
      <c r="P309" s="387">
        <v>0</v>
      </c>
      <c r="Q309" s="387">
        <v>0</v>
      </c>
      <c r="R309" s="387">
        <v>0</v>
      </c>
      <c r="S309" s="387">
        <v>0</v>
      </c>
      <c r="T309" s="387">
        <v>0</v>
      </c>
      <c r="U309" s="387">
        <v>0</v>
      </c>
      <c r="V309" s="387">
        <v>0</v>
      </c>
      <c r="W309" s="387">
        <v>0</v>
      </c>
      <c r="X309" s="387">
        <v>0</v>
      </c>
      <c r="Y309" s="387">
        <v>2765.6</v>
      </c>
      <c r="Z309" s="387">
        <v>9863.99</v>
      </c>
      <c r="AA309" s="387">
        <v>28097.119999999999</v>
      </c>
      <c r="AB309" s="387">
        <v>637330.82999999996</v>
      </c>
      <c r="AC309" s="387">
        <v>1848378.87</v>
      </c>
      <c r="AD309" s="525">
        <v>188.63</v>
      </c>
      <c r="AE309" s="387">
        <v>1747764.27</v>
      </c>
      <c r="AF309" s="526">
        <f t="shared" si="75"/>
        <v>9265.57</v>
      </c>
      <c r="AG309" s="526">
        <f t="shared" si="76"/>
        <v>9798.9699999999993</v>
      </c>
      <c r="AH309" s="527">
        <f t="shared" si="73"/>
        <v>533.4</v>
      </c>
      <c r="AI309" s="525">
        <v>66.75</v>
      </c>
      <c r="AJ309" s="387">
        <v>606442.28</v>
      </c>
      <c r="AK309" s="526">
        <f t="shared" si="77"/>
        <v>9085.2800000000007</v>
      </c>
      <c r="AL309" s="526">
        <f t="shared" si="78"/>
        <v>9548.0300000000007</v>
      </c>
      <c r="AM309" s="527">
        <f t="shared" si="74"/>
        <v>462.75</v>
      </c>
      <c r="AN309" s="387">
        <v>2079.69</v>
      </c>
      <c r="AO309" s="387">
        <v>552213</v>
      </c>
      <c r="AP309" s="73"/>
      <c r="AQ309" s="241">
        <v>0</v>
      </c>
      <c r="AR309" s="659">
        <v>293960.96999999997</v>
      </c>
    </row>
    <row r="310" spans="1:44">
      <c r="A310" s="236" t="s">
        <v>668</v>
      </c>
      <c r="B310" s="236" t="s">
        <v>667</v>
      </c>
      <c r="C310" s="236" t="str">
        <f t="shared" si="81"/>
        <v>36401 WAITSBURG SCHOOL DISTRICT</v>
      </c>
      <c r="D310" s="387">
        <v>0</v>
      </c>
      <c r="E310" s="387">
        <v>0</v>
      </c>
      <c r="F310" s="387">
        <v>0</v>
      </c>
      <c r="G310" s="387">
        <v>0</v>
      </c>
      <c r="H310" s="387">
        <v>0</v>
      </c>
      <c r="I310" s="387">
        <v>60008.89</v>
      </c>
      <c r="J310" s="387">
        <v>111352.23</v>
      </c>
      <c r="K310" s="387">
        <v>0</v>
      </c>
      <c r="L310" s="387">
        <v>0</v>
      </c>
      <c r="M310" s="387">
        <v>131079.10999999999</v>
      </c>
      <c r="N310" s="388">
        <v>6.5299999999999997E-2</v>
      </c>
      <c r="O310" s="389">
        <v>0.29049999999999998</v>
      </c>
      <c r="P310" s="387">
        <v>0</v>
      </c>
      <c r="Q310" s="387">
        <v>0</v>
      </c>
      <c r="R310" s="387">
        <v>0</v>
      </c>
      <c r="S310" s="387">
        <v>0</v>
      </c>
      <c r="T310" s="387">
        <v>0</v>
      </c>
      <c r="U310" s="387">
        <v>0</v>
      </c>
      <c r="V310" s="387">
        <v>0</v>
      </c>
      <c r="W310" s="387">
        <v>0</v>
      </c>
      <c r="X310" s="387">
        <v>0</v>
      </c>
      <c r="Y310" s="387">
        <v>0</v>
      </c>
      <c r="Z310" s="387">
        <v>1315.22</v>
      </c>
      <c r="AA310" s="387">
        <v>0</v>
      </c>
      <c r="AB310" s="387">
        <v>29730.69</v>
      </c>
      <c r="AC310" s="387">
        <v>147619.15</v>
      </c>
      <c r="AD310" s="525">
        <v>14.09</v>
      </c>
      <c r="AE310" s="387">
        <v>130481.51</v>
      </c>
      <c r="AF310" s="526">
        <f t="shared" si="75"/>
        <v>9260.58</v>
      </c>
      <c r="AG310" s="526">
        <f t="shared" si="76"/>
        <v>10476.870000000001</v>
      </c>
      <c r="AH310" s="527">
        <f t="shared" si="73"/>
        <v>1216.29</v>
      </c>
      <c r="AI310" s="525">
        <v>3.13</v>
      </c>
      <c r="AJ310" s="387">
        <v>28407.96</v>
      </c>
      <c r="AK310" s="526">
        <f t="shared" si="77"/>
        <v>9076.0300000000007</v>
      </c>
      <c r="AL310" s="526">
        <f t="shared" si="78"/>
        <v>9498.6200000000008</v>
      </c>
      <c r="AM310" s="527">
        <f t="shared" si="74"/>
        <v>422.59</v>
      </c>
      <c r="AN310" s="387">
        <v>0</v>
      </c>
      <c r="AO310" s="387">
        <v>0</v>
      </c>
      <c r="AP310" s="73"/>
      <c r="AQ310" s="241">
        <v>36216.069999999992</v>
      </c>
      <c r="AR310" s="659">
        <v>33535.54</v>
      </c>
    </row>
    <row r="311" spans="1:44">
      <c r="A311" s="236" t="s">
        <v>661</v>
      </c>
      <c r="B311" s="236" t="s">
        <v>660</v>
      </c>
      <c r="C311" s="236" t="str">
        <f t="shared" si="81"/>
        <v>36140 WALLA WALLA SCHOOL DISTRICT</v>
      </c>
      <c r="D311" s="387">
        <v>0</v>
      </c>
      <c r="E311" s="387">
        <v>223242.91</v>
      </c>
      <c r="F311" s="387">
        <v>0</v>
      </c>
      <c r="G311" s="387">
        <v>10078409.4</v>
      </c>
      <c r="H311" s="387">
        <v>1621160.56</v>
      </c>
      <c r="I311" s="387">
        <v>1526492</v>
      </c>
      <c r="J311" s="387">
        <v>2585706.13</v>
      </c>
      <c r="K311" s="387">
        <v>1411225.98</v>
      </c>
      <c r="L311" s="387">
        <v>164863.76</v>
      </c>
      <c r="M311" s="387">
        <v>2207417.63</v>
      </c>
      <c r="N311" s="388">
        <v>4.3499999999999997E-2</v>
      </c>
      <c r="O311" s="389">
        <v>0.1913</v>
      </c>
      <c r="P311" s="387">
        <v>0</v>
      </c>
      <c r="Q311" s="387">
        <v>0</v>
      </c>
      <c r="R311" s="387">
        <v>0</v>
      </c>
      <c r="S311" s="387">
        <v>170629.71</v>
      </c>
      <c r="T311" s="387">
        <v>10169.980000000038</v>
      </c>
      <c r="U311" s="387">
        <v>5805.28</v>
      </c>
      <c r="V311" s="387">
        <v>0</v>
      </c>
      <c r="W311" s="387">
        <v>0</v>
      </c>
      <c r="X311" s="387">
        <v>0</v>
      </c>
      <c r="Y311" s="387">
        <v>1873.11</v>
      </c>
      <c r="Z311" s="387">
        <v>4510.63</v>
      </c>
      <c r="AA311" s="387">
        <v>134233.26</v>
      </c>
      <c r="AB311" s="387">
        <v>539923.23</v>
      </c>
      <c r="AC311" s="387">
        <v>2691874.57</v>
      </c>
      <c r="AD311" s="525">
        <v>260.35000000000002</v>
      </c>
      <c r="AE311" s="387">
        <v>2424462.52</v>
      </c>
      <c r="AF311" s="526">
        <f t="shared" si="75"/>
        <v>9312.32</v>
      </c>
      <c r="AG311" s="526">
        <f t="shared" si="76"/>
        <v>10339.450000000001</v>
      </c>
      <c r="AH311" s="527">
        <f t="shared" si="73"/>
        <v>1027.1300000000001</v>
      </c>
      <c r="AI311" s="525">
        <v>56.24</v>
      </c>
      <c r="AJ311" s="387">
        <v>513462.19</v>
      </c>
      <c r="AK311" s="526">
        <f t="shared" si="77"/>
        <v>9129.84</v>
      </c>
      <c r="AL311" s="526">
        <f t="shared" si="78"/>
        <v>9600.34</v>
      </c>
      <c r="AM311" s="527">
        <f t="shared" si="74"/>
        <v>470.5</v>
      </c>
      <c r="AN311" s="387">
        <v>0</v>
      </c>
      <c r="AO311" s="387">
        <v>0</v>
      </c>
      <c r="AP311" s="73"/>
      <c r="AQ311" s="241">
        <v>365254.90999999992</v>
      </c>
      <c r="AR311" s="659">
        <v>593200.8600000001</v>
      </c>
    </row>
    <row r="312" spans="1:44">
      <c r="A312" s="236" t="s">
        <v>735</v>
      </c>
      <c r="B312" s="236" t="s">
        <v>734</v>
      </c>
      <c r="C312" s="236" t="str">
        <f t="shared" si="81"/>
        <v>39207 WAPATO SCHOOL DISTRICT</v>
      </c>
      <c r="D312" s="387">
        <v>0</v>
      </c>
      <c r="E312" s="387">
        <v>180636.35</v>
      </c>
      <c r="F312" s="387">
        <v>95592.31</v>
      </c>
      <c r="G312" s="387">
        <v>4749380.55</v>
      </c>
      <c r="H312" s="387">
        <v>774602.01</v>
      </c>
      <c r="I312" s="387">
        <v>989713.43</v>
      </c>
      <c r="J312" s="387">
        <v>1869699.42</v>
      </c>
      <c r="K312" s="387">
        <v>1947923.37</v>
      </c>
      <c r="L312" s="387">
        <v>94346.12</v>
      </c>
      <c r="M312" s="387">
        <v>1858876.34</v>
      </c>
      <c r="N312" s="388">
        <v>3.3500000000000002E-2</v>
      </c>
      <c r="O312" s="389">
        <v>0.19239999999999999</v>
      </c>
      <c r="P312" s="387">
        <v>0</v>
      </c>
      <c r="Q312" s="387">
        <v>0</v>
      </c>
      <c r="R312" s="387">
        <v>0</v>
      </c>
      <c r="S312" s="387">
        <v>0</v>
      </c>
      <c r="T312" s="387">
        <v>0</v>
      </c>
      <c r="U312" s="387">
        <v>0</v>
      </c>
      <c r="V312" s="387">
        <v>0</v>
      </c>
      <c r="W312" s="387">
        <v>0</v>
      </c>
      <c r="X312" s="387">
        <v>0</v>
      </c>
      <c r="Y312" s="387">
        <v>0</v>
      </c>
      <c r="Z312" s="387">
        <v>59505.9</v>
      </c>
      <c r="AA312" s="387">
        <v>0</v>
      </c>
      <c r="AB312" s="387">
        <v>550944.66</v>
      </c>
      <c r="AC312" s="387">
        <v>2342292.29</v>
      </c>
      <c r="AD312" s="525">
        <v>243.22</v>
      </c>
      <c r="AE312" s="387">
        <v>2253696.7200000002</v>
      </c>
      <c r="AF312" s="526">
        <f t="shared" si="75"/>
        <v>9266.08</v>
      </c>
      <c r="AG312" s="526">
        <f t="shared" si="76"/>
        <v>9630.34</v>
      </c>
      <c r="AH312" s="527">
        <f t="shared" si="73"/>
        <v>364.26</v>
      </c>
      <c r="AI312" s="525">
        <v>57.7</v>
      </c>
      <c r="AJ312" s="387">
        <v>524289.79</v>
      </c>
      <c r="AK312" s="526">
        <f t="shared" si="77"/>
        <v>9086.48</v>
      </c>
      <c r="AL312" s="526">
        <f t="shared" si="78"/>
        <v>9548.43</v>
      </c>
      <c r="AM312" s="527">
        <f t="shared" si="74"/>
        <v>461.95</v>
      </c>
      <c r="AN312" s="387">
        <v>1300</v>
      </c>
      <c r="AO312" s="387">
        <v>0</v>
      </c>
      <c r="AP312" s="73"/>
      <c r="AQ312" s="241">
        <v>716530.87000000011</v>
      </c>
      <c r="AR312" s="659">
        <v>381107.92000000004</v>
      </c>
    </row>
    <row r="313" spans="1:44">
      <c r="A313" s="236" t="s">
        <v>282</v>
      </c>
      <c r="B313" s="236" t="s">
        <v>281</v>
      </c>
      <c r="C313" s="236" t="str">
        <f t="shared" si="81"/>
        <v>13146 WARDEN SCHOOL DISTRICT</v>
      </c>
      <c r="D313" s="387">
        <v>2156.42</v>
      </c>
      <c r="E313" s="387">
        <v>50644.21</v>
      </c>
      <c r="F313" s="387">
        <v>26116.07</v>
      </c>
      <c r="G313" s="387">
        <v>1574108.07</v>
      </c>
      <c r="H313" s="387">
        <v>360221.25</v>
      </c>
      <c r="I313" s="387">
        <v>290295.71999999997</v>
      </c>
      <c r="J313" s="387">
        <v>521124.15</v>
      </c>
      <c r="K313" s="387">
        <v>476905.38</v>
      </c>
      <c r="L313" s="387">
        <v>28271.34</v>
      </c>
      <c r="M313" s="387">
        <v>444163.75</v>
      </c>
      <c r="N313" s="388">
        <v>3.8100000000000002E-2</v>
      </c>
      <c r="O313" s="389">
        <v>0.1573</v>
      </c>
      <c r="P313" s="387">
        <v>0</v>
      </c>
      <c r="Q313" s="387">
        <v>0</v>
      </c>
      <c r="R313" s="387">
        <v>0</v>
      </c>
      <c r="S313" s="387">
        <v>0</v>
      </c>
      <c r="T313" s="387">
        <v>0</v>
      </c>
      <c r="U313" s="387">
        <v>0</v>
      </c>
      <c r="V313" s="387">
        <v>0</v>
      </c>
      <c r="W313" s="387">
        <v>0</v>
      </c>
      <c r="X313" s="387">
        <v>0</v>
      </c>
      <c r="Y313" s="387">
        <v>1059.83</v>
      </c>
      <c r="Z313" s="387">
        <v>2612.41</v>
      </c>
      <c r="AA313" s="387">
        <v>34559.449999999997</v>
      </c>
      <c r="AB313" s="387">
        <v>93111.65</v>
      </c>
      <c r="AC313" s="387">
        <v>536535.34</v>
      </c>
      <c r="AD313" s="525">
        <v>51.2</v>
      </c>
      <c r="AE313" s="387">
        <v>474447.42</v>
      </c>
      <c r="AF313" s="526">
        <f t="shared" si="75"/>
        <v>9266.5499999999993</v>
      </c>
      <c r="AG313" s="526">
        <f t="shared" si="76"/>
        <v>10479.209999999999</v>
      </c>
      <c r="AH313" s="527">
        <f t="shared" si="73"/>
        <v>1212.6600000000001</v>
      </c>
      <c r="AI313" s="525">
        <v>9.75</v>
      </c>
      <c r="AJ313" s="387">
        <v>88680.55</v>
      </c>
      <c r="AK313" s="526">
        <f t="shared" si="77"/>
        <v>9095.44</v>
      </c>
      <c r="AL313" s="526">
        <f t="shared" si="78"/>
        <v>9549.91</v>
      </c>
      <c r="AM313" s="527">
        <f t="shared" si="74"/>
        <v>454.47</v>
      </c>
      <c r="AN313" s="387">
        <v>4117.68</v>
      </c>
      <c r="AO313" s="387">
        <v>0</v>
      </c>
      <c r="AP313" s="73"/>
      <c r="AQ313" s="241">
        <v>3606.390000000014</v>
      </c>
      <c r="AR313" s="659">
        <v>108906.67</v>
      </c>
    </row>
    <row r="314" spans="1:44">
      <c r="A314" s="236" t="s">
        <v>221</v>
      </c>
      <c r="B314" s="236" t="s">
        <v>220</v>
      </c>
      <c r="C314" s="236" t="str">
        <f t="shared" si="81"/>
        <v>06112 WASHOUGAL SCHOOL DISTRICT</v>
      </c>
      <c r="D314" s="387">
        <v>0</v>
      </c>
      <c r="E314" s="387">
        <v>0</v>
      </c>
      <c r="F314" s="387">
        <v>0</v>
      </c>
      <c r="G314" s="387">
        <v>6480870.1500000004</v>
      </c>
      <c r="H314" s="387">
        <v>1013076.16</v>
      </c>
      <c r="I314" s="387">
        <v>95606.85</v>
      </c>
      <c r="J314" s="387">
        <v>750496.65</v>
      </c>
      <c r="K314" s="387">
        <v>180360.14</v>
      </c>
      <c r="L314" s="387">
        <v>84439.4</v>
      </c>
      <c r="M314" s="387">
        <v>2506132.4</v>
      </c>
      <c r="N314" s="388">
        <v>2.2599999999999999E-2</v>
      </c>
      <c r="O314" s="389">
        <v>0.17460000000000001</v>
      </c>
      <c r="P314" s="387">
        <v>0</v>
      </c>
      <c r="Q314" s="387">
        <v>0</v>
      </c>
      <c r="R314" s="387">
        <v>0</v>
      </c>
      <c r="S314" s="387">
        <v>0</v>
      </c>
      <c r="T314" s="387">
        <v>0</v>
      </c>
      <c r="U314" s="387">
        <v>0</v>
      </c>
      <c r="V314" s="387">
        <v>0</v>
      </c>
      <c r="W314" s="387">
        <v>0</v>
      </c>
      <c r="X314" s="387">
        <v>0</v>
      </c>
      <c r="Y314" s="387">
        <v>3030</v>
      </c>
      <c r="Z314" s="387">
        <v>0</v>
      </c>
      <c r="AA314" s="387">
        <v>0</v>
      </c>
      <c r="AB314" s="387">
        <v>361335.11</v>
      </c>
      <c r="AC314" s="387">
        <v>1905629.86</v>
      </c>
      <c r="AD314" s="525">
        <v>190.79</v>
      </c>
      <c r="AE314" s="387">
        <v>1840923.28</v>
      </c>
      <c r="AF314" s="526">
        <f t="shared" si="75"/>
        <v>9648.9500000000007</v>
      </c>
      <c r="AG314" s="526">
        <f t="shared" si="76"/>
        <v>9988.1</v>
      </c>
      <c r="AH314" s="527">
        <f t="shared" si="73"/>
        <v>339.15</v>
      </c>
      <c r="AI314" s="525">
        <v>36.31</v>
      </c>
      <c r="AJ314" s="387">
        <v>343857.71</v>
      </c>
      <c r="AK314" s="526">
        <f t="shared" si="77"/>
        <v>9470.06</v>
      </c>
      <c r="AL314" s="526">
        <f t="shared" si="78"/>
        <v>9951.39</v>
      </c>
      <c r="AM314" s="527">
        <f t="shared" si="74"/>
        <v>481.33</v>
      </c>
      <c r="AN314" s="387">
        <v>0</v>
      </c>
      <c r="AO314" s="387">
        <v>0</v>
      </c>
      <c r="AP314" s="73"/>
      <c r="AQ314" s="241">
        <v>121572.3900000001</v>
      </c>
      <c r="AR314" s="659">
        <v>303607.50999999995</v>
      </c>
    </row>
    <row r="315" spans="1:44">
      <c r="A315" s="236" t="s">
        <v>164</v>
      </c>
      <c r="B315" s="236" t="s">
        <v>163</v>
      </c>
      <c r="C315" s="236" t="str">
        <f t="shared" si="81"/>
        <v>01109 WASHTUCNA SCHOOL DISTRICT</v>
      </c>
      <c r="D315" s="387">
        <v>0</v>
      </c>
      <c r="E315" s="387">
        <v>0</v>
      </c>
      <c r="F315" s="387">
        <v>0</v>
      </c>
      <c r="G315" s="387">
        <v>121410.81</v>
      </c>
      <c r="H315" s="387">
        <v>11574.17</v>
      </c>
      <c r="I315" s="387">
        <v>20905.62</v>
      </c>
      <c r="J315" s="387">
        <v>33795.620000000003</v>
      </c>
      <c r="K315" s="387">
        <v>0</v>
      </c>
      <c r="L315" s="387">
        <v>1841.42</v>
      </c>
      <c r="M315" s="387">
        <v>158994.34</v>
      </c>
      <c r="N315" s="388">
        <v>4.2900000000000001E-2</v>
      </c>
      <c r="O315" s="389">
        <v>0.28170000000000001</v>
      </c>
      <c r="P315" s="387">
        <v>0</v>
      </c>
      <c r="Q315" s="387">
        <v>0</v>
      </c>
      <c r="R315" s="387">
        <v>0</v>
      </c>
      <c r="S315" s="387">
        <v>0</v>
      </c>
      <c r="T315" s="387">
        <v>0</v>
      </c>
      <c r="U315" s="387">
        <v>0</v>
      </c>
      <c r="V315" s="387">
        <v>0</v>
      </c>
      <c r="W315" s="387">
        <v>0</v>
      </c>
      <c r="X315" s="387">
        <v>0</v>
      </c>
      <c r="Y315" s="387">
        <v>0</v>
      </c>
      <c r="Z315" s="387">
        <v>0</v>
      </c>
      <c r="AA315" s="387">
        <v>0</v>
      </c>
      <c r="AB315" s="387">
        <v>6745.04</v>
      </c>
      <c r="AC315" s="387">
        <v>35246.86</v>
      </c>
      <c r="AD315" s="525">
        <v>3.69</v>
      </c>
      <c r="AE315" s="387">
        <v>34143.699999999997</v>
      </c>
      <c r="AF315" s="526">
        <f t="shared" si="75"/>
        <v>9253.0400000000009</v>
      </c>
      <c r="AG315" s="526">
        <f t="shared" si="76"/>
        <v>9551.99</v>
      </c>
      <c r="AH315" s="527">
        <f t="shared" si="73"/>
        <v>298.95</v>
      </c>
      <c r="AI315" s="525">
        <v>0.7</v>
      </c>
      <c r="AJ315" s="387">
        <v>6288.2</v>
      </c>
      <c r="AK315" s="526">
        <f t="shared" si="77"/>
        <v>8983.14</v>
      </c>
      <c r="AL315" s="526">
        <f t="shared" si="78"/>
        <v>9635.77</v>
      </c>
      <c r="AM315" s="527">
        <f t="shared" si="74"/>
        <v>652.63</v>
      </c>
      <c r="AN315" s="387">
        <v>0</v>
      </c>
      <c r="AO315" s="387">
        <v>0</v>
      </c>
      <c r="AP315" s="73"/>
      <c r="AQ315" s="241">
        <v>0</v>
      </c>
      <c r="AR315" s="659">
        <v>21199.97</v>
      </c>
    </row>
    <row r="316" spans="1:44">
      <c r="A316" s="236" t="s">
        <v>256</v>
      </c>
      <c r="B316" s="236" t="s">
        <v>255</v>
      </c>
      <c r="C316" s="236" t="str">
        <f t="shared" si="81"/>
        <v>09209 WATERVILLE SCHOOL DISTRICT</v>
      </c>
      <c r="D316" s="387">
        <v>0</v>
      </c>
      <c r="E316" s="387">
        <v>0</v>
      </c>
      <c r="F316" s="387">
        <v>0</v>
      </c>
      <c r="G316" s="387">
        <v>0</v>
      </c>
      <c r="H316" s="387">
        <v>0</v>
      </c>
      <c r="I316" s="387">
        <v>81131.149999999994</v>
      </c>
      <c r="J316" s="387">
        <v>98895.52</v>
      </c>
      <c r="K316" s="387">
        <v>41368.04</v>
      </c>
      <c r="L316" s="387">
        <v>7474.03</v>
      </c>
      <c r="M316" s="387">
        <v>325810.19</v>
      </c>
      <c r="N316" s="388">
        <v>7.5899999999999995E-2</v>
      </c>
      <c r="O316" s="389">
        <v>0.28549999999999998</v>
      </c>
      <c r="P316" s="387">
        <v>0</v>
      </c>
      <c r="Q316" s="387">
        <v>0</v>
      </c>
      <c r="R316" s="387">
        <v>0</v>
      </c>
      <c r="S316" s="387">
        <v>0</v>
      </c>
      <c r="T316" s="387">
        <v>0</v>
      </c>
      <c r="U316" s="387">
        <v>0</v>
      </c>
      <c r="V316" s="387">
        <v>0</v>
      </c>
      <c r="W316" s="387">
        <v>0</v>
      </c>
      <c r="X316" s="387">
        <v>0</v>
      </c>
      <c r="Y316" s="387">
        <v>286.70999999999998</v>
      </c>
      <c r="Z316" s="387">
        <v>0</v>
      </c>
      <c r="AA316" s="387">
        <v>0</v>
      </c>
      <c r="AB316" s="387">
        <v>124419.17</v>
      </c>
      <c r="AC316" s="387">
        <v>208716.31</v>
      </c>
      <c r="AD316" s="525">
        <v>21.53</v>
      </c>
      <c r="AE316" s="387">
        <v>199396.57</v>
      </c>
      <c r="AF316" s="526">
        <f t="shared" si="75"/>
        <v>9261.34</v>
      </c>
      <c r="AG316" s="526">
        <f t="shared" si="76"/>
        <v>9694.2099999999991</v>
      </c>
      <c r="AH316" s="527">
        <f t="shared" si="73"/>
        <v>432.87</v>
      </c>
      <c r="AI316" s="525">
        <v>13.03</v>
      </c>
      <c r="AJ316" s="387">
        <v>118453.64</v>
      </c>
      <c r="AK316" s="526">
        <f t="shared" si="77"/>
        <v>9090.84</v>
      </c>
      <c r="AL316" s="526">
        <f t="shared" si="78"/>
        <v>9548.67</v>
      </c>
      <c r="AM316" s="527">
        <f t="shared" si="74"/>
        <v>457.83</v>
      </c>
      <c r="AN316" s="387">
        <v>0</v>
      </c>
      <c r="AO316" s="387">
        <v>0</v>
      </c>
      <c r="AP316" s="73"/>
      <c r="AQ316" s="241">
        <v>0</v>
      </c>
      <c r="AR316" s="659">
        <v>35549.759999999995</v>
      </c>
    </row>
    <row r="317" spans="1:44">
      <c r="A317" s="236" t="s">
        <v>623</v>
      </c>
      <c r="B317" s="236" t="s">
        <v>622</v>
      </c>
      <c r="C317" s="236" t="str">
        <f t="shared" si="81"/>
        <v>33049 WELLPINIT SCHOOL DISTRICT</v>
      </c>
      <c r="D317" s="387">
        <v>0</v>
      </c>
      <c r="E317" s="387">
        <v>0</v>
      </c>
      <c r="F317" s="387">
        <v>11875.02</v>
      </c>
      <c r="G317" s="387">
        <v>800964.94</v>
      </c>
      <c r="H317" s="387">
        <v>83346.009999999995</v>
      </c>
      <c r="I317" s="387">
        <v>107777.72</v>
      </c>
      <c r="J317" s="387">
        <v>223787.67</v>
      </c>
      <c r="K317" s="387">
        <v>0</v>
      </c>
      <c r="L317" s="387">
        <v>12998.33</v>
      </c>
      <c r="M317" s="387">
        <v>383601.79</v>
      </c>
      <c r="N317" s="388">
        <v>6.9800000000000001E-2</v>
      </c>
      <c r="O317" s="389">
        <v>0.34229999999999999</v>
      </c>
      <c r="P317" s="387">
        <v>0</v>
      </c>
      <c r="Q317" s="387">
        <v>0</v>
      </c>
      <c r="R317" s="387">
        <v>0</v>
      </c>
      <c r="S317" s="387">
        <v>0</v>
      </c>
      <c r="T317" s="387">
        <v>0</v>
      </c>
      <c r="U317" s="387">
        <v>0</v>
      </c>
      <c r="V317" s="387">
        <v>0</v>
      </c>
      <c r="W317" s="387">
        <v>0</v>
      </c>
      <c r="X317" s="387">
        <v>0</v>
      </c>
      <c r="Y317" s="387">
        <v>0</v>
      </c>
      <c r="Z317" s="387">
        <v>0</v>
      </c>
      <c r="AA317" s="387">
        <v>0</v>
      </c>
      <c r="AB317" s="387">
        <v>0</v>
      </c>
      <c r="AC317" s="387">
        <v>137304.32999999999</v>
      </c>
      <c r="AD317" s="525">
        <v>14.3</v>
      </c>
      <c r="AE317" s="387">
        <v>132548.14000000001</v>
      </c>
      <c r="AF317" s="526">
        <f t="shared" si="75"/>
        <v>9269.1</v>
      </c>
      <c r="AG317" s="526">
        <f t="shared" si="76"/>
        <v>9601.7000000000007</v>
      </c>
      <c r="AH317" s="527">
        <f t="shared" si="73"/>
        <v>332.6</v>
      </c>
      <c r="AI317" s="525">
        <v>0</v>
      </c>
      <c r="AJ317" s="387">
        <v>0</v>
      </c>
      <c r="AK317" s="526">
        <f t="shared" si="77"/>
        <v>0</v>
      </c>
      <c r="AL317" s="526">
        <f t="shared" si="78"/>
        <v>0</v>
      </c>
      <c r="AM317" s="527">
        <f t="shared" si="74"/>
        <v>0</v>
      </c>
      <c r="AN317" s="387">
        <v>0</v>
      </c>
      <c r="AO317" s="387">
        <v>0</v>
      </c>
      <c r="AP317" s="73"/>
      <c r="AQ317" s="241">
        <v>2550.669999999991</v>
      </c>
      <c r="AR317" s="659">
        <v>46615.08</v>
      </c>
    </row>
    <row r="318" spans="1:44">
      <c r="A318" s="236" t="s">
        <v>202</v>
      </c>
      <c r="B318" s="236" t="s">
        <v>201</v>
      </c>
      <c r="C318" s="236" t="str">
        <f t="shared" si="81"/>
        <v>04246 WENATCHEE SCHOOL DISTRICT</v>
      </c>
      <c r="D318" s="387">
        <v>0</v>
      </c>
      <c r="E318" s="387">
        <v>282915.65000000002</v>
      </c>
      <c r="F318" s="387">
        <v>186548.98</v>
      </c>
      <c r="G318" s="387">
        <v>13216429.689999999</v>
      </c>
      <c r="H318" s="387">
        <v>1571462.06</v>
      </c>
      <c r="I318" s="387">
        <v>1896995.87</v>
      </c>
      <c r="J318" s="387">
        <v>2929278.78</v>
      </c>
      <c r="K318" s="387">
        <v>2816119.35</v>
      </c>
      <c r="L318" s="387">
        <v>215880.36</v>
      </c>
      <c r="M318" s="387">
        <v>2740295.56</v>
      </c>
      <c r="N318" s="388">
        <v>3.1600000000000003E-2</v>
      </c>
      <c r="O318" s="389">
        <v>0.1231</v>
      </c>
      <c r="P318" s="387">
        <v>0</v>
      </c>
      <c r="Q318" s="387">
        <v>0</v>
      </c>
      <c r="R318" s="387">
        <v>0</v>
      </c>
      <c r="S318" s="387">
        <v>189135.65999999997</v>
      </c>
      <c r="T318" s="387">
        <v>0</v>
      </c>
      <c r="U318" s="387">
        <v>5849.42</v>
      </c>
      <c r="V318" s="387">
        <v>0</v>
      </c>
      <c r="W318" s="387">
        <v>0</v>
      </c>
      <c r="X318" s="387">
        <v>0</v>
      </c>
      <c r="Y318" s="387">
        <v>7952.07</v>
      </c>
      <c r="Z318" s="387">
        <v>13241.68</v>
      </c>
      <c r="AA318" s="387">
        <v>57495.01</v>
      </c>
      <c r="AB318" s="387">
        <v>2754510.79</v>
      </c>
      <c r="AC318" s="387">
        <v>6867275.6200000001</v>
      </c>
      <c r="AD318" s="525">
        <v>691.85</v>
      </c>
      <c r="AE318" s="387">
        <v>6410537.21</v>
      </c>
      <c r="AF318" s="526">
        <f t="shared" si="75"/>
        <v>9265.7900000000009</v>
      </c>
      <c r="AG318" s="526">
        <f t="shared" si="76"/>
        <v>9925.9599999999991</v>
      </c>
      <c r="AH318" s="527">
        <f t="shared" si="73"/>
        <v>660.17</v>
      </c>
      <c r="AI318" s="525">
        <v>288.45999999999998</v>
      </c>
      <c r="AJ318" s="387">
        <v>2620475.35</v>
      </c>
      <c r="AK318" s="526">
        <f t="shared" si="77"/>
        <v>9084.36</v>
      </c>
      <c r="AL318" s="526">
        <f t="shared" si="78"/>
        <v>9549.02</v>
      </c>
      <c r="AM318" s="527">
        <f t="shared" si="74"/>
        <v>464.66</v>
      </c>
      <c r="AN318" s="387">
        <v>7618.05</v>
      </c>
      <c r="AO318" s="387">
        <v>0</v>
      </c>
      <c r="AP318" s="73"/>
      <c r="AQ318" s="241">
        <v>127742.5499999997</v>
      </c>
      <c r="AR318" s="659">
        <v>756467.6100000001</v>
      </c>
    </row>
    <row r="319" spans="1:44">
      <c r="A319" s="236" t="s">
        <v>803</v>
      </c>
      <c r="B319" s="236" t="s">
        <v>613</v>
      </c>
      <c r="C319" s="236" t="str">
        <f t="shared" si="81"/>
        <v>32363 WEST VALLEY (SPOKANE) SCHOOL DISTRICT</v>
      </c>
      <c r="D319" s="387">
        <v>0</v>
      </c>
      <c r="E319" s="387">
        <v>6723.69</v>
      </c>
      <c r="F319" s="387">
        <v>0</v>
      </c>
      <c r="G319" s="387">
        <v>6112339.46</v>
      </c>
      <c r="H319" s="387">
        <v>798339.56</v>
      </c>
      <c r="I319" s="387">
        <v>583516.05000000005</v>
      </c>
      <c r="J319" s="387">
        <v>1220216.8999999999</v>
      </c>
      <c r="K319" s="387">
        <v>280513.76</v>
      </c>
      <c r="L319" s="387">
        <v>105936.28</v>
      </c>
      <c r="M319" s="387">
        <v>2182759.23</v>
      </c>
      <c r="N319" s="388">
        <v>4.7399999999999998E-2</v>
      </c>
      <c r="O319" s="389">
        <v>0.1925</v>
      </c>
      <c r="P319" s="387">
        <v>0</v>
      </c>
      <c r="Q319" s="387">
        <v>0</v>
      </c>
      <c r="R319" s="387">
        <v>0</v>
      </c>
      <c r="S319" s="387">
        <v>0</v>
      </c>
      <c r="T319" s="387">
        <v>0</v>
      </c>
      <c r="U319" s="387">
        <v>0</v>
      </c>
      <c r="V319" s="387">
        <v>0</v>
      </c>
      <c r="W319" s="387">
        <v>0</v>
      </c>
      <c r="X319" s="387">
        <v>0</v>
      </c>
      <c r="Y319" s="387">
        <v>3896.82</v>
      </c>
      <c r="Z319" s="387">
        <v>64548.04</v>
      </c>
      <c r="AA319" s="387">
        <v>112082.33</v>
      </c>
      <c r="AB319" s="387">
        <v>945942.35</v>
      </c>
      <c r="AC319" s="387">
        <v>1445287.71</v>
      </c>
      <c r="AD319" s="525">
        <v>147.12</v>
      </c>
      <c r="AE319" s="387">
        <v>1363357.82</v>
      </c>
      <c r="AF319" s="526">
        <f t="shared" si="75"/>
        <v>9266.98</v>
      </c>
      <c r="AG319" s="526">
        <f t="shared" si="76"/>
        <v>9823.8700000000008</v>
      </c>
      <c r="AH319" s="527">
        <f t="shared" si="73"/>
        <v>556.89</v>
      </c>
      <c r="AI319" s="525">
        <v>99.07</v>
      </c>
      <c r="AJ319" s="387">
        <v>899930.17</v>
      </c>
      <c r="AK319" s="526">
        <f t="shared" si="77"/>
        <v>9083.7800000000007</v>
      </c>
      <c r="AL319" s="526">
        <f t="shared" si="78"/>
        <v>9548.2199999999993</v>
      </c>
      <c r="AM319" s="527">
        <f t="shared" si="74"/>
        <v>464.44</v>
      </c>
      <c r="AN319" s="387">
        <v>0</v>
      </c>
      <c r="AO319" s="387">
        <v>0</v>
      </c>
      <c r="AP319" s="73"/>
      <c r="AQ319" s="241">
        <v>34369.820000000065</v>
      </c>
      <c r="AR319" s="659">
        <v>308851.41000000003</v>
      </c>
    </row>
    <row r="320" spans="1:44">
      <c r="A320" s="236" t="s">
        <v>808</v>
      </c>
      <c r="B320" s="236" t="s">
        <v>736</v>
      </c>
      <c r="C320" s="236" t="str">
        <f t="shared" si="81"/>
        <v>39208 WEST VALLEY (YAKIMA) SCHOOL DISTRICT</v>
      </c>
      <c r="D320" s="387">
        <v>0</v>
      </c>
      <c r="E320" s="387">
        <v>145504.32000000001</v>
      </c>
      <c r="F320" s="387">
        <v>28342.68</v>
      </c>
      <c r="G320" s="387">
        <v>9192671.1899999995</v>
      </c>
      <c r="H320" s="387">
        <v>1415771.35</v>
      </c>
      <c r="I320" s="387">
        <v>939019.99</v>
      </c>
      <c r="J320" s="387">
        <v>1870999.25</v>
      </c>
      <c r="K320" s="387">
        <v>895277.09</v>
      </c>
      <c r="L320" s="387">
        <v>165620.21</v>
      </c>
      <c r="M320" s="387">
        <v>3195143.5</v>
      </c>
      <c r="N320" s="388">
        <v>6.2300000000000001E-2</v>
      </c>
      <c r="O320" s="389">
        <v>0.18890000000000001</v>
      </c>
      <c r="P320" s="387">
        <v>0</v>
      </c>
      <c r="Q320" s="387">
        <v>0</v>
      </c>
      <c r="R320" s="387">
        <v>0</v>
      </c>
      <c r="S320" s="387">
        <v>0</v>
      </c>
      <c r="T320" s="387">
        <v>0</v>
      </c>
      <c r="U320" s="387">
        <v>0</v>
      </c>
      <c r="V320" s="387">
        <v>0</v>
      </c>
      <c r="W320" s="387">
        <v>0</v>
      </c>
      <c r="X320" s="387">
        <v>0</v>
      </c>
      <c r="Y320" s="387">
        <v>5706.34</v>
      </c>
      <c r="Z320" s="387">
        <v>269070.13</v>
      </c>
      <c r="AA320" s="387">
        <v>212323.73</v>
      </c>
      <c r="AB320" s="387">
        <v>2758706.57</v>
      </c>
      <c r="AC320" s="387">
        <v>3791482.96</v>
      </c>
      <c r="AD320" s="525">
        <v>386.33</v>
      </c>
      <c r="AE320" s="387">
        <v>3579692.59</v>
      </c>
      <c r="AF320" s="526">
        <f t="shared" si="75"/>
        <v>9265.89</v>
      </c>
      <c r="AG320" s="526">
        <f t="shared" si="76"/>
        <v>9814.1</v>
      </c>
      <c r="AH320" s="527">
        <f t="shared" si="73"/>
        <v>548.21</v>
      </c>
      <c r="AI320" s="525">
        <v>288.89999999999998</v>
      </c>
      <c r="AJ320" s="387">
        <v>2624356.9300000002</v>
      </c>
      <c r="AK320" s="526">
        <f t="shared" si="77"/>
        <v>9083.9599999999991</v>
      </c>
      <c r="AL320" s="526">
        <f t="shared" si="78"/>
        <v>9549</v>
      </c>
      <c r="AM320" s="527">
        <f t="shared" si="74"/>
        <v>465.04</v>
      </c>
      <c r="AN320" s="387">
        <v>1400</v>
      </c>
      <c r="AO320" s="387">
        <v>0</v>
      </c>
      <c r="AP320" s="73"/>
      <c r="AQ320" s="241">
        <v>0</v>
      </c>
      <c r="AR320" s="659">
        <v>577378.86</v>
      </c>
    </row>
    <row r="321" spans="1:44">
      <c r="A321" s="236" t="s">
        <v>1695</v>
      </c>
      <c r="B321" s="238" t="s">
        <v>1692</v>
      </c>
      <c r="C321" s="236" t="str">
        <f>CONCATENATE(B321," ",A321," CHARTER")</f>
        <v>37902 WHATCOM INTERGENERATIONAL CHARTER</v>
      </c>
      <c r="D321" s="387">
        <v>0</v>
      </c>
      <c r="E321" s="387">
        <v>0</v>
      </c>
      <c r="F321" s="387">
        <v>0</v>
      </c>
      <c r="G321" s="387">
        <v>175953.83</v>
      </c>
      <c r="H321" s="387">
        <v>34193.94</v>
      </c>
      <c r="I321" s="387">
        <v>0</v>
      </c>
      <c r="J321" s="387">
        <v>20625.560000000001</v>
      </c>
      <c r="K321" s="387">
        <v>0</v>
      </c>
      <c r="L321" s="387">
        <v>0</v>
      </c>
      <c r="M321" s="387">
        <v>0</v>
      </c>
      <c r="N321" s="388">
        <v>3.5000000000000003E-2</v>
      </c>
      <c r="O321" s="389">
        <v>0.14979999999999999</v>
      </c>
      <c r="P321" s="387">
        <v>0</v>
      </c>
      <c r="Q321" s="387">
        <v>0</v>
      </c>
      <c r="R321" s="387">
        <v>0</v>
      </c>
      <c r="S321" s="387">
        <v>0</v>
      </c>
      <c r="T321" s="387">
        <v>0</v>
      </c>
      <c r="U321" s="387">
        <v>0</v>
      </c>
      <c r="V321" s="387">
        <v>0</v>
      </c>
      <c r="W321" s="387">
        <v>0</v>
      </c>
      <c r="X321" s="387">
        <v>0</v>
      </c>
      <c r="Y321" s="387">
        <v>0</v>
      </c>
      <c r="Z321" s="387">
        <v>0</v>
      </c>
      <c r="AA321" s="387">
        <v>0</v>
      </c>
      <c r="AB321" s="387">
        <v>0</v>
      </c>
      <c r="AC321" s="387">
        <v>6700.76</v>
      </c>
      <c r="AD321" s="525">
        <v>0</v>
      </c>
      <c r="AE321" s="387">
        <v>0</v>
      </c>
      <c r="AF321" s="526">
        <f t="shared" si="75"/>
        <v>0</v>
      </c>
      <c r="AG321" s="526">
        <f t="shared" si="76"/>
        <v>0</v>
      </c>
      <c r="AH321" s="527">
        <f t="shared" si="73"/>
        <v>0</v>
      </c>
      <c r="AI321" s="525">
        <v>0</v>
      </c>
      <c r="AJ321" s="387">
        <v>0</v>
      </c>
      <c r="AK321" s="526">
        <f t="shared" si="77"/>
        <v>0</v>
      </c>
      <c r="AL321" s="526">
        <f t="shared" si="78"/>
        <v>0</v>
      </c>
      <c r="AM321" s="527">
        <f t="shared" si="74"/>
        <v>0</v>
      </c>
      <c r="AN321" s="387">
        <v>0</v>
      </c>
      <c r="AO321" s="387">
        <v>0</v>
      </c>
      <c r="AP321" s="73"/>
      <c r="AQ321" s="241">
        <v>5225.3900000000031</v>
      </c>
      <c r="AR321" s="659">
        <v>16816.41</v>
      </c>
    </row>
    <row r="322" spans="1:44">
      <c r="A322" s="236" t="s">
        <v>439</v>
      </c>
      <c r="B322" s="236" t="s">
        <v>438</v>
      </c>
      <c r="C322" s="236" t="str">
        <f>CONCATENATE(B322," ",A322," SCHOOL DISTRICT")</f>
        <v>21303 WHITE PASS SCHOOL DISTRICT</v>
      </c>
      <c r="D322" s="387">
        <v>0</v>
      </c>
      <c r="E322" s="387">
        <v>15482.87</v>
      </c>
      <c r="F322" s="387">
        <v>6629.14</v>
      </c>
      <c r="G322" s="387">
        <v>709491.62</v>
      </c>
      <c r="H322" s="387">
        <v>95879.73</v>
      </c>
      <c r="I322" s="387">
        <v>106586.2</v>
      </c>
      <c r="J322" s="387">
        <v>161829.04</v>
      </c>
      <c r="K322" s="387">
        <v>0</v>
      </c>
      <c r="L322" s="387">
        <v>10831.92</v>
      </c>
      <c r="M322" s="387">
        <v>540925.56999999995</v>
      </c>
      <c r="N322" s="388">
        <v>6.9000000000000006E-2</v>
      </c>
      <c r="O322" s="389">
        <v>0.21679999999999999</v>
      </c>
      <c r="P322" s="387">
        <v>0</v>
      </c>
      <c r="Q322" s="387">
        <v>0</v>
      </c>
      <c r="R322" s="387">
        <v>0</v>
      </c>
      <c r="S322" s="387">
        <v>0</v>
      </c>
      <c r="T322" s="387">
        <v>0</v>
      </c>
      <c r="U322" s="387">
        <v>0</v>
      </c>
      <c r="V322" s="387">
        <v>0</v>
      </c>
      <c r="W322" s="387">
        <v>0</v>
      </c>
      <c r="X322" s="387">
        <v>0</v>
      </c>
      <c r="Y322" s="387">
        <v>431.74</v>
      </c>
      <c r="Z322" s="387">
        <v>0</v>
      </c>
      <c r="AA322" s="387">
        <v>0</v>
      </c>
      <c r="AB322" s="387">
        <v>59254.83</v>
      </c>
      <c r="AC322" s="387">
        <v>139911.14000000001</v>
      </c>
      <c r="AD322" s="525">
        <v>14.66</v>
      </c>
      <c r="AE322" s="387">
        <v>135857.07999999999</v>
      </c>
      <c r="AF322" s="526">
        <f t="shared" si="75"/>
        <v>9267.2000000000007</v>
      </c>
      <c r="AG322" s="526">
        <f t="shared" si="76"/>
        <v>9543.73</v>
      </c>
      <c r="AH322" s="527">
        <f t="shared" si="73"/>
        <v>276.52999999999997</v>
      </c>
      <c r="AI322" s="525">
        <v>6.21</v>
      </c>
      <c r="AJ322" s="387">
        <v>56457.59</v>
      </c>
      <c r="AK322" s="526">
        <f t="shared" si="77"/>
        <v>9091.4</v>
      </c>
      <c r="AL322" s="526">
        <f t="shared" si="78"/>
        <v>9541.84</v>
      </c>
      <c r="AM322" s="527">
        <f t="shared" si="74"/>
        <v>450.44</v>
      </c>
      <c r="AN322" s="387">
        <v>182.77</v>
      </c>
      <c r="AO322" s="387">
        <v>0</v>
      </c>
      <c r="AP322" s="73"/>
      <c r="AQ322" s="241">
        <v>84151.560000000012</v>
      </c>
      <c r="AR322" s="659">
        <v>46987.03</v>
      </c>
    </row>
    <row r="323" spans="1:44">
      <c r="A323" s="236" t="s">
        <v>532</v>
      </c>
      <c r="B323" s="236" t="s">
        <v>531</v>
      </c>
      <c r="C323" s="236" t="str">
        <f>CONCATENATE(B323," ",A323," SCHOOL DISTRICT")</f>
        <v>27416 WHITE RIVER SCHOOL DISTRICT</v>
      </c>
      <c r="D323" s="387">
        <v>0</v>
      </c>
      <c r="E323" s="387">
        <v>93082.31</v>
      </c>
      <c r="F323" s="387">
        <v>0</v>
      </c>
      <c r="G323" s="387">
        <v>7321997.6299999999</v>
      </c>
      <c r="H323" s="387">
        <v>1267517.5900000001</v>
      </c>
      <c r="I323" s="387">
        <v>0</v>
      </c>
      <c r="J323" s="387">
        <v>991394</v>
      </c>
      <c r="K323" s="387">
        <v>409623.9</v>
      </c>
      <c r="L323" s="387">
        <v>141302.13</v>
      </c>
      <c r="M323" s="387">
        <v>3734205.3</v>
      </c>
      <c r="N323" s="388">
        <v>4.4499999999999998E-2</v>
      </c>
      <c r="O323" s="389">
        <v>0.15890000000000001</v>
      </c>
      <c r="P323" s="387">
        <v>0</v>
      </c>
      <c r="Q323" s="387">
        <v>0</v>
      </c>
      <c r="R323" s="387">
        <v>0</v>
      </c>
      <c r="S323" s="387">
        <v>0</v>
      </c>
      <c r="T323" s="387">
        <v>0</v>
      </c>
      <c r="U323" s="387">
        <v>0</v>
      </c>
      <c r="V323" s="387">
        <v>242706.95</v>
      </c>
      <c r="W323" s="387">
        <v>22424.895000000004</v>
      </c>
      <c r="X323" s="387">
        <v>9721.2999999999993</v>
      </c>
      <c r="Y323" s="387">
        <v>2955.25</v>
      </c>
      <c r="Z323" s="387">
        <v>25762.94</v>
      </c>
      <c r="AA323" s="387">
        <v>296486.3</v>
      </c>
      <c r="AB323" s="387">
        <v>279770.83</v>
      </c>
      <c r="AC323" s="387">
        <v>3117741.98</v>
      </c>
      <c r="AD323" s="525">
        <v>303.64</v>
      </c>
      <c r="AE323" s="387">
        <v>2929770.04</v>
      </c>
      <c r="AF323" s="526">
        <f t="shared" si="75"/>
        <v>9648.83</v>
      </c>
      <c r="AG323" s="526">
        <f t="shared" si="76"/>
        <v>10267.89</v>
      </c>
      <c r="AH323" s="527">
        <f t="shared" si="73"/>
        <v>619.05999999999995</v>
      </c>
      <c r="AI323" s="525">
        <v>28.12</v>
      </c>
      <c r="AJ323" s="387">
        <v>266361.58</v>
      </c>
      <c r="AK323" s="526">
        <f t="shared" si="77"/>
        <v>9472.32</v>
      </c>
      <c r="AL323" s="526">
        <f t="shared" si="78"/>
        <v>9949.18</v>
      </c>
      <c r="AM323" s="527">
        <f t="shared" si="74"/>
        <v>476.86</v>
      </c>
      <c r="AN323" s="387">
        <v>0</v>
      </c>
      <c r="AO323" s="387">
        <v>0</v>
      </c>
      <c r="AP323" s="73"/>
      <c r="AQ323" s="241">
        <v>0</v>
      </c>
      <c r="AR323" s="659">
        <v>477299.60999999993</v>
      </c>
    </row>
    <row r="324" spans="1:44">
      <c r="A324" s="236" t="s">
        <v>413</v>
      </c>
      <c r="B324" s="236" t="s">
        <v>412</v>
      </c>
      <c r="C324" s="236" t="str">
        <f>CONCATENATE(B324," ",A324," SCHOOL DISTRICT")</f>
        <v>20405 WHITE SALMON SCHOOL DISTRICT</v>
      </c>
      <c r="D324" s="387">
        <v>0</v>
      </c>
      <c r="E324" s="387">
        <v>2048.19</v>
      </c>
      <c r="F324" s="387">
        <v>0</v>
      </c>
      <c r="G324" s="387">
        <v>0</v>
      </c>
      <c r="H324" s="387">
        <v>0</v>
      </c>
      <c r="I324" s="387">
        <v>119228.33</v>
      </c>
      <c r="J324" s="387">
        <v>359141.73</v>
      </c>
      <c r="K324" s="387">
        <v>304420.86</v>
      </c>
      <c r="L324" s="387">
        <v>34961.69</v>
      </c>
      <c r="M324" s="387">
        <v>1445513.67</v>
      </c>
      <c r="N324" s="388">
        <v>3.61E-2</v>
      </c>
      <c r="O324" s="389">
        <v>0.1852</v>
      </c>
      <c r="P324" s="387">
        <v>0</v>
      </c>
      <c r="Q324" s="387">
        <v>0</v>
      </c>
      <c r="R324" s="387">
        <v>0</v>
      </c>
      <c r="S324" s="387">
        <v>0</v>
      </c>
      <c r="T324" s="387">
        <v>0</v>
      </c>
      <c r="U324" s="387">
        <v>0</v>
      </c>
      <c r="V324" s="387">
        <v>0</v>
      </c>
      <c r="W324" s="387">
        <v>0</v>
      </c>
      <c r="X324" s="387">
        <v>0</v>
      </c>
      <c r="Y324" s="387">
        <v>1223.82</v>
      </c>
      <c r="Z324" s="387">
        <v>0</v>
      </c>
      <c r="AA324" s="387">
        <v>28632.36</v>
      </c>
      <c r="AB324" s="387">
        <v>0</v>
      </c>
      <c r="AC324" s="387">
        <v>664042.23999999999</v>
      </c>
      <c r="AD324" s="525">
        <v>67.77</v>
      </c>
      <c r="AE324" s="387">
        <v>640438.55000000005</v>
      </c>
      <c r="AF324" s="526">
        <f t="shared" si="75"/>
        <v>9450.18</v>
      </c>
      <c r="AG324" s="526">
        <f t="shared" si="76"/>
        <v>9798.4699999999993</v>
      </c>
      <c r="AH324" s="527">
        <f t="shared" si="73"/>
        <v>348.29</v>
      </c>
      <c r="AI324" s="525">
        <v>0</v>
      </c>
      <c r="AJ324" s="387">
        <v>0</v>
      </c>
      <c r="AK324" s="526">
        <f t="shared" si="77"/>
        <v>0</v>
      </c>
      <c r="AL324" s="526">
        <f t="shared" si="78"/>
        <v>0</v>
      </c>
      <c r="AM324" s="527">
        <f t="shared" si="74"/>
        <v>0</v>
      </c>
      <c r="AN324" s="387">
        <v>0</v>
      </c>
      <c r="AO324" s="387">
        <v>0</v>
      </c>
      <c r="AP324" s="73"/>
      <c r="AQ324" s="241">
        <v>10168.290000000023</v>
      </c>
      <c r="AR324" s="659">
        <v>106247.79</v>
      </c>
    </row>
    <row r="325" spans="1:44">
      <c r="A325" s="236" t="s">
        <v>1697</v>
      </c>
      <c r="B325" s="236" t="s">
        <v>1696</v>
      </c>
      <c r="C325" s="236" t="str">
        <f>CONCATENATE(B325," ",A325," CHARTER")</f>
        <v>17917 WHY NOT YOU CHARTER</v>
      </c>
      <c r="D325" s="387">
        <v>0</v>
      </c>
      <c r="E325" s="387">
        <v>0</v>
      </c>
      <c r="F325" s="387">
        <v>0</v>
      </c>
      <c r="G325" s="387">
        <v>223989.36</v>
      </c>
      <c r="H325" s="387">
        <v>24188.54</v>
      </c>
      <c r="I325" s="387">
        <v>60231.48</v>
      </c>
      <c r="J325" s="387">
        <v>90034.19</v>
      </c>
      <c r="K325" s="387">
        <v>20583.66</v>
      </c>
      <c r="L325" s="387">
        <v>0</v>
      </c>
      <c r="M325" s="387">
        <v>0</v>
      </c>
      <c r="N325" s="388">
        <v>3.5000000000000003E-2</v>
      </c>
      <c r="O325" s="389">
        <v>0.14979999999999999</v>
      </c>
      <c r="P325" s="387">
        <v>0</v>
      </c>
      <c r="Q325" s="387">
        <v>0</v>
      </c>
      <c r="R325" s="387">
        <v>0</v>
      </c>
      <c r="S325" s="387">
        <v>0</v>
      </c>
      <c r="T325" s="387">
        <v>0</v>
      </c>
      <c r="U325" s="387">
        <v>0</v>
      </c>
      <c r="V325" s="387">
        <v>0</v>
      </c>
      <c r="W325" s="387">
        <v>0</v>
      </c>
      <c r="X325" s="387">
        <v>0</v>
      </c>
      <c r="Y325" s="387">
        <v>0</v>
      </c>
      <c r="Z325" s="387">
        <v>0</v>
      </c>
      <c r="AA325" s="387">
        <v>0</v>
      </c>
      <c r="AB325" s="387">
        <v>0</v>
      </c>
      <c r="AC325" s="387">
        <v>24163.35</v>
      </c>
      <c r="AD325" s="525">
        <v>0</v>
      </c>
      <c r="AE325" s="387">
        <v>0</v>
      </c>
      <c r="AF325" s="526">
        <f t="shared" si="75"/>
        <v>0</v>
      </c>
      <c r="AG325" s="526">
        <f t="shared" si="76"/>
        <v>0</v>
      </c>
      <c r="AH325" s="527">
        <f t="shared" si="73"/>
        <v>0</v>
      </c>
      <c r="AI325" s="525">
        <v>0</v>
      </c>
      <c r="AJ325" s="387">
        <v>0</v>
      </c>
      <c r="AK325" s="526">
        <f t="shared" si="77"/>
        <v>0</v>
      </c>
      <c r="AL325" s="526">
        <f t="shared" si="78"/>
        <v>0</v>
      </c>
      <c r="AM325" s="527">
        <f t="shared" si="74"/>
        <v>0</v>
      </c>
      <c r="AN325" s="387">
        <v>0</v>
      </c>
      <c r="AO325" s="387">
        <v>0</v>
      </c>
      <c r="AP325" s="73"/>
      <c r="AQ325" s="241">
        <v>1.0000000002037268E-2</v>
      </c>
      <c r="AR325" s="659">
        <v>22970.95</v>
      </c>
    </row>
    <row r="326" spans="1:44">
      <c r="A326" s="236" t="s">
        <v>453</v>
      </c>
      <c r="B326" s="236" t="s">
        <v>452</v>
      </c>
      <c r="C326" s="236" t="str">
        <f t="shared" ref="C326:C336" si="82">CONCATENATE(B326," ",A326," SCHOOL DISTRICT")</f>
        <v>22200 WILBUR SCHOOL DISTRICT</v>
      </c>
      <c r="D326" s="387">
        <v>0</v>
      </c>
      <c r="E326" s="387">
        <v>0</v>
      </c>
      <c r="F326" s="387">
        <v>0</v>
      </c>
      <c r="G326" s="387">
        <v>407564.74</v>
      </c>
      <c r="H326" s="387">
        <v>57416.9</v>
      </c>
      <c r="I326" s="387">
        <v>0</v>
      </c>
      <c r="J326" s="387">
        <v>78098.22</v>
      </c>
      <c r="K326" s="387">
        <v>0</v>
      </c>
      <c r="L326" s="387">
        <v>6607.47</v>
      </c>
      <c r="M326" s="387">
        <v>0</v>
      </c>
      <c r="N326" s="388">
        <v>2.7900000000000001E-2</v>
      </c>
      <c r="O326" s="389">
        <v>0.27300000000000002</v>
      </c>
      <c r="P326" s="387">
        <v>0</v>
      </c>
      <c r="Q326" s="387">
        <v>0</v>
      </c>
      <c r="R326" s="387">
        <v>0</v>
      </c>
      <c r="S326" s="387">
        <v>0</v>
      </c>
      <c r="T326" s="387">
        <v>0</v>
      </c>
      <c r="U326" s="387">
        <v>0</v>
      </c>
      <c r="V326" s="387">
        <v>0</v>
      </c>
      <c r="W326" s="387">
        <v>0</v>
      </c>
      <c r="X326" s="387">
        <v>0</v>
      </c>
      <c r="Y326" s="387">
        <v>0</v>
      </c>
      <c r="Z326" s="387">
        <v>0</v>
      </c>
      <c r="AA326" s="387">
        <v>0</v>
      </c>
      <c r="AB326" s="387">
        <v>23556.79</v>
      </c>
      <c r="AC326" s="387">
        <v>151830</v>
      </c>
      <c r="AD326" s="525">
        <v>15.68</v>
      </c>
      <c r="AE326" s="387">
        <v>145375.41</v>
      </c>
      <c r="AF326" s="526">
        <f t="shared" si="75"/>
        <v>9271.39</v>
      </c>
      <c r="AG326" s="526">
        <f t="shared" si="76"/>
        <v>9683.0400000000009</v>
      </c>
      <c r="AH326" s="527">
        <f t="shared" si="73"/>
        <v>411.65</v>
      </c>
      <c r="AI326" s="525">
        <v>2.4500000000000002</v>
      </c>
      <c r="AJ326" s="387">
        <v>22238.76</v>
      </c>
      <c r="AK326" s="526">
        <f t="shared" si="77"/>
        <v>9077.0400000000009</v>
      </c>
      <c r="AL326" s="526">
        <f t="shared" si="78"/>
        <v>9615.02</v>
      </c>
      <c r="AM326" s="527">
        <f t="shared" si="74"/>
        <v>537.98</v>
      </c>
      <c r="AN326" s="387">
        <v>0</v>
      </c>
      <c r="AO326" s="387">
        <v>0</v>
      </c>
      <c r="AP326" s="73"/>
      <c r="AQ326" s="241">
        <v>0</v>
      </c>
      <c r="AR326" s="659">
        <v>33972.879999999997</v>
      </c>
    </row>
    <row r="327" spans="1:44">
      <c r="A327" s="236" t="s">
        <v>496</v>
      </c>
      <c r="B327" s="236" t="s">
        <v>495</v>
      </c>
      <c r="C327" s="236" t="str">
        <f t="shared" si="82"/>
        <v>25160 WILLAPA VALLEY SCHOOL DISTRICT</v>
      </c>
      <c r="D327" s="387">
        <v>0</v>
      </c>
      <c r="E327" s="387">
        <v>0</v>
      </c>
      <c r="F327" s="387">
        <v>0</v>
      </c>
      <c r="G327" s="387">
        <v>676003.39</v>
      </c>
      <c r="H327" s="387">
        <v>93604.26</v>
      </c>
      <c r="I327" s="387">
        <v>0</v>
      </c>
      <c r="J327" s="387">
        <v>97487.38</v>
      </c>
      <c r="K327" s="387">
        <v>9595.67</v>
      </c>
      <c r="L327" s="387">
        <v>10940.24</v>
      </c>
      <c r="M327" s="387">
        <v>542904.69999999995</v>
      </c>
      <c r="N327" s="388">
        <v>3.39E-2</v>
      </c>
      <c r="O327" s="389">
        <v>0.17119999999999999</v>
      </c>
      <c r="P327" s="387">
        <v>0</v>
      </c>
      <c r="Q327" s="387">
        <v>0</v>
      </c>
      <c r="R327" s="387">
        <v>0</v>
      </c>
      <c r="S327" s="387">
        <v>0</v>
      </c>
      <c r="T327" s="387">
        <v>0</v>
      </c>
      <c r="U327" s="387">
        <v>0</v>
      </c>
      <c r="V327" s="387">
        <v>0</v>
      </c>
      <c r="W327" s="387">
        <v>0</v>
      </c>
      <c r="X327" s="387">
        <v>0</v>
      </c>
      <c r="Y327" s="387">
        <v>0</v>
      </c>
      <c r="Z327" s="387">
        <v>0</v>
      </c>
      <c r="AA327" s="387">
        <v>0</v>
      </c>
      <c r="AB327" s="387">
        <v>75327.509999999995</v>
      </c>
      <c r="AC327" s="387">
        <v>263544.09999999998</v>
      </c>
      <c r="AD327" s="525">
        <v>26.21</v>
      </c>
      <c r="AE327" s="387">
        <v>242680.32000000001</v>
      </c>
      <c r="AF327" s="526">
        <f t="shared" si="75"/>
        <v>9259.07</v>
      </c>
      <c r="AG327" s="526">
        <f t="shared" si="76"/>
        <v>10055.1</v>
      </c>
      <c r="AH327" s="527">
        <f t="shared" ref="AH327:AH336" si="83">ROUND(AG327-AF327,2)</f>
        <v>796.03</v>
      </c>
      <c r="AI327" s="525">
        <v>7.89</v>
      </c>
      <c r="AJ327" s="387">
        <v>71689.09</v>
      </c>
      <c r="AK327" s="526">
        <f t="shared" si="77"/>
        <v>9086.07</v>
      </c>
      <c r="AL327" s="526">
        <f t="shared" si="78"/>
        <v>9547.2099999999991</v>
      </c>
      <c r="AM327" s="527">
        <f t="shared" ref="AM327:AM336" si="84">ROUND(AL327-AK327,2)</f>
        <v>461.14</v>
      </c>
      <c r="AN327" s="387">
        <v>0</v>
      </c>
      <c r="AO327" s="387">
        <v>0</v>
      </c>
      <c r="AP327" s="73"/>
      <c r="AQ327" s="241">
        <v>60253.469999999994</v>
      </c>
      <c r="AR327" s="659">
        <v>43517.649999999994</v>
      </c>
    </row>
    <row r="328" spans="1:44">
      <c r="A328" s="236" t="s">
        <v>294</v>
      </c>
      <c r="B328" s="236" t="s">
        <v>293</v>
      </c>
      <c r="C328" s="236" t="str">
        <f t="shared" si="82"/>
        <v>13167 WILSON CREEK SCHOOL DISTRICT</v>
      </c>
      <c r="D328" s="387">
        <v>0</v>
      </c>
      <c r="E328" s="387">
        <v>0</v>
      </c>
      <c r="F328" s="387">
        <v>1494.33</v>
      </c>
      <c r="G328" s="387">
        <v>224137.42</v>
      </c>
      <c r="H328" s="387">
        <v>28277.3</v>
      </c>
      <c r="I328" s="387">
        <v>37474</v>
      </c>
      <c r="J328" s="387">
        <v>54736.09</v>
      </c>
      <c r="K328" s="387">
        <v>0</v>
      </c>
      <c r="L328" s="387">
        <v>0</v>
      </c>
      <c r="M328" s="387">
        <v>231859.78</v>
      </c>
      <c r="N328" s="388">
        <v>2.0199999999999999E-2</v>
      </c>
      <c r="O328" s="389">
        <v>0.2601</v>
      </c>
      <c r="P328" s="387">
        <v>0</v>
      </c>
      <c r="Q328" s="387">
        <v>0</v>
      </c>
      <c r="R328" s="387">
        <v>0</v>
      </c>
      <c r="S328" s="387">
        <v>0</v>
      </c>
      <c r="T328" s="387">
        <v>0</v>
      </c>
      <c r="U328" s="387">
        <v>0</v>
      </c>
      <c r="V328" s="387">
        <v>0</v>
      </c>
      <c r="W328" s="387">
        <v>0</v>
      </c>
      <c r="X328" s="387">
        <v>0</v>
      </c>
      <c r="Y328" s="387">
        <v>134.99</v>
      </c>
      <c r="Z328" s="387">
        <v>3300.18</v>
      </c>
      <c r="AA328" s="387">
        <v>0</v>
      </c>
      <c r="AB328" s="387">
        <v>45508.69</v>
      </c>
      <c r="AC328" s="387">
        <v>71949.759999999995</v>
      </c>
      <c r="AD328" s="525">
        <v>7.03</v>
      </c>
      <c r="AE328" s="387">
        <v>65560.53</v>
      </c>
      <c r="AF328" s="526">
        <f t="shared" ref="AF328:AF336" si="85">IFERROR(ROUND(AE328/AD328,2),0)</f>
        <v>9325.82</v>
      </c>
      <c r="AG328" s="526">
        <f t="shared" ref="AG328:AG336" si="86">IFERROR(ROUND(AC328/AD328,2),0)</f>
        <v>10234.67</v>
      </c>
      <c r="AH328" s="527">
        <f t="shared" si="83"/>
        <v>908.85</v>
      </c>
      <c r="AI328" s="525">
        <v>4.74</v>
      </c>
      <c r="AJ328" s="387">
        <v>43163.56</v>
      </c>
      <c r="AK328" s="526">
        <f t="shared" ref="AK328:AK336" si="87">IFERROR(ROUND(AJ328/AI328,2),0)</f>
        <v>9106.24</v>
      </c>
      <c r="AL328" s="526">
        <f t="shared" ref="AL328:AL336" si="88">IFERROR(ROUND(AB328/AI328,2),0)</f>
        <v>9600.99</v>
      </c>
      <c r="AM328" s="527">
        <f t="shared" si="84"/>
        <v>494.75</v>
      </c>
      <c r="AN328" s="387">
        <v>308.64999999999998</v>
      </c>
      <c r="AO328" s="387">
        <v>0</v>
      </c>
      <c r="AP328" s="73"/>
      <c r="AQ328" s="241">
        <v>35016.890000000007</v>
      </c>
      <c r="AR328" s="659">
        <v>24944.42</v>
      </c>
    </row>
    <row r="329" spans="1:44">
      <c r="A329" s="236" t="s">
        <v>427</v>
      </c>
      <c r="B329" s="236" t="s">
        <v>426</v>
      </c>
      <c r="C329" s="236" t="str">
        <f t="shared" si="82"/>
        <v>21232 WINLOCK SCHOOL DISTRICT</v>
      </c>
      <c r="D329" s="387">
        <v>0</v>
      </c>
      <c r="E329" s="387">
        <v>0</v>
      </c>
      <c r="F329" s="387">
        <v>0</v>
      </c>
      <c r="G329" s="387">
        <v>1625471.57</v>
      </c>
      <c r="H329" s="387">
        <v>196976.78</v>
      </c>
      <c r="I329" s="387">
        <v>257292.35</v>
      </c>
      <c r="J329" s="387">
        <v>416474.91</v>
      </c>
      <c r="K329" s="387">
        <v>70437.63</v>
      </c>
      <c r="L329" s="387">
        <v>22943.27</v>
      </c>
      <c r="M329" s="387">
        <v>755649.74</v>
      </c>
      <c r="N329" s="388">
        <v>6.3799999999999996E-2</v>
      </c>
      <c r="O329" s="389">
        <v>0.1467</v>
      </c>
      <c r="P329" s="387">
        <v>0</v>
      </c>
      <c r="Q329" s="387">
        <v>0</v>
      </c>
      <c r="R329" s="387">
        <v>0</v>
      </c>
      <c r="S329" s="387">
        <v>0</v>
      </c>
      <c r="T329" s="387">
        <v>0</v>
      </c>
      <c r="U329" s="387">
        <v>0</v>
      </c>
      <c r="V329" s="387">
        <v>0</v>
      </c>
      <c r="W329" s="387">
        <v>0</v>
      </c>
      <c r="X329" s="387">
        <v>0</v>
      </c>
      <c r="Y329" s="387">
        <v>903.64</v>
      </c>
      <c r="Z329" s="387">
        <v>0</v>
      </c>
      <c r="AA329" s="387">
        <v>22579.48</v>
      </c>
      <c r="AB329" s="387">
        <v>75959.100000000006</v>
      </c>
      <c r="AC329" s="387">
        <v>580352.93000000005</v>
      </c>
      <c r="AD329" s="525">
        <v>55.1</v>
      </c>
      <c r="AE329" s="387">
        <v>513199.19</v>
      </c>
      <c r="AF329" s="526">
        <f t="shared" si="85"/>
        <v>9313.9599999999991</v>
      </c>
      <c r="AG329" s="526">
        <f t="shared" si="86"/>
        <v>10532.72</v>
      </c>
      <c r="AH329" s="527">
        <f t="shared" si="83"/>
        <v>1218.76</v>
      </c>
      <c r="AI329" s="525">
        <v>7.92</v>
      </c>
      <c r="AJ329" s="387">
        <v>72298.64</v>
      </c>
      <c r="AK329" s="526">
        <f t="shared" si="87"/>
        <v>9128.6200000000008</v>
      </c>
      <c r="AL329" s="526">
        <f t="shared" si="88"/>
        <v>9590.7999999999993</v>
      </c>
      <c r="AM329" s="527">
        <f t="shared" si="84"/>
        <v>462.18</v>
      </c>
      <c r="AN329" s="387">
        <v>0</v>
      </c>
      <c r="AO329" s="387">
        <v>0</v>
      </c>
      <c r="AP329" s="73"/>
      <c r="AQ329" s="241">
        <v>152943.35999999999</v>
      </c>
      <c r="AR329" s="659">
        <v>93140.81</v>
      </c>
    </row>
    <row r="330" spans="1:44">
      <c r="A330" s="236" t="s">
        <v>317</v>
      </c>
      <c r="B330" s="236" t="s">
        <v>316</v>
      </c>
      <c r="C330" s="236" t="str">
        <f t="shared" si="82"/>
        <v>14117 WISHKAH VALLEY SCHOOL DISTRICT</v>
      </c>
      <c r="D330" s="387">
        <v>0</v>
      </c>
      <c r="E330" s="387">
        <v>0</v>
      </c>
      <c r="F330" s="387">
        <v>0</v>
      </c>
      <c r="G330" s="387">
        <v>315504.52</v>
      </c>
      <c r="H330" s="387">
        <v>32413.61</v>
      </c>
      <c r="I330" s="387">
        <v>56759.33</v>
      </c>
      <c r="J330" s="387">
        <v>80697.89</v>
      </c>
      <c r="K330" s="387">
        <v>0</v>
      </c>
      <c r="L330" s="387">
        <v>0</v>
      </c>
      <c r="M330" s="387">
        <v>132676.88</v>
      </c>
      <c r="N330" s="388">
        <v>7.8899999999999998E-2</v>
      </c>
      <c r="O330" s="389">
        <v>0.26469999999999999</v>
      </c>
      <c r="P330" s="387">
        <v>0</v>
      </c>
      <c r="Q330" s="387">
        <v>0</v>
      </c>
      <c r="R330" s="387">
        <v>0</v>
      </c>
      <c r="S330" s="387">
        <v>0</v>
      </c>
      <c r="T330" s="387">
        <v>0</v>
      </c>
      <c r="U330" s="387">
        <v>0</v>
      </c>
      <c r="V330" s="387">
        <v>0</v>
      </c>
      <c r="W330" s="387">
        <v>0</v>
      </c>
      <c r="X330" s="387">
        <v>0</v>
      </c>
      <c r="Y330" s="387">
        <v>199.69</v>
      </c>
      <c r="Z330" s="387">
        <v>0</v>
      </c>
      <c r="AA330" s="387">
        <v>0</v>
      </c>
      <c r="AB330" s="387">
        <v>38494.160000000003</v>
      </c>
      <c r="AC330" s="387">
        <v>116344.15</v>
      </c>
      <c r="AD330" s="525">
        <v>12.18</v>
      </c>
      <c r="AE330" s="387">
        <v>112914.81</v>
      </c>
      <c r="AF330" s="526">
        <f t="shared" si="85"/>
        <v>9270.51</v>
      </c>
      <c r="AG330" s="526">
        <f t="shared" si="86"/>
        <v>9552.06</v>
      </c>
      <c r="AH330" s="527">
        <f t="shared" si="83"/>
        <v>281.55</v>
      </c>
      <c r="AI330" s="525">
        <v>4.0199999999999996</v>
      </c>
      <c r="AJ330" s="387">
        <v>36668.660000000003</v>
      </c>
      <c r="AK330" s="526">
        <f t="shared" si="87"/>
        <v>9121.56</v>
      </c>
      <c r="AL330" s="526">
        <f t="shared" si="88"/>
        <v>9575.66</v>
      </c>
      <c r="AM330" s="527">
        <f t="shared" si="84"/>
        <v>454.1</v>
      </c>
      <c r="AN330" s="387">
        <v>4433.91</v>
      </c>
      <c r="AO330" s="387">
        <v>0</v>
      </c>
      <c r="AP330" s="73"/>
      <c r="AQ330" s="241">
        <v>0</v>
      </c>
      <c r="AR330" s="659">
        <v>30589.489999999994</v>
      </c>
    </row>
    <row r="331" spans="1:44">
      <c r="A331" s="236" t="s">
        <v>397</v>
      </c>
      <c r="B331" s="236" t="s">
        <v>396</v>
      </c>
      <c r="C331" s="236" t="str">
        <f t="shared" si="82"/>
        <v>20094 WISHRAM SCHOOL DISTRICT</v>
      </c>
      <c r="D331" s="387">
        <v>0</v>
      </c>
      <c r="E331" s="387">
        <v>0</v>
      </c>
      <c r="F331" s="387">
        <v>0</v>
      </c>
      <c r="G331" s="387">
        <v>0</v>
      </c>
      <c r="H331" s="387">
        <v>0</v>
      </c>
      <c r="I331" s="387">
        <v>31954.2</v>
      </c>
      <c r="J331" s="387">
        <v>58059.14</v>
      </c>
      <c r="K331" s="387">
        <v>0</v>
      </c>
      <c r="L331" s="387">
        <v>0</v>
      </c>
      <c r="M331" s="387">
        <v>140087.64000000001</v>
      </c>
      <c r="N331" s="388">
        <v>2.5499999999999998E-2</v>
      </c>
      <c r="O331" s="389">
        <v>0.28499999999999998</v>
      </c>
      <c r="P331" s="387">
        <v>0</v>
      </c>
      <c r="Q331" s="387">
        <v>0</v>
      </c>
      <c r="R331" s="387">
        <v>0</v>
      </c>
      <c r="S331" s="387">
        <v>0</v>
      </c>
      <c r="T331" s="387">
        <v>0</v>
      </c>
      <c r="U331" s="387">
        <v>0</v>
      </c>
      <c r="V331" s="387">
        <v>0</v>
      </c>
      <c r="W331" s="387">
        <v>0</v>
      </c>
      <c r="X331" s="387">
        <v>0</v>
      </c>
      <c r="Y331" s="387">
        <v>101.52</v>
      </c>
      <c r="Z331" s="387">
        <v>0</v>
      </c>
      <c r="AA331" s="387">
        <v>0</v>
      </c>
      <c r="AB331" s="387">
        <v>0</v>
      </c>
      <c r="AC331" s="387">
        <v>71703.02</v>
      </c>
      <c r="AD331" s="525">
        <v>7.52</v>
      </c>
      <c r="AE331" s="387">
        <v>69709.02</v>
      </c>
      <c r="AF331" s="526">
        <f t="shared" si="85"/>
        <v>9269.82</v>
      </c>
      <c r="AG331" s="526">
        <f t="shared" si="86"/>
        <v>9534.98</v>
      </c>
      <c r="AH331" s="527">
        <f t="shared" si="83"/>
        <v>265.16000000000003</v>
      </c>
      <c r="AI331" s="525">
        <v>0</v>
      </c>
      <c r="AJ331" s="387">
        <v>0</v>
      </c>
      <c r="AK331" s="526">
        <f t="shared" si="87"/>
        <v>0</v>
      </c>
      <c r="AL331" s="526">
        <f t="shared" si="88"/>
        <v>0</v>
      </c>
      <c r="AM331" s="527">
        <f t="shared" si="84"/>
        <v>0</v>
      </c>
      <c r="AN331" s="387">
        <v>0</v>
      </c>
      <c r="AO331" s="387">
        <v>0</v>
      </c>
      <c r="AP331" s="73"/>
      <c r="AQ331" s="241">
        <v>3542.619999999999</v>
      </c>
      <c r="AR331" s="659">
        <v>21702.989999999998</v>
      </c>
    </row>
    <row r="332" spans="1:44">
      <c r="A332" s="236" t="s">
        <v>242</v>
      </c>
      <c r="B332" s="236" t="s">
        <v>241</v>
      </c>
      <c r="C332" s="236" t="str">
        <f t="shared" si="82"/>
        <v>08404 WOODLAND SCHOOL DISTRICT</v>
      </c>
      <c r="D332" s="387">
        <v>0</v>
      </c>
      <c r="E332" s="387">
        <v>0</v>
      </c>
      <c r="F332" s="387">
        <v>0</v>
      </c>
      <c r="G332" s="387">
        <v>5276322.92</v>
      </c>
      <c r="H332" s="387">
        <v>781426.58</v>
      </c>
      <c r="I332" s="387">
        <v>99437.11</v>
      </c>
      <c r="J332" s="387">
        <v>769283.66</v>
      </c>
      <c r="K332" s="387">
        <v>351415.19</v>
      </c>
      <c r="L332" s="387">
        <v>73873.77</v>
      </c>
      <c r="M332" s="387">
        <v>8347412.1299999999</v>
      </c>
      <c r="N332" s="388">
        <v>9.7000000000000003E-3</v>
      </c>
      <c r="O332" s="389">
        <v>0.15049999999999999</v>
      </c>
      <c r="P332" s="387">
        <v>0</v>
      </c>
      <c r="Q332" s="387">
        <v>0</v>
      </c>
      <c r="R332" s="387">
        <v>0</v>
      </c>
      <c r="S332" s="387">
        <v>0</v>
      </c>
      <c r="T332" s="387">
        <v>0</v>
      </c>
      <c r="U332" s="387">
        <v>0</v>
      </c>
      <c r="V332" s="387">
        <v>0</v>
      </c>
      <c r="W332" s="387">
        <v>0</v>
      </c>
      <c r="X332" s="387">
        <v>0</v>
      </c>
      <c r="Y332" s="387">
        <v>2764.48</v>
      </c>
      <c r="Z332" s="387">
        <v>0</v>
      </c>
      <c r="AA332" s="387">
        <v>0</v>
      </c>
      <c r="AB332" s="387">
        <v>0</v>
      </c>
      <c r="AC332" s="387">
        <v>685166.47</v>
      </c>
      <c r="AD332" s="525">
        <v>69.61</v>
      </c>
      <c r="AE332" s="387">
        <v>644966.93000000005</v>
      </c>
      <c r="AF332" s="526">
        <f t="shared" si="85"/>
        <v>9265.43</v>
      </c>
      <c r="AG332" s="526">
        <f t="shared" si="86"/>
        <v>9842.93</v>
      </c>
      <c r="AH332" s="527">
        <f t="shared" si="83"/>
        <v>577.5</v>
      </c>
      <c r="AI332" s="525">
        <v>0</v>
      </c>
      <c r="AJ332" s="387">
        <v>0</v>
      </c>
      <c r="AK332" s="526">
        <f t="shared" si="87"/>
        <v>0</v>
      </c>
      <c r="AL332" s="526">
        <f t="shared" si="88"/>
        <v>0</v>
      </c>
      <c r="AM332" s="527">
        <f t="shared" si="84"/>
        <v>0</v>
      </c>
      <c r="AN332" s="387">
        <v>681.74</v>
      </c>
      <c r="AO332" s="387">
        <v>0</v>
      </c>
      <c r="AP332" s="73"/>
      <c r="AQ332" s="241">
        <v>0</v>
      </c>
      <c r="AR332" s="659">
        <v>250591.33000000002</v>
      </c>
    </row>
    <row r="333" spans="1:44">
      <c r="A333" s="236" t="s">
        <v>1649</v>
      </c>
      <c r="B333" s="236" t="s">
        <v>1555</v>
      </c>
      <c r="C333" s="236" t="str">
        <f t="shared" si="82"/>
        <v>39901 YAKAMA SCHOOL DISTRICT</v>
      </c>
      <c r="D333" s="387">
        <v>21091.93</v>
      </c>
      <c r="E333" s="387">
        <v>0</v>
      </c>
      <c r="F333" s="387">
        <v>0</v>
      </c>
      <c r="G333" s="387">
        <v>226755.03</v>
      </c>
      <c r="H333" s="387">
        <v>42899.07</v>
      </c>
      <c r="I333" s="387">
        <v>0</v>
      </c>
      <c r="J333" s="387">
        <v>0</v>
      </c>
      <c r="K333" s="387">
        <v>0</v>
      </c>
      <c r="L333" s="387">
        <v>0</v>
      </c>
      <c r="M333" s="387">
        <v>0</v>
      </c>
      <c r="N333" s="388">
        <v>3.5000000000000003E-2</v>
      </c>
      <c r="O333" s="389">
        <v>0.14979999999999999</v>
      </c>
      <c r="P333" s="387">
        <v>0</v>
      </c>
      <c r="Q333" s="387">
        <v>0</v>
      </c>
      <c r="R333" s="387">
        <v>0</v>
      </c>
      <c r="S333" s="387">
        <v>0</v>
      </c>
      <c r="T333" s="387">
        <v>0</v>
      </c>
      <c r="U333" s="387">
        <v>0</v>
      </c>
      <c r="V333" s="387">
        <v>0</v>
      </c>
      <c r="W333" s="387">
        <v>0</v>
      </c>
      <c r="X333" s="387">
        <v>0</v>
      </c>
      <c r="Y333" s="387">
        <v>0</v>
      </c>
      <c r="Z333" s="387">
        <v>0</v>
      </c>
      <c r="AA333" s="387">
        <v>0</v>
      </c>
      <c r="AB333" s="387">
        <v>0</v>
      </c>
      <c r="AC333" s="387">
        <v>0</v>
      </c>
      <c r="AD333" s="525">
        <v>0</v>
      </c>
      <c r="AE333" s="387">
        <v>0</v>
      </c>
      <c r="AF333" s="526">
        <f t="shared" si="85"/>
        <v>0</v>
      </c>
      <c r="AG333" s="526">
        <f t="shared" si="86"/>
        <v>0</v>
      </c>
      <c r="AH333" s="527">
        <f t="shared" si="83"/>
        <v>0</v>
      </c>
      <c r="AI333" s="525">
        <v>0</v>
      </c>
      <c r="AJ333" s="387">
        <v>0</v>
      </c>
      <c r="AK333" s="526">
        <f t="shared" si="87"/>
        <v>0</v>
      </c>
      <c r="AL333" s="526">
        <f t="shared" si="88"/>
        <v>0</v>
      </c>
      <c r="AM333" s="527">
        <f t="shared" si="84"/>
        <v>0</v>
      </c>
      <c r="AN333" s="387">
        <v>0</v>
      </c>
      <c r="AO333" s="387">
        <v>0</v>
      </c>
      <c r="AP333" s="73"/>
      <c r="AQ333" s="241">
        <v>88682.35</v>
      </c>
      <c r="AR333" s="659">
        <v>12086.42</v>
      </c>
    </row>
    <row r="334" spans="1:44">
      <c r="A334" s="236" t="s">
        <v>716</v>
      </c>
      <c r="B334" s="236" t="s">
        <v>715</v>
      </c>
      <c r="C334" s="236" t="str">
        <f t="shared" si="82"/>
        <v>39007 YAKIMA SCHOOL DISTRICT</v>
      </c>
      <c r="D334" s="387">
        <v>0</v>
      </c>
      <c r="E334" s="387">
        <v>166801.67000000001</v>
      </c>
      <c r="F334" s="387">
        <v>448827.92</v>
      </c>
      <c r="G334" s="387">
        <v>27340938.149999999</v>
      </c>
      <c r="H334" s="387">
        <v>6076095.04</v>
      </c>
      <c r="I334" s="387">
        <v>4722179.82</v>
      </c>
      <c r="J334" s="387">
        <v>9067625.1099999994</v>
      </c>
      <c r="K334" s="387">
        <v>8541436.1400000006</v>
      </c>
      <c r="L334" s="387">
        <v>477363.14</v>
      </c>
      <c r="M334" s="387">
        <v>4892745.4400000004</v>
      </c>
      <c r="N334" s="388">
        <v>2.29E-2</v>
      </c>
      <c r="O334" s="389">
        <v>9.4799999999999995E-2</v>
      </c>
      <c r="P334" s="387">
        <v>0</v>
      </c>
      <c r="Q334" s="387">
        <v>0</v>
      </c>
      <c r="R334" s="387">
        <v>0</v>
      </c>
      <c r="S334" s="387">
        <v>471954.88</v>
      </c>
      <c r="T334" s="387">
        <v>0</v>
      </c>
      <c r="U334" s="387">
        <v>16374.16</v>
      </c>
      <c r="V334" s="387">
        <v>0</v>
      </c>
      <c r="W334" s="387">
        <v>0</v>
      </c>
      <c r="X334" s="387">
        <v>0</v>
      </c>
      <c r="Y334" s="387">
        <v>0</v>
      </c>
      <c r="Z334" s="387">
        <v>29118.19</v>
      </c>
      <c r="AA334" s="387">
        <v>228067.17</v>
      </c>
      <c r="AB334" s="387">
        <v>4841278.6900000004</v>
      </c>
      <c r="AC334" s="387">
        <v>9740828.1400000006</v>
      </c>
      <c r="AD334" s="525">
        <v>994.2</v>
      </c>
      <c r="AE334" s="387">
        <v>9212157.4299999997</v>
      </c>
      <c r="AF334" s="526">
        <f t="shared" si="85"/>
        <v>9265.9</v>
      </c>
      <c r="AG334" s="526">
        <f t="shared" si="86"/>
        <v>9797.65</v>
      </c>
      <c r="AH334" s="527">
        <f t="shared" si="83"/>
        <v>531.75</v>
      </c>
      <c r="AI334" s="525">
        <v>506.98</v>
      </c>
      <c r="AJ334" s="387">
        <v>4605657.17</v>
      </c>
      <c r="AK334" s="526">
        <f t="shared" si="87"/>
        <v>9084.49</v>
      </c>
      <c r="AL334" s="526">
        <f t="shared" si="88"/>
        <v>9549.25</v>
      </c>
      <c r="AM334" s="527">
        <f t="shared" si="84"/>
        <v>464.76</v>
      </c>
      <c r="AN334" s="387">
        <v>0</v>
      </c>
      <c r="AO334" s="387">
        <v>0</v>
      </c>
      <c r="AP334" s="73"/>
      <c r="AQ334" s="241">
        <v>1951744.0699999989</v>
      </c>
      <c r="AR334" s="659">
        <v>1826415.53</v>
      </c>
    </row>
    <row r="335" spans="1:44">
      <c r="A335" s="236" t="s">
        <v>641</v>
      </c>
      <c r="B335" s="236" t="s">
        <v>640</v>
      </c>
      <c r="C335" s="236" t="str">
        <f t="shared" si="82"/>
        <v>34002 YELM SCHOOL DISTRICT</v>
      </c>
      <c r="D335" s="387">
        <v>0</v>
      </c>
      <c r="E335" s="387">
        <v>8073.12</v>
      </c>
      <c r="F335" s="387">
        <v>42.27</v>
      </c>
      <c r="G335" s="387">
        <v>12108974.619999999</v>
      </c>
      <c r="H335" s="387">
        <v>2082327.3</v>
      </c>
      <c r="I335" s="387">
        <v>215827.62</v>
      </c>
      <c r="J335" s="387">
        <v>1931508.99</v>
      </c>
      <c r="K335" s="387">
        <v>397510.17</v>
      </c>
      <c r="L335" s="387">
        <v>181527.66</v>
      </c>
      <c r="M335" s="387">
        <v>5172375.0199999996</v>
      </c>
      <c r="N335" s="388">
        <v>3.0099999999999998E-2</v>
      </c>
      <c r="O335" s="389">
        <v>0.14610000000000001</v>
      </c>
      <c r="P335" s="387">
        <v>0</v>
      </c>
      <c r="Q335" s="387">
        <v>0</v>
      </c>
      <c r="R335" s="387">
        <v>0</v>
      </c>
      <c r="S335" s="387">
        <v>0</v>
      </c>
      <c r="T335" s="387">
        <v>0</v>
      </c>
      <c r="U335" s="387">
        <v>0</v>
      </c>
      <c r="V335" s="387">
        <v>0</v>
      </c>
      <c r="W335" s="387">
        <v>0</v>
      </c>
      <c r="X335" s="387">
        <v>0</v>
      </c>
      <c r="Y335" s="387">
        <v>2020.37</v>
      </c>
      <c r="Z335" s="387">
        <v>0</v>
      </c>
      <c r="AA335" s="387">
        <v>253755.02</v>
      </c>
      <c r="AB335" s="387">
        <v>0</v>
      </c>
      <c r="AC335" s="387">
        <v>4092743.27</v>
      </c>
      <c r="AD335" s="525">
        <v>395.13</v>
      </c>
      <c r="AE335" s="387">
        <v>3812446.22</v>
      </c>
      <c r="AF335" s="526">
        <f t="shared" si="85"/>
        <v>9648.59</v>
      </c>
      <c r="AG335" s="526">
        <f t="shared" si="86"/>
        <v>10357.969999999999</v>
      </c>
      <c r="AH335" s="527">
        <f t="shared" si="83"/>
        <v>709.38</v>
      </c>
      <c r="AI335" s="525">
        <v>0</v>
      </c>
      <c r="AJ335" s="387">
        <v>0</v>
      </c>
      <c r="AK335" s="526">
        <f t="shared" si="87"/>
        <v>0</v>
      </c>
      <c r="AL335" s="526">
        <f t="shared" si="88"/>
        <v>0</v>
      </c>
      <c r="AM335" s="527">
        <f t="shared" si="84"/>
        <v>0</v>
      </c>
      <c r="AN335" s="387">
        <v>1800.18</v>
      </c>
      <c r="AO335" s="387">
        <v>0</v>
      </c>
      <c r="AP335" s="73"/>
      <c r="AQ335" s="241">
        <v>61615.330000000075</v>
      </c>
      <c r="AR335" s="659">
        <v>622965.65</v>
      </c>
    </row>
    <row r="336" spans="1:44" ht="15" thickBot="1">
      <c r="A336" s="236" t="s">
        <v>733</v>
      </c>
      <c r="B336" s="236" t="s">
        <v>732</v>
      </c>
      <c r="C336" s="236" t="str">
        <f t="shared" si="82"/>
        <v>39205 ZILLAH SCHOOL DISTRICT</v>
      </c>
      <c r="D336" s="387">
        <v>0</v>
      </c>
      <c r="E336" s="387">
        <v>17532.740000000002</v>
      </c>
      <c r="F336" s="387">
        <v>0</v>
      </c>
      <c r="G336" s="387">
        <v>1636711.63</v>
      </c>
      <c r="H336" s="387">
        <v>228383.01</v>
      </c>
      <c r="I336" s="387">
        <v>424611.64</v>
      </c>
      <c r="J336" s="387">
        <v>641358.56000000006</v>
      </c>
      <c r="K336" s="387">
        <v>283818.93</v>
      </c>
      <c r="L336" s="387">
        <v>40186.47</v>
      </c>
      <c r="M336" s="387">
        <v>681110.41</v>
      </c>
      <c r="N336" s="388">
        <v>7.2300000000000003E-2</v>
      </c>
      <c r="O336" s="389">
        <v>0.18479999999999999</v>
      </c>
      <c r="P336" s="387">
        <v>0</v>
      </c>
      <c r="Q336" s="387">
        <v>0</v>
      </c>
      <c r="R336" s="387">
        <v>0</v>
      </c>
      <c r="S336" s="387">
        <v>0</v>
      </c>
      <c r="T336" s="387">
        <v>0</v>
      </c>
      <c r="U336" s="387">
        <v>0</v>
      </c>
      <c r="V336" s="387">
        <v>0</v>
      </c>
      <c r="W336" s="387">
        <v>0</v>
      </c>
      <c r="X336" s="387">
        <v>0</v>
      </c>
      <c r="Y336" s="387">
        <v>1485.99</v>
      </c>
      <c r="Z336" s="387">
        <v>0</v>
      </c>
      <c r="AA336" s="387">
        <v>69059.009999999995</v>
      </c>
      <c r="AB336" s="387">
        <v>0</v>
      </c>
      <c r="AC336" s="387">
        <v>728581.66</v>
      </c>
      <c r="AD336" s="525">
        <v>75.099999999999994</v>
      </c>
      <c r="AE336" s="387">
        <v>695919.6</v>
      </c>
      <c r="AF336" s="526">
        <f t="shared" si="85"/>
        <v>9266.57</v>
      </c>
      <c r="AG336" s="526">
        <f t="shared" si="86"/>
        <v>9701.49</v>
      </c>
      <c r="AH336" s="527">
        <f t="shared" si="83"/>
        <v>434.92</v>
      </c>
      <c r="AI336" s="525">
        <v>0</v>
      </c>
      <c r="AJ336" s="387">
        <v>0</v>
      </c>
      <c r="AK336" s="526">
        <f t="shared" si="87"/>
        <v>0</v>
      </c>
      <c r="AL336" s="526">
        <f t="shared" si="88"/>
        <v>0</v>
      </c>
      <c r="AM336" s="527">
        <f t="shared" si="84"/>
        <v>0</v>
      </c>
      <c r="AN336" s="387">
        <v>131.15</v>
      </c>
      <c r="AO336" s="387">
        <v>0</v>
      </c>
      <c r="AP336" s="73"/>
      <c r="AQ336" s="241">
        <v>0</v>
      </c>
      <c r="AR336" s="661">
        <v>148124.24</v>
      </c>
    </row>
    <row r="337" spans="1:68">
      <c r="A337" s="73">
        <f>COUNTA(DISNAME)</f>
        <v>330</v>
      </c>
      <c r="B337" s="73"/>
      <c r="C337" s="73"/>
      <c r="D337" s="282"/>
      <c r="E337" s="282"/>
      <c r="F337" s="282"/>
      <c r="G337" s="282"/>
      <c r="H337" s="282"/>
      <c r="I337" s="282"/>
      <c r="J337" s="282"/>
      <c r="K337" s="282"/>
      <c r="L337" s="282"/>
      <c r="M337" s="282"/>
      <c r="N337" s="73"/>
      <c r="O337" s="73"/>
      <c r="P337" s="282"/>
      <c r="Q337" s="282"/>
      <c r="R337" s="282"/>
      <c r="S337" s="282"/>
      <c r="T337" s="282"/>
      <c r="U337" s="282"/>
      <c r="V337" s="282"/>
      <c r="W337" s="283"/>
      <c r="X337" s="283"/>
      <c r="Y337" s="282"/>
      <c r="Z337" s="282"/>
      <c r="AA337" s="282"/>
      <c r="AB337" s="282"/>
      <c r="AC337" s="282"/>
      <c r="AD337" s="282"/>
      <c r="AE337" s="284"/>
      <c r="AF337" s="284"/>
      <c r="AG337" s="284"/>
      <c r="AH337" s="282"/>
      <c r="AI337" s="282"/>
      <c r="AJ337" s="284"/>
      <c r="AK337" s="284"/>
      <c r="AL337" s="284"/>
      <c r="AM337" s="284"/>
      <c r="AN337" s="282"/>
      <c r="AO337" s="282"/>
    </row>
    <row r="338" spans="1:68">
      <c r="AW338" s="73"/>
      <c r="AX338" s="73"/>
      <c r="AY338" s="73"/>
      <c r="AZ338" s="73"/>
      <c r="BA338" s="73"/>
      <c r="BB338" s="73"/>
      <c r="BC338" s="73"/>
      <c r="BD338" s="73"/>
      <c r="BE338" s="73"/>
      <c r="BF338" s="73"/>
      <c r="BG338" s="73"/>
      <c r="BH338" s="73"/>
      <c r="BI338" s="73"/>
      <c r="BJ338" s="73"/>
      <c r="BO338" s="73"/>
      <c r="BP338" s="73"/>
    </row>
  </sheetData>
  <pageMargins left="0.75" right="0.75" top="1" bottom="1" header="0.5" footer="0.5"/>
  <pageSetup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270C0"/>
  </sheetPr>
  <dimension ref="A1:B28"/>
  <sheetViews>
    <sheetView workbookViewId="0">
      <selection activeCell="B28" sqref="B28"/>
    </sheetView>
  </sheetViews>
  <sheetFormatPr defaultRowHeight="14.4"/>
  <cols>
    <col min="1" max="1" width="52" bestFit="1" customWidth="1"/>
    <col min="2" max="2" width="23.88671875" customWidth="1"/>
  </cols>
  <sheetData>
    <row r="1" spans="1:2">
      <c r="A1" s="679" t="s">
        <v>1180</v>
      </c>
      <c r="B1" s="679"/>
    </row>
    <row r="2" spans="1:2">
      <c r="A2" s="740" t="s">
        <v>51</v>
      </c>
      <c r="B2" s="740"/>
    </row>
    <row r="3" spans="1:2">
      <c r="A3" s="6" t="s">
        <v>150</v>
      </c>
    </row>
    <row r="5" spans="1:2">
      <c r="A5" s="741" t="s">
        <v>80</v>
      </c>
      <c r="B5" s="741"/>
    </row>
    <row r="6" spans="1:2">
      <c r="A6" s="17"/>
      <c r="B6" s="17"/>
    </row>
    <row r="7" spans="1:2">
      <c r="A7" s="35" t="s">
        <v>81</v>
      </c>
      <c r="B7" s="36"/>
    </row>
    <row r="8" spans="1:2">
      <c r="A8" s="37" t="s">
        <v>82</v>
      </c>
      <c r="B8" s="38">
        <v>0</v>
      </c>
    </row>
    <row r="9" spans="1:2">
      <c r="A9" s="37" t="s">
        <v>83</v>
      </c>
      <c r="B9" s="39">
        <f>1/12</f>
        <v>8.3333333333333329E-2</v>
      </c>
    </row>
    <row r="10" spans="1:2">
      <c r="A10" s="37" t="s">
        <v>85</v>
      </c>
      <c r="B10" s="40">
        <f>ROUND(B8*B9,2)</f>
        <v>0</v>
      </c>
    </row>
    <row r="11" spans="1:2">
      <c r="A11" s="37" t="s">
        <v>84</v>
      </c>
      <c r="B11" s="39">
        <v>8.4500000000000006E-2</v>
      </c>
    </row>
    <row r="12" spans="1:2">
      <c r="A12" s="37" t="s">
        <v>86</v>
      </c>
      <c r="B12" s="40">
        <f>ROUND(B8*B11,2)</f>
        <v>0</v>
      </c>
    </row>
    <row r="13" spans="1:2">
      <c r="A13" s="37" t="s">
        <v>1183</v>
      </c>
      <c r="B13" s="38">
        <v>0</v>
      </c>
    </row>
    <row r="14" spans="1:2">
      <c r="A14" s="41" t="s">
        <v>1184</v>
      </c>
      <c r="B14" s="42">
        <f>IF(B8=0,0,B13/B8)</f>
        <v>0</v>
      </c>
    </row>
    <row r="16" spans="1:2">
      <c r="A16" s="35" t="s">
        <v>87</v>
      </c>
      <c r="B16" s="36"/>
    </row>
    <row r="17" spans="1:2">
      <c r="A17" s="37" t="s">
        <v>82</v>
      </c>
      <c r="B17" s="38">
        <v>0</v>
      </c>
    </row>
    <row r="18" spans="1:2">
      <c r="A18" s="37" t="s">
        <v>88</v>
      </c>
      <c r="B18" s="43">
        <v>0.05</v>
      </c>
    </row>
    <row r="19" spans="1:2">
      <c r="A19" s="37" t="s">
        <v>89</v>
      </c>
      <c r="B19" s="40">
        <f>ROUND(B17*B18,2)</f>
        <v>0</v>
      </c>
    </row>
    <row r="20" spans="1:2">
      <c r="A20" s="37" t="s">
        <v>1183</v>
      </c>
      <c r="B20" s="38">
        <v>0</v>
      </c>
    </row>
    <row r="21" spans="1:2">
      <c r="A21" s="41" t="s">
        <v>1184</v>
      </c>
      <c r="B21" s="42">
        <f>IF(B17=0,0,B20/B17)</f>
        <v>0</v>
      </c>
    </row>
    <row r="23" spans="1:2">
      <c r="A23" s="35" t="s">
        <v>769</v>
      </c>
      <c r="B23" s="36"/>
    </row>
    <row r="24" spans="1:2">
      <c r="A24" s="37" t="s">
        <v>89</v>
      </c>
      <c r="B24" s="38">
        <v>0</v>
      </c>
    </row>
    <row r="25" spans="1:2">
      <c r="A25" s="41" t="s">
        <v>1183</v>
      </c>
      <c r="B25" s="44">
        <v>0</v>
      </c>
    </row>
    <row r="28" spans="1:2">
      <c r="A28" t="s">
        <v>1185</v>
      </c>
      <c r="B28" s="14">
        <f>IF(B20&lt;&gt;0,B20,IF(B25&lt;&gt;0,B25,B13))</f>
        <v>0</v>
      </c>
    </row>
  </sheetData>
  <mergeCells count="3">
    <mergeCell ref="A1:B1"/>
    <mergeCell ref="A2:B2"/>
    <mergeCell ref="A5:B5"/>
  </mergeCells>
  <dataValidations count="3">
    <dataValidation type="decimal" errorStyle="warning" operator="notEqual" allowBlank="1" showInputMessage="1" showErrorMessage="1" errorTitle="Value/Policy Mismatch" error="The amount entered into this cell does not match the district's established fund balance policy." sqref="B25" xr:uid="{00000000-0002-0000-2300-000000000000}">
      <formula1>B24</formula1>
    </dataValidation>
    <dataValidation type="decimal" errorStyle="warning" operator="equal" allowBlank="1" showInputMessage="1" showErrorMessage="1" errorTitle="Value/Policy Mismatch" error="The amount recorded in this cell does not match the district's policy for minimum fund balance." sqref="B20" xr:uid="{00000000-0002-0000-2300-000001000000}">
      <formula1>B19</formula1>
    </dataValidation>
    <dataValidation type="decimal" errorStyle="warning" allowBlank="1" showInputMessage="1" showErrorMessage="1" errorTitle="Value Out Of Range" error="The amount entered in this cell is not within the district's established fund balance policy range." sqref="B13" xr:uid="{00000000-0002-0000-2300-000002000000}">
      <formula1>B10</formula1>
      <formula2>B12</formula2>
    </dataValidation>
  </dataValidations>
  <hyperlinks>
    <hyperlink ref="A3" location="'Fund Balance Summary'!A1" display="(Return to Summary Sheet)" xr:uid="{00000000-0004-0000-2300-000000000000}"/>
  </hyperlink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15"/>
  <sheetViews>
    <sheetView workbookViewId="0"/>
  </sheetViews>
  <sheetFormatPr defaultRowHeight="14.4"/>
  <cols>
    <col min="1" max="1" width="47.33203125" bestFit="1" customWidth="1"/>
  </cols>
  <sheetData>
    <row r="1" spans="1:6">
      <c r="A1" s="6" t="s">
        <v>810</v>
      </c>
    </row>
    <row r="3" spans="1:6">
      <c r="A3" t="s">
        <v>811</v>
      </c>
    </row>
    <row r="5" spans="1:6">
      <c r="A5" s="708" t="s">
        <v>812</v>
      </c>
      <c r="B5" s="708"/>
      <c r="C5" s="708"/>
      <c r="D5" s="708"/>
      <c r="E5" s="708"/>
      <c r="F5" s="708"/>
    </row>
    <row r="6" spans="1:6">
      <c r="A6" t="s">
        <v>813</v>
      </c>
    </row>
    <row r="7" spans="1:6">
      <c r="A7" t="s">
        <v>823</v>
      </c>
      <c r="B7" t="s">
        <v>814</v>
      </c>
    </row>
    <row r="8" spans="1:6">
      <c r="A8" t="s">
        <v>815</v>
      </c>
      <c r="C8" t="s">
        <v>814</v>
      </c>
    </row>
    <row r="10" spans="1:6">
      <c r="A10" s="708" t="s">
        <v>816</v>
      </c>
      <c r="B10" s="708"/>
      <c r="C10" s="708"/>
      <c r="D10" s="708"/>
      <c r="E10" s="708"/>
      <c r="F10" s="708"/>
    </row>
    <row r="11" spans="1:6">
      <c r="A11" s="708" t="s">
        <v>817</v>
      </c>
      <c r="B11" s="708"/>
      <c r="C11" s="708"/>
      <c r="D11" s="708"/>
      <c r="E11" s="708"/>
      <c r="F11" s="708"/>
    </row>
    <row r="13" spans="1:6">
      <c r="A13" t="s">
        <v>818</v>
      </c>
      <c r="B13" t="s">
        <v>819</v>
      </c>
    </row>
    <row r="14" spans="1:6">
      <c r="A14" t="s">
        <v>820</v>
      </c>
      <c r="B14" t="s">
        <v>814</v>
      </c>
      <c r="D14" t="s">
        <v>824</v>
      </c>
    </row>
    <row r="15" spans="1:6">
      <c r="A15" t="s">
        <v>821</v>
      </c>
      <c r="C15" t="s">
        <v>822</v>
      </c>
    </row>
  </sheetData>
  <mergeCells count="3">
    <mergeCell ref="A5:F5"/>
    <mergeCell ref="A10:F10"/>
    <mergeCell ref="A11:F11"/>
  </mergeCells>
  <hyperlinks>
    <hyperlink ref="A1" location="'GL 821 Restricted'!A1" display="(Click here to go back to the GL 821 page.)" xr:uid="{00000000-0004-0000-24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33"/>
  </sheetPr>
  <dimension ref="A1:T348"/>
  <sheetViews>
    <sheetView workbookViewId="0">
      <pane ySplit="6" topLeftCell="A57" activePane="bottomLeft" state="frozen"/>
      <selection pane="bottomLeft" activeCell="F302" sqref="F302"/>
    </sheetView>
  </sheetViews>
  <sheetFormatPr defaultColWidth="9.109375" defaultRowHeight="14.4"/>
  <cols>
    <col min="1" max="1" width="7.77734375" customWidth="1"/>
    <col min="2" max="2" width="6.109375" bestFit="1" customWidth="1"/>
    <col min="3" max="3" width="5.77734375" customWidth="1"/>
    <col min="4" max="4" width="8.88671875" customWidth="1"/>
    <col min="5" max="5" width="25.5546875" bestFit="1" customWidth="1"/>
    <col min="6" max="6" width="9.6640625" bestFit="1" customWidth="1"/>
    <col min="8" max="8" width="11.6640625" bestFit="1" customWidth="1"/>
    <col min="9" max="9" width="5.44140625" customWidth="1"/>
    <col min="10" max="10" width="2.33203125" customWidth="1"/>
    <col min="16" max="17" width="9.109375" style="366"/>
    <col min="19" max="20" width="11.33203125" bestFit="1" customWidth="1"/>
  </cols>
  <sheetData>
    <row r="1" spans="1:20" ht="15" thickBot="1">
      <c r="A1" s="156" t="s">
        <v>1519</v>
      </c>
      <c r="B1" s="434"/>
      <c r="C1" s="434"/>
      <c r="D1" s="192" t="s">
        <v>2497</v>
      </c>
      <c r="E1" s="193"/>
      <c r="F1" s="194"/>
      <c r="G1" s="195"/>
      <c r="H1" s="195"/>
      <c r="J1" s="196"/>
    </row>
    <row r="2" spans="1:20">
      <c r="A2" t="s">
        <v>2495</v>
      </c>
      <c r="C2" s="429" t="s">
        <v>2481</v>
      </c>
      <c r="D2" s="66"/>
      <c r="F2" s="66">
        <v>619</v>
      </c>
      <c r="G2" s="66">
        <v>609</v>
      </c>
      <c r="H2" s="430">
        <v>620</v>
      </c>
      <c r="J2" s="196"/>
      <c r="P2" s="366" t="s">
        <v>2496</v>
      </c>
    </row>
    <row r="3" spans="1:20">
      <c r="C3" s="429" t="s">
        <v>2482</v>
      </c>
      <c r="D3" s="66"/>
      <c r="F3" s="66" t="s">
        <v>1192</v>
      </c>
      <c r="G3" s="66" t="s">
        <v>1193</v>
      </c>
      <c r="H3" s="430" t="s">
        <v>1192</v>
      </c>
      <c r="J3" s="196"/>
      <c r="M3" t="s">
        <v>2474</v>
      </c>
      <c r="P3" s="366" t="s">
        <v>1148</v>
      </c>
      <c r="Q3" s="366" t="s">
        <v>1149</v>
      </c>
    </row>
    <row r="4" spans="1:20">
      <c r="F4" s="66" t="s">
        <v>11</v>
      </c>
      <c r="G4" s="66" t="s">
        <v>775</v>
      </c>
      <c r="H4" s="430" t="s">
        <v>1194</v>
      </c>
      <c r="J4" s="196"/>
      <c r="K4" s="117"/>
      <c r="M4">
        <v>330</v>
      </c>
      <c r="P4" s="366" t="s">
        <v>1556</v>
      </c>
      <c r="Q4" s="366" t="s">
        <v>750</v>
      </c>
    </row>
    <row r="5" spans="1:20" ht="15">
      <c r="A5" s="431" t="s">
        <v>2483</v>
      </c>
      <c r="B5" s="431" t="s">
        <v>758</v>
      </c>
      <c r="C5" s="66" t="s">
        <v>2463</v>
      </c>
      <c r="D5" s="66" t="s">
        <v>79</v>
      </c>
      <c r="E5" s="429" t="s">
        <v>826</v>
      </c>
      <c r="F5" s="66" t="s">
        <v>1195</v>
      </c>
      <c r="G5" s="66" t="s">
        <v>1195</v>
      </c>
      <c r="H5" s="430" t="s">
        <v>1195</v>
      </c>
      <c r="J5" s="196"/>
      <c r="K5" s="117"/>
      <c r="P5" s="366" t="s">
        <v>1160</v>
      </c>
      <c r="Q5" s="366" t="s">
        <v>1160</v>
      </c>
    </row>
    <row r="6" spans="1:20" ht="15">
      <c r="A6" s="431" t="s">
        <v>2484</v>
      </c>
      <c r="B6" s="431" t="s">
        <v>2484</v>
      </c>
      <c r="C6" s="66"/>
      <c r="D6" s="66" t="s">
        <v>2485</v>
      </c>
      <c r="E6" s="429" t="s">
        <v>2486</v>
      </c>
      <c r="F6" s="436">
        <v>3.5000000000000003E-2</v>
      </c>
      <c r="G6" s="436">
        <v>0.14981409707316898</v>
      </c>
      <c r="H6" s="436">
        <v>0.1464</v>
      </c>
      <c r="J6" s="196"/>
      <c r="K6" s="287"/>
      <c r="M6" t="s">
        <v>2058</v>
      </c>
      <c r="N6" t="s">
        <v>758</v>
      </c>
      <c r="O6" t="s">
        <v>759</v>
      </c>
      <c r="P6" s="366">
        <v>3.5000000000000003E-2</v>
      </c>
      <c r="Q6" s="366">
        <v>0.14981409707316898</v>
      </c>
      <c r="S6" s="48"/>
      <c r="T6" s="48"/>
    </row>
    <row r="7" spans="1:20" ht="15">
      <c r="A7" s="431">
        <v>1</v>
      </c>
      <c r="B7" s="431">
        <v>76</v>
      </c>
      <c r="C7" s="66" t="s">
        <v>2471</v>
      </c>
      <c r="D7" s="66" t="s">
        <v>297</v>
      </c>
      <c r="E7" s="429" t="s">
        <v>2133</v>
      </c>
      <c r="F7" s="436">
        <v>2.3900000000000001E-2</v>
      </c>
      <c r="G7" s="436">
        <v>0.15</v>
      </c>
      <c r="H7" s="436">
        <v>0.1588</v>
      </c>
      <c r="J7" s="196"/>
      <c r="K7" s="235"/>
      <c r="M7" t="s">
        <v>298</v>
      </c>
      <c r="N7" t="s">
        <v>297</v>
      </c>
      <c r="O7" t="s">
        <v>1200</v>
      </c>
      <c r="P7" s="539">
        <v>2.3900000000000001E-2</v>
      </c>
      <c r="Q7" s="539">
        <v>0.15</v>
      </c>
      <c r="S7" s="537">
        <f>+F7-P7</f>
        <v>0</v>
      </c>
      <c r="T7" s="537">
        <f>+G7-Q7</f>
        <v>0</v>
      </c>
    </row>
    <row r="8" spans="1:20" ht="15">
      <c r="A8" s="431">
        <v>2</v>
      </c>
      <c r="B8" s="431">
        <v>154</v>
      </c>
      <c r="C8" s="66" t="s">
        <v>2471</v>
      </c>
      <c r="D8" s="66" t="s">
        <v>424</v>
      </c>
      <c r="E8" s="429" t="s">
        <v>2196</v>
      </c>
      <c r="F8" s="436">
        <v>4.4600000000000001E-2</v>
      </c>
      <c r="G8" s="436">
        <v>0.217</v>
      </c>
      <c r="H8" s="436">
        <v>0.27950000000000003</v>
      </c>
      <c r="J8" s="196"/>
      <c r="K8" s="235"/>
      <c r="M8" t="s">
        <v>425</v>
      </c>
      <c r="N8" t="s">
        <v>424</v>
      </c>
      <c r="O8" t="s">
        <v>1201</v>
      </c>
      <c r="P8" s="539">
        <v>4.4600000000000001E-2</v>
      </c>
      <c r="Q8" s="539">
        <v>0.217</v>
      </c>
      <c r="S8" s="537">
        <f t="shared" ref="S8:S71" si="0">+F8-P8</f>
        <v>0</v>
      </c>
      <c r="T8" s="537">
        <f t="shared" ref="T8:T71" si="1">+G8-Q8</f>
        <v>0</v>
      </c>
    </row>
    <row r="9" spans="1:20" ht="15">
      <c r="A9" s="431">
        <v>3</v>
      </c>
      <c r="B9" s="431">
        <v>165</v>
      </c>
      <c r="C9" s="66" t="s">
        <v>2464</v>
      </c>
      <c r="D9" s="66" t="s">
        <v>446</v>
      </c>
      <c r="E9" s="429" t="s">
        <v>2207</v>
      </c>
      <c r="F9" s="436">
        <v>5.8900000000000001E-2</v>
      </c>
      <c r="G9" s="436">
        <v>0.20960000000000001</v>
      </c>
      <c r="H9" s="436">
        <v>0</v>
      </c>
      <c r="J9" s="196"/>
      <c r="K9" s="235"/>
      <c r="M9" t="s">
        <v>447</v>
      </c>
      <c r="N9" t="s">
        <v>446</v>
      </c>
      <c r="O9" t="s">
        <v>1202</v>
      </c>
      <c r="P9" s="539">
        <v>5.8900000000000001E-2</v>
      </c>
      <c r="Q9" s="539">
        <v>0.20960000000000001</v>
      </c>
      <c r="S9" s="537">
        <f t="shared" si="0"/>
        <v>0</v>
      </c>
      <c r="T9" s="537">
        <f t="shared" si="1"/>
        <v>0</v>
      </c>
    </row>
    <row r="10" spans="1:20" ht="15">
      <c r="A10" s="431">
        <v>4</v>
      </c>
      <c r="B10" s="431">
        <v>221</v>
      </c>
      <c r="C10" s="66" t="s">
        <v>2472</v>
      </c>
      <c r="D10" s="66" t="s">
        <v>548</v>
      </c>
      <c r="E10" s="429" t="s">
        <v>2259</v>
      </c>
      <c r="F10" s="436">
        <v>7.2800000000000004E-2</v>
      </c>
      <c r="G10" s="436">
        <v>0.192</v>
      </c>
      <c r="H10" s="436">
        <v>0.1903</v>
      </c>
      <c r="J10" s="196"/>
      <c r="K10" s="235"/>
      <c r="M10" t="s">
        <v>549</v>
      </c>
      <c r="N10" t="s">
        <v>548</v>
      </c>
      <c r="O10" t="s">
        <v>1203</v>
      </c>
      <c r="P10" s="539">
        <v>7.2800000000000004E-2</v>
      </c>
      <c r="Q10" s="539">
        <v>0.192</v>
      </c>
      <c r="S10" s="537">
        <f t="shared" si="0"/>
        <v>0</v>
      </c>
      <c r="T10" s="537">
        <f t="shared" si="1"/>
        <v>0</v>
      </c>
    </row>
    <row r="11" spans="1:20" ht="15">
      <c r="A11" s="431">
        <v>5</v>
      </c>
      <c r="B11" s="431">
        <v>234</v>
      </c>
      <c r="C11" s="66" t="s">
        <v>2472</v>
      </c>
      <c r="D11" s="66" t="s">
        <v>572</v>
      </c>
      <c r="E11" s="429" t="s">
        <v>2270</v>
      </c>
      <c r="F11" s="436">
        <v>2.5100000000000001E-2</v>
      </c>
      <c r="G11" s="436">
        <v>0.1212</v>
      </c>
      <c r="H11" s="436">
        <v>0.115</v>
      </c>
      <c r="J11" s="196"/>
      <c r="K11" s="235"/>
      <c r="M11" t="s">
        <v>573</v>
      </c>
      <c r="N11" t="s">
        <v>572</v>
      </c>
      <c r="O11" t="s">
        <v>1204</v>
      </c>
      <c r="P11" s="539">
        <v>2.5100000000000001E-2</v>
      </c>
      <c r="Q11" s="539">
        <v>0.1212</v>
      </c>
      <c r="S11" s="537">
        <f t="shared" si="0"/>
        <v>0</v>
      </c>
      <c r="T11" s="537">
        <f t="shared" si="1"/>
        <v>0</v>
      </c>
    </row>
    <row r="12" spans="1:20" ht="15">
      <c r="A12" s="431">
        <v>6</v>
      </c>
      <c r="B12" s="431">
        <v>7</v>
      </c>
      <c r="C12" s="66" t="s">
        <v>2465</v>
      </c>
      <c r="D12" s="66" t="s">
        <v>175</v>
      </c>
      <c r="E12" s="429" t="s">
        <v>2073</v>
      </c>
      <c r="F12" s="436">
        <v>3.6299999999999999E-2</v>
      </c>
      <c r="G12" s="436">
        <v>0.17829999999999999</v>
      </c>
      <c r="H12" s="436">
        <v>0.19520000000000001</v>
      </c>
      <c r="J12" s="196"/>
      <c r="K12" s="235"/>
      <c r="M12" t="s">
        <v>1629</v>
      </c>
      <c r="N12" t="s">
        <v>175</v>
      </c>
      <c r="O12" t="s">
        <v>1205</v>
      </c>
      <c r="P12" s="539">
        <v>3.6299999999999999E-2</v>
      </c>
      <c r="Q12" s="539">
        <v>0.17829999999999999</v>
      </c>
      <c r="S12" s="537">
        <f t="shared" si="0"/>
        <v>0</v>
      </c>
      <c r="T12" s="537">
        <f t="shared" si="1"/>
        <v>0</v>
      </c>
    </row>
    <row r="13" spans="1:20" ht="15">
      <c r="A13" s="431">
        <v>7</v>
      </c>
      <c r="B13" s="431">
        <v>108</v>
      </c>
      <c r="C13" s="66" t="s">
        <v>2473</v>
      </c>
      <c r="D13" s="66" t="s">
        <v>97</v>
      </c>
      <c r="E13" s="429" t="s">
        <v>2165</v>
      </c>
      <c r="F13" s="436">
        <v>3.9699999999999999E-2</v>
      </c>
      <c r="G13" s="436">
        <v>0.1363</v>
      </c>
      <c r="H13" s="436">
        <v>0.13650000000000001</v>
      </c>
      <c r="J13" s="196"/>
      <c r="K13" s="235"/>
      <c r="M13" t="s">
        <v>360</v>
      </c>
      <c r="N13" t="s">
        <v>97</v>
      </c>
      <c r="O13" t="s">
        <v>1206</v>
      </c>
      <c r="P13" s="539">
        <v>3.9699999999999999E-2</v>
      </c>
      <c r="Q13" s="539">
        <v>0.1363</v>
      </c>
      <c r="S13" s="537">
        <f t="shared" si="0"/>
        <v>0</v>
      </c>
      <c r="T13" s="537">
        <f t="shared" si="1"/>
        <v>0</v>
      </c>
    </row>
    <row r="14" spans="1:20" ht="15">
      <c r="A14" s="431">
        <v>8</v>
      </c>
      <c r="B14" s="431">
        <v>127</v>
      </c>
      <c r="C14" s="66" t="s">
        <v>2473</v>
      </c>
      <c r="D14" s="66" t="s">
        <v>376</v>
      </c>
      <c r="E14" s="429" t="s">
        <v>2177</v>
      </c>
      <c r="F14" s="436">
        <v>3.4799999999999998E-2</v>
      </c>
      <c r="G14" s="436">
        <v>0.1807</v>
      </c>
      <c r="H14" s="436">
        <v>0.17730000000000001</v>
      </c>
      <c r="J14" s="196"/>
      <c r="K14" s="235"/>
      <c r="M14" t="s">
        <v>377</v>
      </c>
      <c r="N14" t="s">
        <v>376</v>
      </c>
      <c r="O14" t="s">
        <v>2521</v>
      </c>
      <c r="P14" s="539">
        <v>3.4799999999999998E-2</v>
      </c>
      <c r="Q14" s="539">
        <v>0.1807</v>
      </c>
      <c r="S14" s="537">
        <f t="shared" si="0"/>
        <v>0</v>
      </c>
      <c r="T14" s="537">
        <f t="shared" si="1"/>
        <v>0</v>
      </c>
    </row>
    <row r="15" spans="1:20" ht="15">
      <c r="A15" s="431">
        <v>9</v>
      </c>
      <c r="B15" s="431">
        <v>36</v>
      </c>
      <c r="C15" s="66" t="s">
        <v>2469</v>
      </c>
      <c r="D15" s="66" t="s">
        <v>225</v>
      </c>
      <c r="E15" s="429" t="s">
        <v>2099</v>
      </c>
      <c r="F15" s="436">
        <v>3.6900000000000002E-2</v>
      </c>
      <c r="G15" s="436">
        <v>0.14799999999999999</v>
      </c>
      <c r="H15" s="436">
        <v>0.1295</v>
      </c>
      <c r="J15" s="196"/>
      <c r="K15" s="235"/>
      <c r="M15" t="s">
        <v>226</v>
      </c>
      <c r="N15" t="s">
        <v>225</v>
      </c>
      <c r="O15" t="s">
        <v>1208</v>
      </c>
      <c r="P15" s="539">
        <v>3.6900000000000002E-2</v>
      </c>
      <c r="Q15" s="539">
        <v>0.14799999999999999</v>
      </c>
      <c r="S15" s="537">
        <f t="shared" si="0"/>
        <v>0</v>
      </c>
      <c r="T15" s="537">
        <f t="shared" si="1"/>
        <v>0</v>
      </c>
    </row>
    <row r="16" spans="1:20" ht="15">
      <c r="A16" s="431">
        <v>10</v>
      </c>
      <c r="B16" s="431">
        <v>105</v>
      </c>
      <c r="C16" s="66" t="s">
        <v>2473</v>
      </c>
      <c r="D16" s="66" t="s">
        <v>354</v>
      </c>
      <c r="E16" s="429" t="s">
        <v>2162</v>
      </c>
      <c r="F16" s="436">
        <v>2.3099999999999999E-2</v>
      </c>
      <c r="G16" s="436">
        <v>0.13059999999999999</v>
      </c>
      <c r="H16" s="436">
        <v>0.12620000000000001</v>
      </c>
      <c r="J16" s="196"/>
      <c r="K16" s="235"/>
      <c r="M16" t="s">
        <v>355</v>
      </c>
      <c r="N16" t="s">
        <v>354</v>
      </c>
      <c r="O16" t="s">
        <v>1209</v>
      </c>
      <c r="P16" s="539">
        <v>2.3099999999999999E-2</v>
      </c>
      <c r="Q16" s="539">
        <v>0.13059999999999999</v>
      </c>
      <c r="S16" s="537">
        <f t="shared" si="0"/>
        <v>0</v>
      </c>
      <c r="T16" s="537">
        <f t="shared" si="1"/>
        <v>0</v>
      </c>
    </row>
    <row r="17" spans="1:20" ht="15">
      <c r="A17" s="431">
        <v>11</v>
      </c>
      <c r="B17" s="431">
        <v>292</v>
      </c>
      <c r="C17" s="66" t="s">
        <v>2472</v>
      </c>
      <c r="D17" s="66" t="s">
        <v>671</v>
      </c>
      <c r="E17" s="429" t="s">
        <v>2324</v>
      </c>
      <c r="F17" s="436">
        <v>2.6200000000000001E-2</v>
      </c>
      <c r="G17" s="436">
        <v>0.13</v>
      </c>
      <c r="H17" s="436">
        <v>0.1231</v>
      </c>
      <c r="J17" s="196"/>
      <c r="K17" s="235"/>
      <c r="M17" t="s">
        <v>672</v>
      </c>
      <c r="N17" t="s">
        <v>671</v>
      </c>
      <c r="O17" t="s">
        <v>1210</v>
      </c>
      <c r="P17" s="539">
        <v>2.6200000000000001E-2</v>
      </c>
      <c r="Q17" s="539">
        <v>0.13</v>
      </c>
      <c r="S17" s="537">
        <f t="shared" si="0"/>
        <v>0</v>
      </c>
      <c r="T17" s="537">
        <f t="shared" si="1"/>
        <v>0</v>
      </c>
    </row>
    <row r="18" spans="1:20" ht="15">
      <c r="A18" s="431">
        <v>12</v>
      </c>
      <c r="B18" s="431">
        <v>2</v>
      </c>
      <c r="C18" s="66" t="s">
        <v>2464</v>
      </c>
      <c r="D18" s="66" t="s">
        <v>165</v>
      </c>
      <c r="E18" s="429" t="s">
        <v>2370</v>
      </c>
      <c r="F18" s="436">
        <v>7.0900000000000005E-2</v>
      </c>
      <c r="G18" s="436">
        <v>0.3574</v>
      </c>
      <c r="H18" s="436">
        <v>0.37469999999999998</v>
      </c>
      <c r="J18" s="196"/>
      <c r="K18" s="235"/>
      <c r="M18" t="s">
        <v>166</v>
      </c>
      <c r="N18" t="s">
        <v>165</v>
      </c>
      <c r="O18" t="s">
        <v>1211</v>
      </c>
      <c r="P18" s="539">
        <v>7.0900000000000005E-2</v>
      </c>
      <c r="Q18" s="539">
        <v>0.3574</v>
      </c>
      <c r="S18" s="537">
        <f t="shared" si="0"/>
        <v>0</v>
      </c>
      <c r="T18" s="537">
        <f t="shared" si="1"/>
        <v>0</v>
      </c>
    </row>
    <row r="19" spans="1:20" ht="15">
      <c r="A19" s="431">
        <v>13</v>
      </c>
      <c r="B19" s="431">
        <v>207</v>
      </c>
      <c r="C19" s="66" t="s">
        <v>2473</v>
      </c>
      <c r="D19" s="66" t="s">
        <v>527</v>
      </c>
      <c r="E19" s="429" t="s">
        <v>2248</v>
      </c>
      <c r="F19" s="436">
        <v>3.56E-2</v>
      </c>
      <c r="G19" s="436">
        <v>0.15029999999999999</v>
      </c>
      <c r="H19" s="436">
        <v>0.1343</v>
      </c>
      <c r="J19" s="196"/>
      <c r="K19" s="235"/>
      <c r="M19" t="s">
        <v>528</v>
      </c>
      <c r="N19" t="s">
        <v>527</v>
      </c>
      <c r="O19" t="s">
        <v>1212</v>
      </c>
      <c r="P19" s="539">
        <v>3.56E-2</v>
      </c>
      <c r="Q19" s="539">
        <v>0.15029999999999999</v>
      </c>
      <c r="S19" s="537">
        <f t="shared" si="0"/>
        <v>0</v>
      </c>
      <c r="T19" s="537">
        <f t="shared" si="1"/>
        <v>0</v>
      </c>
    </row>
    <row r="20" spans="1:20" ht="15">
      <c r="A20" s="431">
        <v>14</v>
      </c>
      <c r="B20" s="431">
        <v>141</v>
      </c>
      <c r="C20" s="66" t="s">
        <v>2470</v>
      </c>
      <c r="D20" s="66" t="s">
        <v>398</v>
      </c>
      <c r="E20" s="429" t="s">
        <v>2376</v>
      </c>
      <c r="F20" s="436">
        <v>2.5499999999999998E-2</v>
      </c>
      <c r="G20" s="436">
        <v>0.29859999999999998</v>
      </c>
      <c r="H20" s="436">
        <v>0.31940000000000002</v>
      </c>
      <c r="J20" s="196"/>
      <c r="K20" s="235"/>
      <c r="M20" t="s">
        <v>399</v>
      </c>
      <c r="N20" t="s">
        <v>398</v>
      </c>
      <c r="O20" t="s">
        <v>1213</v>
      </c>
      <c r="P20" s="539">
        <v>2.5499999999999998E-2</v>
      </c>
      <c r="Q20" s="539">
        <v>0.29859999999999998</v>
      </c>
      <c r="S20" s="537">
        <f t="shared" si="0"/>
        <v>0</v>
      </c>
      <c r="T20" s="537">
        <f t="shared" si="1"/>
        <v>0</v>
      </c>
    </row>
    <row r="21" spans="1:20" ht="15">
      <c r="A21" s="431">
        <v>15</v>
      </c>
      <c r="B21" s="431">
        <v>294</v>
      </c>
      <c r="C21" s="66" t="s">
        <v>2472</v>
      </c>
      <c r="D21" s="66" t="s">
        <v>675</v>
      </c>
      <c r="E21" s="429" t="s">
        <v>2326</v>
      </c>
      <c r="F21" s="436">
        <v>4.2200000000000001E-2</v>
      </c>
      <c r="G21" s="436">
        <v>0.18079999999999999</v>
      </c>
      <c r="H21" s="436">
        <v>0.18509999999999999</v>
      </c>
      <c r="J21" s="196"/>
      <c r="K21" s="235"/>
      <c r="M21" t="s">
        <v>676</v>
      </c>
      <c r="N21" t="s">
        <v>675</v>
      </c>
      <c r="O21" t="s">
        <v>1214</v>
      </c>
      <c r="P21" s="539">
        <v>4.2200000000000001E-2</v>
      </c>
      <c r="Q21" s="539">
        <v>0.18079999999999999</v>
      </c>
      <c r="S21" s="537">
        <f t="shared" si="0"/>
        <v>0</v>
      </c>
      <c r="T21" s="537">
        <f t="shared" si="1"/>
        <v>0</v>
      </c>
    </row>
    <row r="22" spans="1:20" ht="15">
      <c r="A22" s="431">
        <v>16</v>
      </c>
      <c r="B22" s="431">
        <v>156</v>
      </c>
      <c r="C22" s="66" t="s">
        <v>2471</v>
      </c>
      <c r="D22" s="66" t="s">
        <v>428</v>
      </c>
      <c r="E22" s="429" t="s">
        <v>2198</v>
      </c>
      <c r="F22" s="436">
        <v>9.6699999999999994E-2</v>
      </c>
      <c r="G22" s="436">
        <v>0.2445</v>
      </c>
      <c r="H22" s="436">
        <v>0.33250000000000002</v>
      </c>
      <c r="J22" s="196"/>
      <c r="K22" s="235"/>
      <c r="M22" t="s">
        <v>429</v>
      </c>
      <c r="N22" t="s">
        <v>428</v>
      </c>
      <c r="O22" t="s">
        <v>1215</v>
      </c>
      <c r="P22" s="539">
        <v>9.6699999999999994E-2</v>
      </c>
      <c r="Q22" s="539">
        <v>0.2445</v>
      </c>
      <c r="S22" s="537">
        <f t="shared" si="0"/>
        <v>0</v>
      </c>
      <c r="T22" s="537">
        <f t="shared" si="1"/>
        <v>0</v>
      </c>
    </row>
    <row r="23" spans="1:20" ht="15">
      <c r="A23" s="431">
        <v>17</v>
      </c>
      <c r="B23" s="431">
        <v>126</v>
      </c>
      <c r="C23" s="66" t="s">
        <v>2468</v>
      </c>
      <c r="D23" s="66" t="s">
        <v>374</v>
      </c>
      <c r="E23" s="429" t="s">
        <v>2176</v>
      </c>
      <c r="F23" s="436">
        <v>4.2799999999999998E-2</v>
      </c>
      <c r="G23" s="436">
        <v>0.14369999999999999</v>
      </c>
      <c r="H23" s="436">
        <v>0.12189999999999999</v>
      </c>
      <c r="J23" s="196"/>
      <c r="K23" s="235"/>
      <c r="M23" t="s">
        <v>375</v>
      </c>
      <c r="N23" t="s">
        <v>374</v>
      </c>
      <c r="O23" t="s">
        <v>1216</v>
      </c>
      <c r="P23" s="539">
        <v>4.2799999999999998E-2</v>
      </c>
      <c r="Q23" s="539">
        <v>0.14369999999999999</v>
      </c>
      <c r="S23" s="537">
        <f t="shared" si="0"/>
        <v>0</v>
      </c>
      <c r="T23" s="537">
        <f t="shared" si="1"/>
        <v>0</v>
      </c>
    </row>
    <row r="24" spans="1:20" ht="15">
      <c r="A24" s="431">
        <v>18</v>
      </c>
      <c r="B24" s="431">
        <v>181</v>
      </c>
      <c r="C24" s="66" t="s">
        <v>2466</v>
      </c>
      <c r="D24" s="66" t="s">
        <v>478</v>
      </c>
      <c r="E24" s="429" t="s">
        <v>2223</v>
      </c>
      <c r="F24" s="436">
        <v>6.3500000000000001E-2</v>
      </c>
      <c r="G24" s="436">
        <v>0.20430000000000001</v>
      </c>
      <c r="H24" s="436">
        <v>0.19800000000000001</v>
      </c>
      <c r="J24" s="196"/>
      <c r="K24" s="235"/>
      <c r="M24" t="s">
        <v>479</v>
      </c>
      <c r="N24" t="s">
        <v>478</v>
      </c>
      <c r="O24" t="s">
        <v>1217</v>
      </c>
      <c r="P24" s="539">
        <v>6.3500000000000001E-2</v>
      </c>
      <c r="Q24" s="539">
        <v>0.20430000000000001</v>
      </c>
      <c r="S24" s="537">
        <f t="shared" si="0"/>
        <v>0</v>
      </c>
      <c r="T24" s="537">
        <f t="shared" si="1"/>
        <v>0</v>
      </c>
    </row>
    <row r="25" spans="1:20" ht="15">
      <c r="A25" s="431">
        <v>19</v>
      </c>
      <c r="B25" s="431">
        <v>50</v>
      </c>
      <c r="C25" s="66" t="s">
        <v>2466</v>
      </c>
      <c r="D25" s="66" t="s">
        <v>247</v>
      </c>
      <c r="E25" s="429" t="s">
        <v>2109</v>
      </c>
      <c r="F25" s="436">
        <v>3.7499999999999999E-2</v>
      </c>
      <c r="G25" s="436">
        <v>0.1817</v>
      </c>
      <c r="H25" s="436">
        <v>0.1212</v>
      </c>
      <c r="J25" s="196"/>
      <c r="K25" s="235"/>
      <c r="M25" t="s">
        <v>248</v>
      </c>
      <c r="N25" t="s">
        <v>247</v>
      </c>
      <c r="O25" t="s">
        <v>1218</v>
      </c>
      <c r="P25" s="539">
        <v>3.7499999999999999E-2</v>
      </c>
      <c r="Q25" s="539">
        <v>0.1817</v>
      </c>
      <c r="S25" s="537">
        <f t="shared" si="0"/>
        <v>0</v>
      </c>
      <c r="T25" s="537">
        <f t="shared" si="1"/>
        <v>0</v>
      </c>
    </row>
    <row r="26" spans="1:20" ht="15">
      <c r="A26" s="431">
        <v>20</v>
      </c>
      <c r="B26" s="431">
        <v>93</v>
      </c>
      <c r="C26" s="66" t="s">
        <v>2468</v>
      </c>
      <c r="D26" s="66" t="s">
        <v>330</v>
      </c>
      <c r="E26" s="429" t="s">
        <v>2150</v>
      </c>
      <c r="F26" s="436">
        <v>0.14630000000000001</v>
      </c>
      <c r="G26" s="436">
        <v>0.37930000000000003</v>
      </c>
      <c r="H26" s="436">
        <v>0.40649999999999997</v>
      </c>
      <c r="J26" s="196"/>
      <c r="K26" s="235"/>
      <c r="M26" t="s">
        <v>331</v>
      </c>
      <c r="N26" t="s">
        <v>330</v>
      </c>
      <c r="O26" t="s">
        <v>1219</v>
      </c>
      <c r="P26" s="539">
        <v>0.14630000000000001</v>
      </c>
      <c r="Q26" s="539">
        <v>0.37930000000000003</v>
      </c>
      <c r="S26" s="537">
        <f t="shared" si="0"/>
        <v>0</v>
      </c>
      <c r="T26" s="537">
        <f t="shared" si="1"/>
        <v>0</v>
      </c>
    </row>
    <row r="27" spans="1:20" ht="15">
      <c r="A27" s="431">
        <v>21</v>
      </c>
      <c r="B27" s="431">
        <v>219</v>
      </c>
      <c r="C27" s="66" t="s">
        <v>2472</v>
      </c>
      <c r="D27" s="66" t="s">
        <v>545</v>
      </c>
      <c r="E27" s="429" t="s">
        <v>2257</v>
      </c>
      <c r="F27" s="436">
        <v>3.0300000000000001E-2</v>
      </c>
      <c r="G27" s="436">
        <v>0.12570000000000001</v>
      </c>
      <c r="H27" s="436">
        <v>0.11559999999999999</v>
      </c>
      <c r="J27" s="196"/>
      <c r="K27" s="235"/>
      <c r="M27" t="s">
        <v>1136</v>
      </c>
      <c r="N27" t="s">
        <v>545</v>
      </c>
      <c r="O27" t="s">
        <v>2522</v>
      </c>
      <c r="P27" s="539">
        <v>3.0300000000000001E-2</v>
      </c>
      <c r="Q27" s="539">
        <v>0.12570000000000001</v>
      </c>
      <c r="S27" s="537">
        <f t="shared" si="0"/>
        <v>0</v>
      </c>
      <c r="T27" s="537">
        <f t="shared" si="1"/>
        <v>0</v>
      </c>
    </row>
    <row r="28" spans="1:20" ht="15">
      <c r="A28" s="431">
        <v>22</v>
      </c>
      <c r="B28" s="431">
        <v>35</v>
      </c>
      <c r="C28" s="66" t="s">
        <v>2469</v>
      </c>
      <c r="D28" s="66" t="s">
        <v>223</v>
      </c>
      <c r="E28" s="429" t="s">
        <v>2098</v>
      </c>
      <c r="F28" s="436">
        <v>3.5799999999999998E-2</v>
      </c>
      <c r="G28" s="436">
        <v>0.1394</v>
      </c>
      <c r="H28" s="436">
        <v>0.1482</v>
      </c>
      <c r="J28" s="196"/>
      <c r="K28" s="235"/>
      <c r="M28" t="s">
        <v>224</v>
      </c>
      <c r="N28" t="s">
        <v>223</v>
      </c>
      <c r="O28" t="s">
        <v>1221</v>
      </c>
      <c r="P28" s="539">
        <v>3.5799999999999998E-2</v>
      </c>
      <c r="Q28" s="539">
        <v>0.1394</v>
      </c>
      <c r="S28" s="537">
        <f t="shared" si="0"/>
        <v>0</v>
      </c>
      <c r="T28" s="537">
        <f t="shared" si="1"/>
        <v>0</v>
      </c>
    </row>
    <row r="29" spans="1:20" ht="15">
      <c r="A29" s="431">
        <v>23</v>
      </c>
      <c r="B29" s="431">
        <v>26</v>
      </c>
      <c r="C29" s="66" t="s">
        <v>2468</v>
      </c>
      <c r="D29" s="66" t="s">
        <v>209</v>
      </c>
      <c r="E29" s="429" t="s">
        <v>2090</v>
      </c>
      <c r="F29" s="436">
        <v>8.8999999999999996E-2</v>
      </c>
      <c r="G29" s="436">
        <v>0.25900000000000001</v>
      </c>
      <c r="H29" s="436">
        <v>0.26100000000000001</v>
      </c>
      <c r="J29" s="196"/>
      <c r="K29" s="235"/>
      <c r="M29" t="s">
        <v>210</v>
      </c>
      <c r="N29" t="s">
        <v>209</v>
      </c>
      <c r="O29" t="s">
        <v>1222</v>
      </c>
      <c r="P29" s="539">
        <v>8.8999999999999996E-2</v>
      </c>
      <c r="Q29" s="539">
        <v>0.25900000000000001</v>
      </c>
      <c r="S29" s="537">
        <f t="shared" si="0"/>
        <v>0</v>
      </c>
      <c r="T29" s="537">
        <f t="shared" si="1"/>
        <v>0</v>
      </c>
    </row>
    <row r="30" spans="1:20" ht="15">
      <c r="A30" s="431">
        <v>24</v>
      </c>
      <c r="B30" s="431">
        <v>199</v>
      </c>
      <c r="C30" s="66" t="s">
        <v>2473</v>
      </c>
      <c r="D30" s="66" t="s">
        <v>511</v>
      </c>
      <c r="E30" s="429" t="s">
        <v>2240</v>
      </c>
      <c r="F30" s="436">
        <v>5.45E-2</v>
      </c>
      <c r="G30" s="436">
        <v>0.2399</v>
      </c>
      <c r="H30" s="436">
        <v>0.1928</v>
      </c>
      <c r="J30" s="196"/>
      <c r="K30" s="235"/>
      <c r="M30" t="s">
        <v>512</v>
      </c>
      <c r="N30" t="s">
        <v>511</v>
      </c>
      <c r="O30" t="s">
        <v>1223</v>
      </c>
      <c r="P30" s="539">
        <v>5.45E-2</v>
      </c>
      <c r="Q30" s="539">
        <v>0.2399</v>
      </c>
      <c r="S30" s="537">
        <f t="shared" si="0"/>
        <v>0</v>
      </c>
      <c r="T30" s="537">
        <f t="shared" si="1"/>
        <v>0</v>
      </c>
    </row>
    <row r="31" spans="1:20" ht="15">
      <c r="A31" s="431">
        <v>25</v>
      </c>
      <c r="B31" s="431">
        <v>19</v>
      </c>
      <c r="C31" s="66" t="s">
        <v>2466</v>
      </c>
      <c r="D31" s="66" t="s">
        <v>199</v>
      </c>
      <c r="E31" s="429" t="s">
        <v>2084</v>
      </c>
      <c r="F31" s="436">
        <v>3.4000000000000002E-2</v>
      </c>
      <c r="G31" s="436">
        <v>0.15049999999999999</v>
      </c>
      <c r="H31" s="436">
        <v>0.14510000000000001</v>
      </c>
      <c r="J31" s="196"/>
      <c r="K31" s="235"/>
      <c r="M31" t="s">
        <v>200</v>
      </c>
      <c r="N31" t="s">
        <v>199</v>
      </c>
      <c r="O31" t="s">
        <v>1224</v>
      </c>
      <c r="P31" s="539">
        <v>3.4000000000000002E-2</v>
      </c>
      <c r="Q31" s="539">
        <v>0.15049999999999999</v>
      </c>
      <c r="S31" s="537">
        <f t="shared" si="0"/>
        <v>0</v>
      </c>
      <c r="T31" s="537">
        <f t="shared" si="1"/>
        <v>0</v>
      </c>
    </row>
    <row r="32" spans="1:20" ht="15">
      <c r="A32" s="431">
        <v>26</v>
      </c>
      <c r="B32" s="431">
        <v>18</v>
      </c>
      <c r="C32" s="66" t="s">
        <v>2466</v>
      </c>
      <c r="D32" s="66" t="s">
        <v>197</v>
      </c>
      <c r="E32" s="429" t="s">
        <v>2083</v>
      </c>
      <c r="F32" s="538">
        <v>4.224E-2</v>
      </c>
      <c r="G32" s="436">
        <v>0.16250000000000001</v>
      </c>
      <c r="H32" s="436">
        <v>0.157</v>
      </c>
      <c r="J32" s="196"/>
      <c r="K32" s="235"/>
      <c r="M32" t="s">
        <v>198</v>
      </c>
      <c r="N32" t="s">
        <v>197</v>
      </c>
      <c r="O32" t="s">
        <v>1225</v>
      </c>
      <c r="P32" s="538">
        <v>4.224E-2</v>
      </c>
      <c r="Q32" s="539">
        <v>0.16250000000000001</v>
      </c>
      <c r="S32" s="537">
        <f t="shared" si="0"/>
        <v>0</v>
      </c>
      <c r="T32" s="537">
        <f t="shared" si="1"/>
        <v>0</v>
      </c>
    </row>
    <row r="33" spans="1:20" ht="15">
      <c r="A33" s="431">
        <v>27</v>
      </c>
      <c r="B33" s="431">
        <v>45</v>
      </c>
      <c r="C33" s="66" t="s">
        <v>2469</v>
      </c>
      <c r="D33" s="66" t="s">
        <v>237</v>
      </c>
      <c r="E33" s="429" t="s">
        <v>2104</v>
      </c>
      <c r="F33" s="436">
        <v>4.6800000000000001E-2</v>
      </c>
      <c r="G33" s="436">
        <v>0.18909999999999999</v>
      </c>
      <c r="H33" s="436">
        <v>0.1638</v>
      </c>
      <c r="J33" s="196"/>
      <c r="K33" s="235"/>
      <c r="M33" t="s">
        <v>238</v>
      </c>
      <c r="N33" t="s">
        <v>237</v>
      </c>
      <c r="O33" t="s">
        <v>1226</v>
      </c>
      <c r="P33" s="539">
        <v>4.6800000000000001E-2</v>
      </c>
      <c r="Q33" s="539">
        <v>0.18909999999999999</v>
      </c>
      <c r="S33" s="537">
        <f t="shared" si="0"/>
        <v>0</v>
      </c>
      <c r="T33" s="537">
        <f t="shared" si="1"/>
        <v>0</v>
      </c>
    </row>
    <row r="34" spans="1:20" ht="15">
      <c r="A34" s="431">
        <v>28</v>
      </c>
      <c r="B34" s="431">
        <v>132</v>
      </c>
      <c r="C34" s="66" t="s">
        <v>2467</v>
      </c>
      <c r="D34" s="66" t="s">
        <v>1623</v>
      </c>
      <c r="E34" s="429" t="s">
        <v>2181</v>
      </c>
      <c r="F34" s="436">
        <v>3.5000000000000003E-2</v>
      </c>
      <c r="G34" s="436">
        <v>0.14979999999999999</v>
      </c>
      <c r="H34" s="436">
        <v>0.1464</v>
      </c>
      <c r="J34" s="196"/>
      <c r="K34" s="235"/>
      <c r="M34" t="s">
        <v>1630</v>
      </c>
      <c r="N34" t="s">
        <v>1623</v>
      </c>
      <c r="O34" t="s">
        <v>2523</v>
      </c>
      <c r="P34" s="539">
        <v>3.5000000000000003E-2</v>
      </c>
      <c r="Q34" s="539">
        <v>0.14979999999999999</v>
      </c>
      <c r="S34" s="537">
        <f t="shared" si="0"/>
        <v>0</v>
      </c>
      <c r="T34" s="537">
        <f t="shared" si="1"/>
        <v>0</v>
      </c>
    </row>
    <row r="35" spans="1:20" ht="15">
      <c r="A35" s="431">
        <v>29</v>
      </c>
      <c r="B35" s="431">
        <v>142</v>
      </c>
      <c r="C35" s="66" t="s">
        <v>2469</v>
      </c>
      <c r="D35" s="66" t="s">
        <v>400</v>
      </c>
      <c r="E35" s="429" t="s">
        <v>2188</v>
      </c>
      <c r="F35" s="436">
        <v>8.6300000000000002E-2</v>
      </c>
      <c r="G35" s="436">
        <v>0.28570000000000001</v>
      </c>
      <c r="H35" s="436">
        <v>0.28699999999999998</v>
      </c>
      <c r="J35" s="196"/>
      <c r="K35" s="235"/>
      <c r="M35" t="s">
        <v>401</v>
      </c>
      <c r="N35" t="s">
        <v>400</v>
      </c>
      <c r="O35" t="s">
        <v>1227</v>
      </c>
      <c r="P35" s="539">
        <v>8.6300000000000002E-2</v>
      </c>
      <c r="Q35" s="539">
        <v>0.28570000000000001</v>
      </c>
      <c r="S35" s="537">
        <f t="shared" si="0"/>
        <v>0</v>
      </c>
      <c r="T35" s="537">
        <f t="shared" si="1"/>
        <v>0</v>
      </c>
    </row>
    <row r="36" spans="1:20" ht="15">
      <c r="A36" s="431">
        <v>30</v>
      </c>
      <c r="B36" s="431">
        <v>129</v>
      </c>
      <c r="C36" s="66" t="s">
        <v>2468</v>
      </c>
      <c r="D36" s="66" t="s">
        <v>380</v>
      </c>
      <c r="E36" s="429" t="s">
        <v>2179</v>
      </c>
      <c r="F36" s="436">
        <v>3.2199999999999999E-2</v>
      </c>
      <c r="G36" s="436">
        <v>0.14460000000000001</v>
      </c>
      <c r="H36" s="436">
        <v>0.13669999999999999</v>
      </c>
      <c r="J36" s="196"/>
      <c r="K36" s="235"/>
      <c r="M36" t="s">
        <v>381</v>
      </c>
      <c r="N36" t="s">
        <v>380</v>
      </c>
      <c r="O36" t="s">
        <v>1228</v>
      </c>
      <c r="P36" s="539">
        <v>3.2199999999999999E-2</v>
      </c>
      <c r="Q36" s="539">
        <v>0.14460000000000001</v>
      </c>
      <c r="S36" s="537">
        <f t="shared" si="0"/>
        <v>0</v>
      </c>
      <c r="T36" s="537">
        <f t="shared" si="1"/>
        <v>0</v>
      </c>
    </row>
    <row r="37" spans="1:20" ht="15">
      <c r="A37" s="431">
        <v>31</v>
      </c>
      <c r="B37" s="431">
        <v>250</v>
      </c>
      <c r="C37" s="66" t="s">
        <v>2464</v>
      </c>
      <c r="D37" s="66" t="s">
        <v>604</v>
      </c>
      <c r="E37" s="429" t="s">
        <v>2285</v>
      </c>
      <c r="F37" s="436">
        <v>3.6299999999999999E-2</v>
      </c>
      <c r="G37" s="436">
        <v>0.12970000000000001</v>
      </c>
      <c r="H37" s="436">
        <v>0.13700000000000001</v>
      </c>
      <c r="J37" s="196"/>
      <c r="K37" s="235"/>
      <c r="M37" t="s">
        <v>605</v>
      </c>
      <c r="N37" t="s">
        <v>604</v>
      </c>
      <c r="O37" t="s">
        <v>1229</v>
      </c>
      <c r="P37" s="539">
        <v>3.6299999999999999E-2</v>
      </c>
      <c r="Q37" s="539">
        <v>0.12970000000000001</v>
      </c>
      <c r="S37" s="537">
        <f t="shared" si="0"/>
        <v>0</v>
      </c>
      <c r="T37" s="537">
        <f t="shared" si="1"/>
        <v>0</v>
      </c>
    </row>
    <row r="38" spans="1:20" ht="15">
      <c r="A38" s="431">
        <v>32</v>
      </c>
      <c r="B38" s="431">
        <v>162</v>
      </c>
      <c r="C38" s="66" t="s">
        <v>2471</v>
      </c>
      <c r="D38" s="66" t="s">
        <v>440</v>
      </c>
      <c r="E38" s="429" t="s">
        <v>2204</v>
      </c>
      <c r="F38" s="436">
        <v>1.49E-2</v>
      </c>
      <c r="G38" s="436">
        <v>0.1351</v>
      </c>
      <c r="H38" s="436">
        <v>0.13800000000000001</v>
      </c>
      <c r="J38" s="196"/>
      <c r="K38" s="235"/>
      <c r="M38" t="s">
        <v>441</v>
      </c>
      <c r="N38" t="s">
        <v>440</v>
      </c>
      <c r="O38" t="s">
        <v>1230</v>
      </c>
      <c r="P38" s="539">
        <v>1.49E-2</v>
      </c>
      <c r="Q38" s="539">
        <v>0.1351</v>
      </c>
      <c r="S38" s="537">
        <f t="shared" si="0"/>
        <v>0</v>
      </c>
      <c r="T38" s="537">
        <f t="shared" si="1"/>
        <v>0</v>
      </c>
    </row>
    <row r="39" spans="1:20" ht="15">
      <c r="A39" s="431">
        <v>33</v>
      </c>
      <c r="B39" s="431">
        <v>160</v>
      </c>
      <c r="C39" s="66" t="s">
        <v>2471</v>
      </c>
      <c r="D39" s="66" t="s">
        <v>436</v>
      </c>
      <c r="E39" s="429" t="s">
        <v>2202</v>
      </c>
      <c r="F39" s="436">
        <v>3.5000000000000003E-2</v>
      </c>
      <c r="G39" s="436">
        <v>0.15570000000000001</v>
      </c>
      <c r="H39" s="436">
        <v>0.1615</v>
      </c>
      <c r="J39" s="196"/>
      <c r="K39" s="235"/>
      <c r="M39" t="s">
        <v>437</v>
      </c>
      <c r="N39" t="s">
        <v>436</v>
      </c>
      <c r="O39" t="s">
        <v>1231</v>
      </c>
      <c r="P39" s="539">
        <v>3.5000000000000003E-2</v>
      </c>
      <c r="Q39" s="539">
        <v>0.15570000000000001</v>
      </c>
      <c r="S39" s="537">
        <f t="shared" si="0"/>
        <v>0</v>
      </c>
      <c r="T39" s="537">
        <f t="shared" si="1"/>
        <v>0</v>
      </c>
    </row>
    <row r="40" spans="1:20" ht="15">
      <c r="A40" s="431">
        <v>34</v>
      </c>
      <c r="B40" s="431">
        <v>252</v>
      </c>
      <c r="C40" s="66" t="s">
        <v>2464</v>
      </c>
      <c r="D40" s="66" t="s">
        <v>608</v>
      </c>
      <c r="E40" s="429" t="s">
        <v>2287</v>
      </c>
      <c r="F40" s="436">
        <v>4.2999999999999997E-2</v>
      </c>
      <c r="G40" s="436">
        <v>0.1615</v>
      </c>
      <c r="H40" s="436">
        <v>0.1764</v>
      </c>
      <c r="J40" s="196"/>
      <c r="K40" s="235"/>
      <c r="M40" t="s">
        <v>609</v>
      </c>
      <c r="N40" t="s">
        <v>608</v>
      </c>
      <c r="O40" t="s">
        <v>1232</v>
      </c>
      <c r="P40" s="539">
        <v>4.2999999999999997E-2</v>
      </c>
      <c r="Q40" s="539">
        <v>0.1615</v>
      </c>
      <c r="S40" s="537">
        <f t="shared" si="0"/>
        <v>0</v>
      </c>
      <c r="T40" s="537">
        <f t="shared" si="1"/>
        <v>0</v>
      </c>
    </row>
    <row r="41" spans="1:20" ht="15">
      <c r="A41" s="431">
        <v>35</v>
      </c>
      <c r="B41" s="431">
        <v>263</v>
      </c>
      <c r="C41" s="66" t="s">
        <v>2464</v>
      </c>
      <c r="D41" s="66" t="s">
        <v>620</v>
      </c>
      <c r="E41" s="429" t="s">
        <v>2296</v>
      </c>
      <c r="F41" s="436">
        <v>3.6900000000000002E-2</v>
      </c>
      <c r="G41" s="436">
        <v>0.16569999999999999</v>
      </c>
      <c r="H41" s="436">
        <v>0.17630000000000001</v>
      </c>
      <c r="J41" s="196"/>
      <c r="K41" s="235"/>
      <c r="M41" t="s">
        <v>621</v>
      </c>
      <c r="N41" t="s">
        <v>620</v>
      </c>
      <c r="O41" t="s">
        <v>1233</v>
      </c>
      <c r="P41" s="539">
        <v>3.6900000000000002E-2</v>
      </c>
      <c r="Q41" s="539">
        <v>0.16569999999999999</v>
      </c>
      <c r="S41" s="537">
        <f t="shared" si="0"/>
        <v>0</v>
      </c>
      <c r="T41" s="537">
        <f t="shared" si="1"/>
        <v>0</v>
      </c>
    </row>
    <row r="42" spans="1:20" ht="15">
      <c r="A42" s="431">
        <v>36</v>
      </c>
      <c r="B42" s="431">
        <v>211</v>
      </c>
      <c r="C42" s="66" t="s">
        <v>2467</v>
      </c>
      <c r="D42" s="66" t="s">
        <v>1553</v>
      </c>
      <c r="E42" s="429" t="s">
        <v>2381</v>
      </c>
      <c r="F42" s="436">
        <v>3.5000000000000003E-2</v>
      </c>
      <c r="G42" s="436">
        <v>0.14979999999999999</v>
      </c>
      <c r="H42" s="436">
        <v>0.1464</v>
      </c>
      <c r="J42" s="196"/>
      <c r="K42" s="235"/>
      <c r="M42" t="s">
        <v>1597</v>
      </c>
      <c r="N42" t="s">
        <v>1553</v>
      </c>
      <c r="O42" t="s">
        <v>1569</v>
      </c>
      <c r="P42" s="539">
        <v>3.5000000000000003E-2</v>
      </c>
      <c r="Q42" s="539">
        <v>0.14979999999999999</v>
      </c>
      <c r="S42" s="537">
        <f t="shared" si="0"/>
        <v>0</v>
      </c>
      <c r="T42" s="537">
        <f t="shared" si="1"/>
        <v>0</v>
      </c>
    </row>
    <row r="43" spans="1:20" ht="15">
      <c r="A43" s="431">
        <v>37</v>
      </c>
      <c r="B43" s="431">
        <v>95</v>
      </c>
      <c r="C43" s="66" t="s">
        <v>2468</v>
      </c>
      <c r="D43" s="66" t="s">
        <v>334</v>
      </c>
      <c r="E43" s="429" t="s">
        <v>2152</v>
      </c>
      <c r="F43" s="436">
        <v>4.9799999999999997E-2</v>
      </c>
      <c r="G43" s="436">
        <v>0.2384</v>
      </c>
      <c r="H43" s="436">
        <v>0.2036</v>
      </c>
      <c r="J43" s="196"/>
      <c r="K43" s="235"/>
      <c r="M43" t="s">
        <v>335</v>
      </c>
      <c r="N43" t="s">
        <v>334</v>
      </c>
      <c r="O43" t="s">
        <v>1234</v>
      </c>
      <c r="P43" s="539">
        <v>4.9799999999999997E-2</v>
      </c>
      <c r="Q43" s="539">
        <v>0.2384</v>
      </c>
      <c r="S43" s="537">
        <f t="shared" si="0"/>
        <v>0</v>
      </c>
      <c r="T43" s="537">
        <f t="shared" si="1"/>
        <v>0</v>
      </c>
    </row>
    <row r="44" spans="1:20" ht="15">
      <c r="A44" s="431">
        <v>38</v>
      </c>
      <c r="B44" s="431">
        <v>6</v>
      </c>
      <c r="C44" s="66" t="s">
        <v>2465</v>
      </c>
      <c r="D44" s="66" t="s">
        <v>173</v>
      </c>
      <c r="E44" s="429" t="s">
        <v>2072</v>
      </c>
      <c r="F44" s="436">
        <v>6.2799999999999995E-2</v>
      </c>
      <c r="G44" s="436">
        <v>0.19939999999999999</v>
      </c>
      <c r="H44" s="436">
        <v>0.19989999999999999</v>
      </c>
      <c r="J44" s="196"/>
      <c r="K44" s="235"/>
      <c r="M44" t="s">
        <v>174</v>
      </c>
      <c r="N44" t="s">
        <v>173</v>
      </c>
      <c r="O44" t="s">
        <v>1235</v>
      </c>
      <c r="P44" s="539">
        <v>6.2799999999999995E-2</v>
      </c>
      <c r="Q44" s="539">
        <v>0.19939999999999999</v>
      </c>
      <c r="S44" s="537">
        <f t="shared" si="0"/>
        <v>0</v>
      </c>
      <c r="T44" s="537">
        <f t="shared" si="1"/>
        <v>0</v>
      </c>
    </row>
    <row r="45" spans="1:20" ht="15">
      <c r="A45" s="431">
        <v>39</v>
      </c>
      <c r="B45" s="431">
        <v>139</v>
      </c>
      <c r="C45" s="66" t="s">
        <v>2470</v>
      </c>
      <c r="D45" s="66" t="s">
        <v>394</v>
      </c>
      <c r="E45" s="429" t="s">
        <v>2186</v>
      </c>
      <c r="F45" s="436">
        <v>3.1099999999999999E-2</v>
      </c>
      <c r="G45" s="436">
        <v>0.20050000000000001</v>
      </c>
      <c r="H45" s="436">
        <v>0.16439999999999999</v>
      </c>
      <c r="J45" s="196"/>
      <c r="K45" s="235"/>
      <c r="M45" t="s">
        <v>395</v>
      </c>
      <c r="N45" t="s">
        <v>394</v>
      </c>
      <c r="O45" t="s">
        <v>1236</v>
      </c>
      <c r="P45" s="539">
        <v>3.1099999999999999E-2</v>
      </c>
      <c r="Q45" s="539">
        <v>0.20050000000000001</v>
      </c>
      <c r="S45" s="537">
        <f t="shared" si="0"/>
        <v>0</v>
      </c>
      <c r="T45" s="537">
        <f t="shared" si="1"/>
        <v>0</v>
      </c>
    </row>
    <row r="46" spans="1:20" ht="15">
      <c r="A46" s="431">
        <v>40</v>
      </c>
      <c r="B46" s="431">
        <v>204</v>
      </c>
      <c r="C46" s="66" t="s">
        <v>2473</v>
      </c>
      <c r="D46" s="66" t="s">
        <v>521</v>
      </c>
      <c r="E46" s="429" t="s">
        <v>2245</v>
      </c>
      <c r="F46" s="538">
        <v>0.05</v>
      </c>
      <c r="G46" s="436">
        <v>0.16339999999999999</v>
      </c>
      <c r="H46" s="436">
        <v>0.16300000000000001</v>
      </c>
      <c r="J46" s="196"/>
      <c r="K46" s="235"/>
      <c r="M46" t="s">
        <v>522</v>
      </c>
      <c r="N46" t="s">
        <v>521</v>
      </c>
      <c r="O46" t="s">
        <v>1237</v>
      </c>
      <c r="P46" s="538">
        <v>0.05</v>
      </c>
      <c r="Q46" s="539">
        <v>0.16339999999999999</v>
      </c>
      <c r="S46" s="537">
        <f t="shared" si="0"/>
        <v>0</v>
      </c>
      <c r="T46" s="537">
        <f t="shared" si="1"/>
        <v>0</v>
      </c>
    </row>
    <row r="47" spans="1:20" ht="15">
      <c r="A47" s="431">
        <v>41</v>
      </c>
      <c r="B47" s="431">
        <v>305</v>
      </c>
      <c r="C47" s="66" t="s">
        <v>2464</v>
      </c>
      <c r="D47" s="66" t="s">
        <v>693</v>
      </c>
      <c r="E47" s="429" t="s">
        <v>2334</v>
      </c>
      <c r="F47" s="436">
        <v>3.7699999999999997E-2</v>
      </c>
      <c r="G47" s="436">
        <v>0.2429</v>
      </c>
      <c r="H47" s="436">
        <v>0.2767</v>
      </c>
      <c r="J47" s="196"/>
      <c r="K47" s="235"/>
      <c r="M47" t="s">
        <v>694</v>
      </c>
      <c r="N47" t="s">
        <v>693</v>
      </c>
      <c r="O47" t="s">
        <v>1238</v>
      </c>
      <c r="P47" s="539">
        <v>3.7699999999999997E-2</v>
      </c>
      <c r="Q47" s="539">
        <v>0.2429</v>
      </c>
      <c r="S47" s="537">
        <f t="shared" si="0"/>
        <v>0</v>
      </c>
      <c r="T47" s="537">
        <f t="shared" si="1"/>
        <v>0</v>
      </c>
    </row>
    <row r="48" spans="1:20" ht="15">
      <c r="A48" s="431">
        <v>42</v>
      </c>
      <c r="B48" s="431">
        <v>287</v>
      </c>
      <c r="C48" s="66" t="s">
        <v>2465</v>
      </c>
      <c r="D48" s="66" t="s">
        <v>662</v>
      </c>
      <c r="E48" s="429" t="s">
        <v>2319</v>
      </c>
      <c r="F48" s="436">
        <v>2.6800000000000001E-2</v>
      </c>
      <c r="G48" s="436">
        <v>0.1646</v>
      </c>
      <c r="H48" s="436">
        <v>0.192</v>
      </c>
      <c r="J48" s="196"/>
      <c r="K48" s="235"/>
      <c r="M48" t="s">
        <v>663</v>
      </c>
      <c r="N48" t="s">
        <v>662</v>
      </c>
      <c r="O48" t="s">
        <v>1239</v>
      </c>
      <c r="P48" s="539">
        <v>2.6800000000000001E-2</v>
      </c>
      <c r="Q48" s="539">
        <v>0.1646</v>
      </c>
      <c r="S48" s="537">
        <f t="shared" si="0"/>
        <v>0</v>
      </c>
      <c r="T48" s="537">
        <f t="shared" si="1"/>
        <v>0</v>
      </c>
    </row>
    <row r="49" spans="1:20" ht="15">
      <c r="A49" s="431">
        <v>43</v>
      </c>
      <c r="B49" s="431">
        <v>309</v>
      </c>
      <c r="C49" s="66" t="s">
        <v>2464</v>
      </c>
      <c r="D49" s="66" t="s">
        <v>701</v>
      </c>
      <c r="E49" s="429" t="s">
        <v>2337</v>
      </c>
      <c r="F49" s="436">
        <v>4.3999999999999997E-2</v>
      </c>
      <c r="G49" s="436">
        <v>0.24479999999999999</v>
      </c>
      <c r="H49" s="436">
        <v>0.2432</v>
      </c>
      <c r="J49" s="196"/>
      <c r="K49" s="235"/>
      <c r="M49" t="s">
        <v>702</v>
      </c>
      <c r="N49" t="s">
        <v>701</v>
      </c>
      <c r="O49" t="s">
        <v>1240</v>
      </c>
      <c r="P49" s="539">
        <v>4.3999999999999997E-2</v>
      </c>
      <c r="Q49" s="539">
        <v>0.24479999999999999</v>
      </c>
      <c r="S49" s="537">
        <f t="shared" si="0"/>
        <v>0</v>
      </c>
      <c r="T49" s="537">
        <f t="shared" si="1"/>
        <v>0</v>
      </c>
    </row>
    <row r="50" spans="1:20" ht="15">
      <c r="A50" s="431">
        <v>44</v>
      </c>
      <c r="B50" s="431">
        <v>270</v>
      </c>
      <c r="C50" s="66" t="s">
        <v>2464</v>
      </c>
      <c r="D50" s="66" t="s">
        <v>633</v>
      </c>
      <c r="E50" s="429" t="s">
        <v>2303</v>
      </c>
      <c r="F50" s="436">
        <v>4.6600000000000003E-2</v>
      </c>
      <c r="G50" s="436">
        <v>0.27129999999999999</v>
      </c>
      <c r="H50" s="436">
        <v>0.37969999999999998</v>
      </c>
      <c r="J50" s="196"/>
      <c r="K50" s="235"/>
      <c r="M50" t="s">
        <v>805</v>
      </c>
      <c r="N50" t="s">
        <v>633</v>
      </c>
      <c r="O50" t="s">
        <v>1241</v>
      </c>
      <c r="P50" s="539">
        <v>4.6600000000000003E-2</v>
      </c>
      <c r="Q50" s="539">
        <v>0.27129999999999999</v>
      </c>
      <c r="S50" s="537">
        <f t="shared" si="0"/>
        <v>0</v>
      </c>
      <c r="T50" s="537">
        <f t="shared" si="1"/>
        <v>0</v>
      </c>
    </row>
    <row r="51" spans="1:20" ht="15">
      <c r="A51" s="431">
        <v>45</v>
      </c>
      <c r="B51" s="431">
        <v>289</v>
      </c>
      <c r="C51" s="66" t="s">
        <v>2465</v>
      </c>
      <c r="D51" s="66" t="s">
        <v>666</v>
      </c>
      <c r="E51" s="429" t="s">
        <v>2321</v>
      </c>
      <c r="F51" s="436">
        <v>0</v>
      </c>
      <c r="G51" s="436">
        <v>0.19919999999999999</v>
      </c>
      <c r="H51" s="436">
        <v>0.1802</v>
      </c>
      <c r="J51" s="196"/>
      <c r="K51" s="235"/>
      <c r="M51" t="s">
        <v>1631</v>
      </c>
      <c r="N51" t="s">
        <v>666</v>
      </c>
      <c r="O51" t="s">
        <v>2524</v>
      </c>
      <c r="P51" s="539">
        <v>0</v>
      </c>
      <c r="Q51" s="539">
        <v>0.19919999999999999</v>
      </c>
      <c r="S51" s="537">
        <f t="shared" si="0"/>
        <v>0</v>
      </c>
      <c r="T51" s="537">
        <f t="shared" si="1"/>
        <v>0</v>
      </c>
    </row>
    <row r="52" spans="1:20" ht="15">
      <c r="A52" s="431">
        <v>46</v>
      </c>
      <c r="B52" s="431">
        <v>266</v>
      </c>
      <c r="C52" s="66" t="s">
        <v>2464</v>
      </c>
      <c r="D52" s="66" t="s">
        <v>626</v>
      </c>
      <c r="E52" s="429" t="s">
        <v>2299</v>
      </c>
      <c r="F52" s="436">
        <v>4.1700000000000001E-2</v>
      </c>
      <c r="G52" s="436">
        <v>0.1409</v>
      </c>
      <c r="H52" s="436">
        <v>0.13700000000000001</v>
      </c>
      <c r="J52" s="196"/>
      <c r="K52" s="235"/>
      <c r="M52" t="s">
        <v>627</v>
      </c>
      <c r="N52" t="s">
        <v>626</v>
      </c>
      <c r="O52" t="s">
        <v>1243</v>
      </c>
      <c r="P52" s="539">
        <v>4.1700000000000001E-2</v>
      </c>
      <c r="Q52" s="539">
        <v>0.1409</v>
      </c>
      <c r="S52" s="537">
        <f t="shared" si="0"/>
        <v>0</v>
      </c>
      <c r="T52" s="537">
        <f t="shared" si="1"/>
        <v>0</v>
      </c>
    </row>
    <row r="53" spans="1:20" ht="15">
      <c r="A53" s="431">
        <v>47</v>
      </c>
      <c r="B53" s="431">
        <v>218</v>
      </c>
      <c r="C53" s="66" t="s">
        <v>2472</v>
      </c>
      <c r="D53" s="66" t="s">
        <v>543</v>
      </c>
      <c r="E53" s="429" t="s">
        <v>2256</v>
      </c>
      <c r="F53" s="436">
        <v>6.1199999999999997E-2</v>
      </c>
      <c r="G53" s="436">
        <v>0.2306</v>
      </c>
      <c r="H53" s="436">
        <v>0.2321</v>
      </c>
      <c r="J53" s="196"/>
      <c r="K53" s="235"/>
      <c r="M53" t="s">
        <v>544</v>
      </c>
      <c r="N53" t="s">
        <v>543</v>
      </c>
      <c r="O53" t="s">
        <v>1244</v>
      </c>
      <c r="P53" s="539">
        <v>6.1199999999999997E-2</v>
      </c>
      <c r="Q53" s="539">
        <v>0.2306</v>
      </c>
      <c r="S53" s="537">
        <f t="shared" si="0"/>
        <v>0</v>
      </c>
      <c r="T53" s="537">
        <f t="shared" si="1"/>
        <v>0</v>
      </c>
    </row>
    <row r="54" spans="1:20" ht="15">
      <c r="A54" s="431">
        <v>48</v>
      </c>
      <c r="B54" s="431">
        <v>223</v>
      </c>
      <c r="C54" s="66" t="s">
        <v>2472</v>
      </c>
      <c r="D54" s="66" t="s">
        <v>552</v>
      </c>
      <c r="E54" s="429" t="s">
        <v>2261</v>
      </c>
      <c r="F54" s="436">
        <v>2.1600000000000001E-2</v>
      </c>
      <c r="G54" s="436">
        <v>0.18310000000000001</v>
      </c>
      <c r="H54" s="436">
        <v>0.187</v>
      </c>
      <c r="J54" s="196"/>
      <c r="K54" s="235"/>
      <c r="M54" t="s">
        <v>553</v>
      </c>
      <c r="N54" t="s">
        <v>552</v>
      </c>
      <c r="O54" t="s">
        <v>1245</v>
      </c>
      <c r="P54" s="539">
        <v>2.1600000000000001E-2</v>
      </c>
      <c r="Q54" s="539">
        <v>0.18310000000000001</v>
      </c>
      <c r="S54" s="537">
        <f t="shared" si="0"/>
        <v>0</v>
      </c>
      <c r="T54" s="537">
        <f t="shared" si="1"/>
        <v>0</v>
      </c>
    </row>
    <row r="55" spans="1:20" ht="15">
      <c r="A55" s="431">
        <v>49</v>
      </c>
      <c r="B55" s="431">
        <v>84</v>
      </c>
      <c r="C55" s="66" t="s">
        <v>2471</v>
      </c>
      <c r="D55" s="66" t="s">
        <v>312</v>
      </c>
      <c r="E55" s="429" t="s">
        <v>2141</v>
      </c>
      <c r="F55" s="436">
        <v>2.9700000000000001E-2</v>
      </c>
      <c r="G55" s="436">
        <v>0.25059999999999999</v>
      </c>
      <c r="H55" s="436">
        <v>0.17249999999999999</v>
      </c>
      <c r="J55" s="196"/>
      <c r="K55" s="235"/>
      <c r="M55" t="s">
        <v>313</v>
      </c>
      <c r="N55" t="s">
        <v>312</v>
      </c>
      <c r="O55" t="s">
        <v>1246</v>
      </c>
      <c r="P55" s="539">
        <v>2.9700000000000001E-2</v>
      </c>
      <c r="Q55" s="539">
        <v>0.25059999999999999</v>
      </c>
      <c r="S55" s="537">
        <f t="shared" si="0"/>
        <v>0</v>
      </c>
      <c r="T55" s="537">
        <f t="shared" si="1"/>
        <v>0</v>
      </c>
    </row>
    <row r="56" spans="1:20" ht="15">
      <c r="A56" s="431">
        <v>50</v>
      </c>
      <c r="B56" s="431">
        <v>69</v>
      </c>
      <c r="C56" s="66" t="s">
        <v>2466</v>
      </c>
      <c r="D56" s="66" t="s">
        <v>283</v>
      </c>
      <c r="E56" s="429" t="s">
        <v>2126</v>
      </c>
      <c r="F56" s="436">
        <v>3.2500000000000001E-2</v>
      </c>
      <c r="G56" s="436">
        <v>0.20180000000000001</v>
      </c>
      <c r="H56" s="436">
        <v>0.21490000000000001</v>
      </c>
      <c r="J56" s="196"/>
      <c r="K56" s="235"/>
      <c r="M56" t="s">
        <v>1632</v>
      </c>
      <c r="N56" t="s">
        <v>283</v>
      </c>
      <c r="O56" t="s">
        <v>2525</v>
      </c>
      <c r="P56" s="539">
        <v>3.2500000000000001E-2</v>
      </c>
      <c r="Q56" s="539">
        <v>0.20180000000000001</v>
      </c>
      <c r="S56" s="537">
        <f t="shared" si="0"/>
        <v>0</v>
      </c>
      <c r="T56" s="537">
        <f t="shared" si="1"/>
        <v>0</v>
      </c>
    </row>
    <row r="57" spans="1:20" ht="15">
      <c r="A57" s="431">
        <v>51</v>
      </c>
      <c r="B57" s="431">
        <v>90</v>
      </c>
      <c r="C57" s="66" t="s">
        <v>2472</v>
      </c>
      <c r="D57" s="66" t="s">
        <v>324</v>
      </c>
      <c r="E57" s="429" t="s">
        <v>2147</v>
      </c>
      <c r="F57" s="436">
        <v>5.0900000000000001E-2</v>
      </c>
      <c r="G57" s="436">
        <v>0.19839999999999999</v>
      </c>
      <c r="H57" s="436">
        <v>0.1767</v>
      </c>
      <c r="J57" s="196"/>
      <c r="K57" s="235"/>
      <c r="M57" t="s">
        <v>325</v>
      </c>
      <c r="N57" t="s">
        <v>324</v>
      </c>
      <c r="O57" t="s">
        <v>1248</v>
      </c>
      <c r="P57" s="539">
        <v>5.0900000000000001E-2</v>
      </c>
      <c r="Q57" s="539">
        <v>0.19839999999999999</v>
      </c>
      <c r="S57" s="537">
        <f t="shared" si="0"/>
        <v>0</v>
      </c>
      <c r="T57" s="537">
        <f t="shared" si="1"/>
        <v>0</v>
      </c>
    </row>
    <row r="58" spans="1:20" ht="15">
      <c r="A58" s="431">
        <v>52</v>
      </c>
      <c r="B58" s="431">
        <v>24</v>
      </c>
      <c r="C58" s="66" t="s">
        <v>2468</v>
      </c>
      <c r="D58" s="66" t="s">
        <v>205</v>
      </c>
      <c r="E58" s="429" t="s">
        <v>2088</v>
      </c>
      <c r="F58" s="436">
        <v>0.1305</v>
      </c>
      <c r="G58" s="436">
        <v>0.21110000000000001</v>
      </c>
      <c r="H58" s="436">
        <v>0.19409999999999999</v>
      </c>
      <c r="J58" s="196"/>
      <c r="K58" s="235"/>
      <c r="M58" t="s">
        <v>206</v>
      </c>
      <c r="N58" t="s">
        <v>205</v>
      </c>
      <c r="O58" t="s">
        <v>1249</v>
      </c>
      <c r="P58" s="539">
        <v>0.1305</v>
      </c>
      <c r="Q58" s="539">
        <v>0.21110000000000001</v>
      </c>
      <c r="S58" s="537">
        <f t="shared" si="0"/>
        <v>0</v>
      </c>
      <c r="T58" s="537">
        <f t="shared" si="1"/>
        <v>0</v>
      </c>
    </row>
    <row r="59" spans="1:20" ht="15">
      <c r="A59" s="431">
        <v>53</v>
      </c>
      <c r="B59" s="431">
        <v>166</v>
      </c>
      <c r="C59" s="66" t="s">
        <v>2464</v>
      </c>
      <c r="D59" s="66" t="s">
        <v>448</v>
      </c>
      <c r="E59" s="429" t="s">
        <v>2208</v>
      </c>
      <c r="F59" s="436">
        <v>5.96E-2</v>
      </c>
      <c r="G59" s="436">
        <v>0.2482</v>
      </c>
      <c r="H59" s="436">
        <v>0.23280000000000001</v>
      </c>
      <c r="J59" s="196"/>
      <c r="K59" s="235"/>
      <c r="M59" t="s">
        <v>449</v>
      </c>
      <c r="N59" t="s">
        <v>448</v>
      </c>
      <c r="O59" t="s">
        <v>1250</v>
      </c>
      <c r="P59" s="539">
        <v>5.96E-2</v>
      </c>
      <c r="Q59" s="539">
        <v>0.2482</v>
      </c>
      <c r="S59" s="537">
        <f t="shared" si="0"/>
        <v>0</v>
      </c>
      <c r="T59" s="537">
        <f t="shared" si="1"/>
        <v>0</v>
      </c>
    </row>
    <row r="60" spans="1:20" ht="15">
      <c r="A60" s="431">
        <v>54</v>
      </c>
      <c r="B60" s="431">
        <v>56</v>
      </c>
      <c r="C60" s="66" t="s">
        <v>2464</v>
      </c>
      <c r="D60" s="66" t="s">
        <v>259</v>
      </c>
      <c r="E60" s="429" t="s">
        <v>2115</v>
      </c>
      <c r="F60" s="436">
        <v>5.9700000000000003E-2</v>
      </c>
      <c r="G60" s="436">
        <v>0.34189999999999998</v>
      </c>
      <c r="H60" s="436">
        <v>0.4577</v>
      </c>
      <c r="J60" s="196"/>
      <c r="K60" s="235"/>
      <c r="M60" t="s">
        <v>260</v>
      </c>
      <c r="N60" t="s">
        <v>259</v>
      </c>
      <c r="O60" t="s">
        <v>1251</v>
      </c>
      <c r="P60" s="539">
        <v>5.9700000000000003E-2</v>
      </c>
      <c r="Q60" s="539">
        <v>0.34189999999999998</v>
      </c>
      <c r="S60" s="537">
        <f t="shared" si="0"/>
        <v>0</v>
      </c>
      <c r="T60" s="537">
        <f t="shared" si="1"/>
        <v>0</v>
      </c>
    </row>
    <row r="61" spans="1:20" ht="15">
      <c r="A61" s="431">
        <v>55</v>
      </c>
      <c r="B61" s="431">
        <v>194</v>
      </c>
      <c r="C61" s="66" t="s">
        <v>2464</v>
      </c>
      <c r="D61" s="66" t="s">
        <v>501</v>
      </c>
      <c r="E61" s="429" t="s">
        <v>2235</v>
      </c>
      <c r="F61" s="436">
        <v>4.0399999999999998E-2</v>
      </c>
      <c r="G61" s="436">
        <v>0.28389999999999999</v>
      </c>
      <c r="H61" s="436">
        <v>0.379</v>
      </c>
      <c r="J61" s="196"/>
      <c r="K61" s="235"/>
      <c r="M61" t="s">
        <v>502</v>
      </c>
      <c r="N61" t="s">
        <v>501</v>
      </c>
      <c r="O61" t="s">
        <v>1252</v>
      </c>
      <c r="P61" s="539">
        <v>4.0399999999999998E-2</v>
      </c>
      <c r="Q61" s="539">
        <v>0.28389999999999999</v>
      </c>
      <c r="S61" s="537">
        <f t="shared" si="0"/>
        <v>0</v>
      </c>
      <c r="T61" s="537">
        <f t="shared" si="1"/>
        <v>0</v>
      </c>
    </row>
    <row r="62" spans="1:20" ht="15">
      <c r="A62" s="431">
        <v>56</v>
      </c>
      <c r="B62" s="431">
        <v>134</v>
      </c>
      <c r="C62" s="66" t="s">
        <v>2470</v>
      </c>
      <c r="D62" s="66" t="s">
        <v>384</v>
      </c>
      <c r="E62" s="429" t="s">
        <v>2375</v>
      </c>
      <c r="F62" s="436">
        <v>1.11E-2</v>
      </c>
      <c r="G62" s="436">
        <v>0.34279999999999999</v>
      </c>
      <c r="H62" s="436">
        <v>0.29749999999999999</v>
      </c>
      <c r="J62" s="196"/>
      <c r="K62" s="235"/>
      <c r="M62" t="s">
        <v>385</v>
      </c>
      <c r="N62" t="s">
        <v>384</v>
      </c>
      <c r="O62" t="s">
        <v>1253</v>
      </c>
      <c r="P62" s="539">
        <v>1.11E-2</v>
      </c>
      <c r="Q62" s="539">
        <v>0.34279999999999999</v>
      </c>
      <c r="S62" s="537">
        <f t="shared" si="0"/>
        <v>0</v>
      </c>
      <c r="T62" s="537">
        <f t="shared" si="1"/>
        <v>0</v>
      </c>
    </row>
    <row r="63" spans="1:20" ht="15">
      <c r="A63" s="431">
        <v>57</v>
      </c>
      <c r="B63" s="431">
        <v>241</v>
      </c>
      <c r="C63" s="66" t="s">
        <v>2472</v>
      </c>
      <c r="D63" s="66" t="s">
        <v>586</v>
      </c>
      <c r="E63" s="429" t="s">
        <v>2277</v>
      </c>
      <c r="F63" s="436">
        <v>4.9700000000000001E-2</v>
      </c>
      <c r="G63" s="436">
        <v>0.20880000000000001</v>
      </c>
      <c r="H63" s="436">
        <v>0.155</v>
      </c>
      <c r="J63" s="196"/>
      <c r="K63" s="235"/>
      <c r="M63" t="s">
        <v>587</v>
      </c>
      <c r="N63" t="s">
        <v>586</v>
      </c>
      <c r="O63" t="s">
        <v>1254</v>
      </c>
      <c r="P63" s="539">
        <v>4.9700000000000001E-2</v>
      </c>
      <c r="Q63" s="539">
        <v>0.20880000000000001</v>
      </c>
      <c r="S63" s="537">
        <f t="shared" si="0"/>
        <v>0</v>
      </c>
      <c r="T63" s="537">
        <f t="shared" si="1"/>
        <v>0</v>
      </c>
    </row>
    <row r="64" spans="1:20" ht="15">
      <c r="A64" s="431">
        <v>58</v>
      </c>
      <c r="B64" s="431">
        <v>170</v>
      </c>
      <c r="C64" s="66" t="s">
        <v>2464</v>
      </c>
      <c r="D64" s="66" t="s">
        <v>456</v>
      </c>
      <c r="E64" s="429" t="s">
        <v>2212</v>
      </c>
      <c r="F64" s="436">
        <v>3.1399999999999997E-2</v>
      </c>
      <c r="G64" s="436">
        <v>0.20610000000000001</v>
      </c>
      <c r="H64" s="436">
        <v>0.22950000000000001</v>
      </c>
      <c r="J64" s="196"/>
      <c r="K64" s="235"/>
      <c r="M64" t="s">
        <v>457</v>
      </c>
      <c r="N64" t="s">
        <v>456</v>
      </c>
      <c r="O64" t="s">
        <v>1255</v>
      </c>
      <c r="P64" s="539">
        <v>3.1399999999999997E-2</v>
      </c>
      <c r="Q64" s="539">
        <v>0.20610000000000001</v>
      </c>
      <c r="S64" s="537">
        <f t="shared" si="0"/>
        <v>0</v>
      </c>
      <c r="T64" s="537">
        <f t="shared" si="1"/>
        <v>0</v>
      </c>
    </row>
    <row r="65" spans="1:20" ht="15">
      <c r="A65" s="431">
        <v>59</v>
      </c>
      <c r="B65" s="431">
        <v>41</v>
      </c>
      <c r="C65" s="66" t="s">
        <v>2465</v>
      </c>
      <c r="D65" s="66" t="s">
        <v>229</v>
      </c>
      <c r="E65" s="429" t="s">
        <v>2101</v>
      </c>
      <c r="F65" s="436">
        <v>4.4299999999999999E-2</v>
      </c>
      <c r="G65" s="436">
        <v>0.2051</v>
      </c>
      <c r="H65" s="436">
        <v>0.18859999999999999</v>
      </c>
      <c r="J65" s="196"/>
      <c r="K65" s="235"/>
      <c r="M65" t="s">
        <v>230</v>
      </c>
      <c r="N65" t="s">
        <v>229</v>
      </c>
      <c r="O65" t="s">
        <v>1256</v>
      </c>
      <c r="P65" s="539">
        <v>4.4299999999999999E-2</v>
      </c>
      <c r="Q65" s="539">
        <v>0.2051</v>
      </c>
      <c r="S65" s="537">
        <f t="shared" si="0"/>
        <v>0</v>
      </c>
      <c r="T65" s="537">
        <f t="shared" si="1"/>
        <v>0</v>
      </c>
    </row>
    <row r="66" spans="1:20" ht="15">
      <c r="A66" s="431">
        <v>60</v>
      </c>
      <c r="B66" s="431">
        <v>256</v>
      </c>
      <c r="C66" s="66" t="s">
        <v>2464</v>
      </c>
      <c r="D66" s="66" t="s">
        <v>614</v>
      </c>
      <c r="E66" s="429" t="s">
        <v>2291</v>
      </c>
      <c r="F66" s="436">
        <v>2.5999999999999999E-2</v>
      </c>
      <c r="G66" s="436">
        <v>0.16569999999999999</v>
      </c>
      <c r="H66" s="436">
        <v>0.1633</v>
      </c>
      <c r="J66" s="196"/>
      <c r="K66" s="235"/>
      <c r="M66" t="s">
        <v>615</v>
      </c>
      <c r="N66" t="s">
        <v>614</v>
      </c>
      <c r="O66" t="s">
        <v>1257</v>
      </c>
      <c r="P66" s="539">
        <v>2.5999999999999999E-2</v>
      </c>
      <c r="Q66" s="539">
        <v>0.16569999999999999</v>
      </c>
      <c r="S66" s="537">
        <f t="shared" si="0"/>
        <v>0</v>
      </c>
      <c r="T66" s="537">
        <f t="shared" si="1"/>
        <v>0</v>
      </c>
    </row>
    <row r="67" spans="1:20" ht="15">
      <c r="A67" s="431">
        <v>61</v>
      </c>
      <c r="B67" s="431">
        <v>202</v>
      </c>
      <c r="C67" s="66" t="s">
        <v>2473</v>
      </c>
      <c r="D67" s="66" t="s">
        <v>517</v>
      </c>
      <c r="E67" s="429" t="s">
        <v>2243</v>
      </c>
      <c r="F67" s="436">
        <v>4.3099999999999999E-2</v>
      </c>
      <c r="G67" s="436">
        <v>0.18729999999999999</v>
      </c>
      <c r="H67" s="436">
        <v>0.20169999999999999</v>
      </c>
      <c r="J67" s="196"/>
      <c r="K67" s="235"/>
      <c r="M67" t="s">
        <v>518</v>
      </c>
      <c r="N67" t="s">
        <v>517</v>
      </c>
      <c r="O67" t="s">
        <v>1258</v>
      </c>
      <c r="P67" s="539">
        <v>4.3099999999999999E-2</v>
      </c>
      <c r="Q67" s="539">
        <v>0.18729999999999999</v>
      </c>
      <c r="S67" s="537">
        <f t="shared" si="0"/>
        <v>0</v>
      </c>
      <c r="T67" s="537">
        <f t="shared" si="1"/>
        <v>0</v>
      </c>
    </row>
    <row r="68" spans="1:20" ht="15">
      <c r="A68" s="431">
        <v>62</v>
      </c>
      <c r="B68" s="431">
        <v>285</v>
      </c>
      <c r="C68" s="66" t="s">
        <v>2465</v>
      </c>
      <c r="D68" s="66" t="s">
        <v>658</v>
      </c>
      <c r="E68" s="429" t="s">
        <v>2317</v>
      </c>
      <c r="F68" s="436">
        <v>0.1056</v>
      </c>
      <c r="G68" s="436">
        <v>0.36070000000000002</v>
      </c>
      <c r="H68" s="436">
        <v>0.23980000000000001</v>
      </c>
      <c r="J68" s="196"/>
      <c r="K68" s="235"/>
      <c r="M68" t="s">
        <v>659</v>
      </c>
      <c r="N68" t="s">
        <v>658</v>
      </c>
      <c r="O68" t="s">
        <v>1259</v>
      </c>
      <c r="P68" s="539">
        <v>0.1056</v>
      </c>
      <c r="Q68" s="539">
        <v>0.36070000000000002</v>
      </c>
      <c r="S68" s="537">
        <f t="shared" si="0"/>
        <v>0</v>
      </c>
      <c r="T68" s="537">
        <f t="shared" si="1"/>
        <v>0</v>
      </c>
    </row>
    <row r="69" spans="1:20" ht="15">
      <c r="A69" s="431">
        <v>63</v>
      </c>
      <c r="B69" s="431">
        <v>253</v>
      </c>
      <c r="C69" s="66" t="s">
        <v>2464</v>
      </c>
      <c r="D69" s="66" t="s">
        <v>610</v>
      </c>
      <c r="E69" s="429" t="s">
        <v>2288</v>
      </c>
      <c r="F69" s="436">
        <v>3.2899999999999999E-2</v>
      </c>
      <c r="G69" s="436">
        <v>0.18809999999999999</v>
      </c>
      <c r="H69" s="436">
        <v>0.18720000000000001</v>
      </c>
      <c r="J69" s="196"/>
      <c r="K69" s="235"/>
      <c r="M69" t="s">
        <v>1198</v>
      </c>
      <c r="N69" t="s">
        <v>610</v>
      </c>
      <c r="O69" t="s">
        <v>2526</v>
      </c>
      <c r="P69" s="539">
        <v>3.2899999999999999E-2</v>
      </c>
      <c r="Q69" s="539">
        <v>0.18809999999999999</v>
      </c>
      <c r="S69" s="537">
        <f t="shared" si="0"/>
        <v>0</v>
      </c>
      <c r="T69" s="537">
        <f t="shared" si="1"/>
        <v>0</v>
      </c>
    </row>
    <row r="70" spans="1:20" ht="15">
      <c r="A70" s="431">
        <v>64</v>
      </c>
      <c r="B70" s="431">
        <v>317</v>
      </c>
      <c r="C70" s="66" t="s">
        <v>2470</v>
      </c>
      <c r="D70" s="66" t="s">
        <v>717</v>
      </c>
      <c r="E70" s="429" t="s">
        <v>2344</v>
      </c>
      <c r="F70" s="436">
        <v>4.1799999999999997E-2</v>
      </c>
      <c r="G70" s="436">
        <v>0.15459999999999999</v>
      </c>
      <c r="H70" s="436">
        <v>0.14099999999999999</v>
      </c>
      <c r="J70" s="196"/>
      <c r="K70" s="235"/>
      <c r="M70" t="s">
        <v>807</v>
      </c>
      <c r="N70" t="s">
        <v>717</v>
      </c>
      <c r="O70" t="s">
        <v>2527</v>
      </c>
      <c r="P70" s="539">
        <v>4.1799999999999997E-2</v>
      </c>
      <c r="Q70" s="539">
        <v>0.15459999999999999</v>
      </c>
      <c r="S70" s="537">
        <f t="shared" si="0"/>
        <v>0</v>
      </c>
      <c r="T70" s="537">
        <f t="shared" si="1"/>
        <v>0</v>
      </c>
    </row>
    <row r="71" spans="1:20" ht="15">
      <c r="A71" s="431">
        <v>65</v>
      </c>
      <c r="B71" s="431">
        <v>52</v>
      </c>
      <c r="C71" s="66" t="s">
        <v>2466</v>
      </c>
      <c r="D71" s="66" t="s">
        <v>251</v>
      </c>
      <c r="E71" s="429" t="s">
        <v>2111</v>
      </c>
      <c r="F71" s="436">
        <v>2.5899999999999999E-2</v>
      </c>
      <c r="G71" s="436">
        <v>0.1368</v>
      </c>
      <c r="H71" s="436">
        <v>0.13769999999999999</v>
      </c>
      <c r="J71" s="196"/>
      <c r="K71" s="235"/>
      <c r="M71" t="s">
        <v>252</v>
      </c>
      <c r="N71" t="s">
        <v>251</v>
      </c>
      <c r="O71" t="s">
        <v>1262</v>
      </c>
      <c r="P71" s="539">
        <v>2.5899999999999999E-2</v>
      </c>
      <c r="Q71" s="539">
        <v>0.1368</v>
      </c>
      <c r="S71" s="537">
        <f t="shared" si="0"/>
        <v>0</v>
      </c>
      <c r="T71" s="537">
        <f t="shared" si="1"/>
        <v>0</v>
      </c>
    </row>
    <row r="72" spans="1:20" ht="15">
      <c r="A72" s="431">
        <v>66</v>
      </c>
      <c r="B72" s="431">
        <v>135</v>
      </c>
      <c r="C72" s="66" t="s">
        <v>2470</v>
      </c>
      <c r="D72" s="66" t="s">
        <v>386</v>
      </c>
      <c r="E72" s="429" t="s">
        <v>2182</v>
      </c>
      <c r="F72" s="436">
        <v>0</v>
      </c>
      <c r="G72" s="436">
        <v>0.40179999999999999</v>
      </c>
      <c r="H72" s="436">
        <v>0.40200000000000002</v>
      </c>
      <c r="J72" s="196"/>
      <c r="K72" s="235"/>
      <c r="M72" t="s">
        <v>387</v>
      </c>
      <c r="N72" t="s">
        <v>386</v>
      </c>
      <c r="O72" t="s">
        <v>1263</v>
      </c>
      <c r="P72" s="539">
        <v>0</v>
      </c>
      <c r="Q72" s="539">
        <v>0.40179999999999999</v>
      </c>
      <c r="S72" s="537">
        <f t="shared" ref="S72:S135" si="2">+F72-P72</f>
        <v>0</v>
      </c>
      <c r="T72" s="537">
        <f t="shared" ref="T72:T135" si="3">+G72-Q72</f>
        <v>0</v>
      </c>
    </row>
    <row r="73" spans="1:20" ht="15">
      <c r="A73" s="431">
        <v>67</v>
      </c>
      <c r="B73" s="431">
        <v>208</v>
      </c>
      <c r="C73" s="66" t="s">
        <v>2473</v>
      </c>
      <c r="D73" s="66" t="s">
        <v>529</v>
      </c>
      <c r="E73" s="429" t="s">
        <v>2249</v>
      </c>
      <c r="F73" s="436">
        <v>3.0499999999999999E-2</v>
      </c>
      <c r="G73" s="436">
        <v>0.19009999999999999</v>
      </c>
      <c r="H73" s="436">
        <v>0.17019999999999999</v>
      </c>
      <c r="J73" s="196"/>
      <c r="K73" s="235"/>
      <c r="M73" t="s">
        <v>530</v>
      </c>
      <c r="N73" t="s">
        <v>529</v>
      </c>
      <c r="O73" t="s">
        <v>1264</v>
      </c>
      <c r="P73" s="539">
        <v>3.0499999999999999E-2</v>
      </c>
      <c r="Q73" s="539">
        <v>0.19009999999999999</v>
      </c>
      <c r="S73" s="537">
        <f t="shared" si="2"/>
        <v>0</v>
      </c>
      <c r="T73" s="537">
        <f t="shared" si="3"/>
        <v>0</v>
      </c>
    </row>
    <row r="74" spans="1:20" ht="15">
      <c r="A74" s="431">
        <v>68</v>
      </c>
      <c r="B74" s="431">
        <v>233</v>
      </c>
      <c r="C74" s="66" t="s">
        <v>2472</v>
      </c>
      <c r="D74" s="66" t="s">
        <v>570</v>
      </c>
      <c r="E74" s="429" t="s">
        <v>2269</v>
      </c>
      <c r="F74" s="436">
        <v>3.4200000000000001E-2</v>
      </c>
      <c r="G74" s="436">
        <v>0.12989999999999999</v>
      </c>
      <c r="H74" s="436">
        <v>0.11899999999999999</v>
      </c>
      <c r="J74" s="196"/>
      <c r="K74" s="235"/>
      <c r="M74" t="s">
        <v>571</v>
      </c>
      <c r="N74" t="s">
        <v>570</v>
      </c>
      <c r="O74" t="s">
        <v>1265</v>
      </c>
      <c r="P74" s="539">
        <v>3.4200000000000001E-2</v>
      </c>
      <c r="Q74" s="539">
        <v>0.12989999999999999</v>
      </c>
      <c r="S74" s="537">
        <f t="shared" si="2"/>
        <v>0</v>
      </c>
      <c r="T74" s="537">
        <f t="shared" si="3"/>
        <v>0</v>
      </c>
    </row>
    <row r="75" spans="1:20" ht="15">
      <c r="A75" s="431">
        <v>69</v>
      </c>
      <c r="B75" s="431">
        <v>137</v>
      </c>
      <c r="C75" s="66" t="s">
        <v>2470</v>
      </c>
      <c r="D75" s="66" t="s">
        <v>390</v>
      </c>
      <c r="E75" s="429" t="s">
        <v>2184</v>
      </c>
      <c r="F75" s="436">
        <v>3.7900000000000003E-2</v>
      </c>
      <c r="G75" s="436">
        <v>0.15870000000000001</v>
      </c>
      <c r="H75" s="436">
        <v>0.17199999999999999</v>
      </c>
      <c r="J75" s="196"/>
      <c r="K75" s="235"/>
      <c r="M75" t="s">
        <v>391</v>
      </c>
      <c r="N75" t="s">
        <v>390</v>
      </c>
      <c r="O75" t="s">
        <v>1266</v>
      </c>
      <c r="P75" s="539">
        <v>3.7900000000000003E-2</v>
      </c>
      <c r="Q75" s="539">
        <v>0.15870000000000001</v>
      </c>
      <c r="S75" s="537">
        <f t="shared" si="2"/>
        <v>0</v>
      </c>
      <c r="T75" s="537">
        <f t="shared" si="3"/>
        <v>0</v>
      </c>
    </row>
    <row r="76" spans="1:20" ht="15">
      <c r="A76" s="431">
        <v>70</v>
      </c>
      <c r="B76" s="431">
        <v>81</v>
      </c>
      <c r="C76" s="66" t="s">
        <v>2471</v>
      </c>
      <c r="D76" s="66" t="s">
        <v>307</v>
      </c>
      <c r="E76" s="429" t="s">
        <v>2138</v>
      </c>
      <c r="F76" s="436">
        <v>0</v>
      </c>
      <c r="G76" s="436">
        <v>0.15359999999999999</v>
      </c>
      <c r="H76" s="436">
        <v>0.15110000000000001</v>
      </c>
      <c r="J76" s="196"/>
      <c r="K76" s="235"/>
      <c r="M76" t="s">
        <v>308</v>
      </c>
      <c r="N76" t="s">
        <v>307</v>
      </c>
      <c r="O76" t="s">
        <v>1267</v>
      </c>
      <c r="P76" s="539">
        <v>0</v>
      </c>
      <c r="Q76" s="539">
        <v>0.15359999999999999</v>
      </c>
      <c r="S76" s="537">
        <f t="shared" si="2"/>
        <v>0</v>
      </c>
      <c r="T76" s="537">
        <f t="shared" si="3"/>
        <v>0</v>
      </c>
    </row>
    <row r="77" spans="1:20" ht="15">
      <c r="A77" s="431">
        <v>71</v>
      </c>
      <c r="B77" s="431">
        <v>310</v>
      </c>
      <c r="C77" s="66" t="s">
        <v>2464</v>
      </c>
      <c r="D77" s="66" t="s">
        <v>703</v>
      </c>
      <c r="E77" s="429" t="s">
        <v>2338</v>
      </c>
      <c r="F77" s="436">
        <v>9.2200000000000004E-2</v>
      </c>
      <c r="G77" s="436">
        <v>0.29249999999999998</v>
      </c>
      <c r="H77" s="436">
        <v>0.28810000000000002</v>
      </c>
      <c r="J77" s="196"/>
      <c r="K77" s="235"/>
      <c r="M77" t="s">
        <v>704</v>
      </c>
      <c r="N77" t="s">
        <v>703</v>
      </c>
      <c r="O77" t="s">
        <v>1268</v>
      </c>
      <c r="P77" s="539">
        <v>9.2200000000000004E-2</v>
      </c>
      <c r="Q77" s="539">
        <v>0.29249999999999998</v>
      </c>
      <c r="S77" s="537">
        <f t="shared" si="2"/>
        <v>0</v>
      </c>
      <c r="T77" s="537">
        <f t="shared" si="3"/>
        <v>0</v>
      </c>
    </row>
    <row r="78" spans="1:20" ht="15">
      <c r="A78" s="431">
        <v>72</v>
      </c>
      <c r="B78" s="431">
        <v>16</v>
      </c>
      <c r="C78" s="66" t="s">
        <v>2466</v>
      </c>
      <c r="D78" s="66" t="s">
        <v>193</v>
      </c>
      <c r="E78" s="429" t="s">
        <v>2081</v>
      </c>
      <c r="F78" s="436">
        <v>7.8299999999999995E-2</v>
      </c>
      <c r="G78" s="436">
        <v>0.2185</v>
      </c>
      <c r="H78" s="436">
        <v>0.21590000000000001</v>
      </c>
      <c r="J78" s="196"/>
      <c r="K78" s="235"/>
      <c r="M78" t="s">
        <v>194</v>
      </c>
      <c r="N78" t="s">
        <v>193</v>
      </c>
      <c r="O78" t="s">
        <v>1269</v>
      </c>
      <c r="P78" s="539">
        <v>7.8299999999999995E-2</v>
      </c>
      <c r="Q78" s="539">
        <v>0.2185</v>
      </c>
      <c r="S78" s="537">
        <f t="shared" si="2"/>
        <v>0</v>
      </c>
      <c r="T78" s="537">
        <f t="shared" si="3"/>
        <v>0</v>
      </c>
    </row>
    <row r="79" spans="1:20" ht="15">
      <c r="A79" s="431">
        <v>73</v>
      </c>
      <c r="B79" s="431">
        <v>99</v>
      </c>
      <c r="C79" s="66" t="s">
        <v>2473</v>
      </c>
      <c r="D79" s="66" t="s">
        <v>342</v>
      </c>
      <c r="E79" s="429" t="s">
        <v>2156</v>
      </c>
      <c r="F79" s="436">
        <v>3.9699999999999999E-2</v>
      </c>
      <c r="G79" s="436">
        <v>0.1709</v>
      </c>
      <c r="H79" s="436">
        <v>0.16739999999999999</v>
      </c>
      <c r="J79" s="196"/>
      <c r="K79" s="235"/>
      <c r="M79" t="s">
        <v>343</v>
      </c>
      <c r="N79" t="s">
        <v>342</v>
      </c>
      <c r="O79" t="s">
        <v>1270</v>
      </c>
      <c r="P79" s="539">
        <v>3.9699999999999999E-2</v>
      </c>
      <c r="Q79" s="539">
        <v>0.1709</v>
      </c>
      <c r="S79" s="537">
        <f t="shared" si="2"/>
        <v>0</v>
      </c>
      <c r="T79" s="537">
        <f t="shared" si="3"/>
        <v>0</v>
      </c>
    </row>
    <row r="80" spans="1:20" ht="15">
      <c r="A80" s="431">
        <v>74</v>
      </c>
      <c r="B80" s="431">
        <v>73</v>
      </c>
      <c r="C80" s="66" t="s">
        <v>2466</v>
      </c>
      <c r="D80" s="66" t="s">
        <v>291</v>
      </c>
      <c r="E80" s="429" t="s">
        <v>2130</v>
      </c>
      <c r="F80" s="436">
        <v>3.7600000000000001E-2</v>
      </c>
      <c r="G80" s="436">
        <v>0.15110000000000001</v>
      </c>
      <c r="H80" s="436">
        <v>0.14149999999999999</v>
      </c>
      <c r="J80" s="196"/>
      <c r="K80" s="235"/>
      <c r="M80" t="s">
        <v>292</v>
      </c>
      <c r="N80" t="s">
        <v>291</v>
      </c>
      <c r="O80" t="s">
        <v>1271</v>
      </c>
      <c r="P80" s="539">
        <v>3.7600000000000001E-2</v>
      </c>
      <c r="Q80" s="539">
        <v>0.15110000000000001</v>
      </c>
      <c r="S80" s="537">
        <f t="shared" si="2"/>
        <v>0</v>
      </c>
      <c r="T80" s="537">
        <f t="shared" si="3"/>
        <v>0</v>
      </c>
    </row>
    <row r="81" spans="1:20" ht="15">
      <c r="A81" s="431">
        <v>75</v>
      </c>
      <c r="B81" s="431">
        <v>38</v>
      </c>
      <c r="C81" s="66"/>
      <c r="D81" s="437" t="s">
        <v>1542</v>
      </c>
      <c r="E81" s="435" t="s">
        <v>1633</v>
      </c>
      <c r="F81" s="439">
        <v>0</v>
      </c>
      <c r="G81" s="439">
        <v>0</v>
      </c>
      <c r="H81" s="439">
        <v>0</v>
      </c>
      <c r="J81" s="196"/>
      <c r="K81" s="235"/>
      <c r="M81" t="s">
        <v>1633</v>
      </c>
      <c r="N81" t="s">
        <v>1542</v>
      </c>
      <c r="O81" t="s">
        <v>1543</v>
      </c>
      <c r="P81" s="539">
        <v>0</v>
      </c>
      <c r="Q81" s="539">
        <v>0</v>
      </c>
      <c r="S81" s="537">
        <f t="shared" si="2"/>
        <v>0</v>
      </c>
      <c r="T81" s="537">
        <f t="shared" si="3"/>
        <v>0</v>
      </c>
    </row>
    <row r="82" spans="1:20" ht="15">
      <c r="A82" s="431">
        <v>76</v>
      </c>
      <c r="B82" s="431">
        <v>258</v>
      </c>
      <c r="C82" s="66"/>
      <c r="D82" s="438" t="s">
        <v>766</v>
      </c>
      <c r="E82" s="435" t="s">
        <v>1634</v>
      </c>
      <c r="F82" s="439">
        <v>0</v>
      </c>
      <c r="G82" s="538">
        <v>0.11</v>
      </c>
      <c r="H82" s="439">
        <v>0</v>
      </c>
      <c r="J82" s="196"/>
      <c r="K82" s="235"/>
      <c r="M82" t="s">
        <v>1634</v>
      </c>
      <c r="N82" t="s">
        <v>766</v>
      </c>
      <c r="O82" t="s">
        <v>1701</v>
      </c>
      <c r="P82" s="539">
        <v>0</v>
      </c>
      <c r="Q82" s="538">
        <v>0.11</v>
      </c>
      <c r="S82" s="537">
        <f t="shared" si="2"/>
        <v>0</v>
      </c>
      <c r="T82" s="537">
        <f t="shared" si="3"/>
        <v>0</v>
      </c>
    </row>
    <row r="83" spans="1:20" ht="15">
      <c r="A83" s="431">
        <v>77</v>
      </c>
      <c r="B83" s="431">
        <v>329</v>
      </c>
      <c r="C83" s="66"/>
      <c r="D83" s="437" t="s">
        <v>768</v>
      </c>
      <c r="E83" s="435" t="s">
        <v>1635</v>
      </c>
      <c r="F83" s="439">
        <v>0</v>
      </c>
      <c r="G83" s="538">
        <v>0.11</v>
      </c>
      <c r="H83" s="439">
        <v>0</v>
      </c>
      <c r="J83" s="196"/>
      <c r="K83" s="235"/>
      <c r="M83" t="s">
        <v>1635</v>
      </c>
      <c r="N83" t="s">
        <v>768</v>
      </c>
      <c r="O83" t="s">
        <v>1702</v>
      </c>
      <c r="P83" s="539">
        <v>0</v>
      </c>
      <c r="Q83" s="538">
        <v>0.11</v>
      </c>
      <c r="S83" s="537">
        <f t="shared" si="2"/>
        <v>0</v>
      </c>
      <c r="T83" s="537">
        <f t="shared" si="3"/>
        <v>0</v>
      </c>
    </row>
    <row r="84" spans="1:20" ht="15">
      <c r="A84" s="431">
        <v>78</v>
      </c>
      <c r="B84" s="431">
        <v>39</v>
      </c>
      <c r="C84" s="66"/>
      <c r="D84" s="437" t="s">
        <v>761</v>
      </c>
      <c r="E84" s="435" t="s">
        <v>1636</v>
      </c>
      <c r="F84" s="439">
        <v>0</v>
      </c>
      <c r="G84" s="538">
        <v>0.11</v>
      </c>
      <c r="H84" s="439">
        <v>0</v>
      </c>
      <c r="J84" s="196"/>
      <c r="K84" s="235"/>
      <c r="M84" t="s">
        <v>1636</v>
      </c>
      <c r="N84" t="s">
        <v>761</v>
      </c>
      <c r="O84" t="s">
        <v>1703</v>
      </c>
      <c r="P84" s="539">
        <v>0</v>
      </c>
      <c r="Q84" s="538">
        <v>0.11</v>
      </c>
      <c r="S84" s="537">
        <f t="shared" si="2"/>
        <v>0</v>
      </c>
      <c r="T84" s="537">
        <f t="shared" si="3"/>
        <v>0</v>
      </c>
    </row>
    <row r="85" spans="1:20" ht="15">
      <c r="A85" s="431">
        <v>79</v>
      </c>
      <c r="B85" s="431">
        <v>282</v>
      </c>
      <c r="C85" s="66"/>
      <c r="D85" s="438" t="s">
        <v>767</v>
      </c>
      <c r="E85" s="435" t="s">
        <v>1637</v>
      </c>
      <c r="F85" s="439">
        <v>0</v>
      </c>
      <c r="G85" s="538">
        <v>0.11</v>
      </c>
      <c r="H85" s="439">
        <v>0</v>
      </c>
      <c r="J85" s="196"/>
      <c r="K85" s="235"/>
      <c r="M85" t="s">
        <v>1637</v>
      </c>
      <c r="N85" t="s">
        <v>767</v>
      </c>
      <c r="O85" t="s">
        <v>2528</v>
      </c>
      <c r="P85" s="539">
        <v>0</v>
      </c>
      <c r="Q85" s="538">
        <v>0.11</v>
      </c>
      <c r="S85" s="537">
        <f t="shared" si="2"/>
        <v>0</v>
      </c>
      <c r="T85" s="537">
        <f t="shared" si="3"/>
        <v>0</v>
      </c>
    </row>
    <row r="86" spans="1:20" ht="15">
      <c r="A86" s="431">
        <v>80</v>
      </c>
      <c r="B86" s="431">
        <v>131</v>
      </c>
      <c r="C86" s="66"/>
      <c r="D86" s="437" t="s">
        <v>764</v>
      </c>
      <c r="E86" s="435" t="s">
        <v>1653</v>
      </c>
      <c r="F86" s="439">
        <v>0</v>
      </c>
      <c r="G86" s="538">
        <v>0.11</v>
      </c>
      <c r="H86" s="439">
        <v>0</v>
      </c>
      <c r="J86" s="196"/>
      <c r="K86" s="235"/>
      <c r="M86" t="s">
        <v>1653</v>
      </c>
      <c r="N86" t="s">
        <v>764</v>
      </c>
      <c r="O86" t="s">
        <v>2529</v>
      </c>
      <c r="P86" s="539">
        <v>0</v>
      </c>
      <c r="Q86" s="538">
        <v>0.11</v>
      </c>
      <c r="S86" s="537">
        <f t="shared" si="2"/>
        <v>0</v>
      </c>
      <c r="T86" s="537">
        <f t="shared" si="3"/>
        <v>0</v>
      </c>
    </row>
    <row r="87" spans="1:20" ht="15">
      <c r="A87" s="431">
        <v>81</v>
      </c>
      <c r="B87" s="431">
        <v>116</v>
      </c>
      <c r="C87" s="66"/>
      <c r="D87" s="437" t="s">
        <v>763</v>
      </c>
      <c r="E87" s="435" t="s">
        <v>1654</v>
      </c>
      <c r="F87" s="439">
        <v>0</v>
      </c>
      <c r="G87" s="538">
        <v>0.11</v>
      </c>
      <c r="H87" s="439">
        <v>0</v>
      </c>
      <c r="J87" s="196"/>
      <c r="K87" s="235"/>
      <c r="M87" t="s">
        <v>1654</v>
      </c>
      <c r="N87" t="s">
        <v>763</v>
      </c>
      <c r="O87" t="s">
        <v>2530</v>
      </c>
      <c r="P87" s="539">
        <v>0</v>
      </c>
      <c r="Q87" s="538">
        <v>0.11</v>
      </c>
      <c r="S87" s="537">
        <f t="shared" si="2"/>
        <v>0</v>
      </c>
      <c r="T87" s="537">
        <f t="shared" si="3"/>
        <v>0</v>
      </c>
    </row>
    <row r="88" spans="1:20" ht="15">
      <c r="A88" s="431">
        <v>82</v>
      </c>
      <c r="B88" s="431">
        <v>64</v>
      </c>
      <c r="C88" s="66"/>
      <c r="D88" s="437" t="s">
        <v>762</v>
      </c>
      <c r="E88" s="435" t="s">
        <v>1638</v>
      </c>
      <c r="F88" s="439">
        <v>0</v>
      </c>
      <c r="G88" s="538">
        <v>0.11</v>
      </c>
      <c r="H88" s="439">
        <v>0</v>
      </c>
      <c r="J88" s="196"/>
      <c r="K88" s="235"/>
      <c r="M88" t="s">
        <v>1638</v>
      </c>
      <c r="N88" t="s">
        <v>762</v>
      </c>
      <c r="O88" t="s">
        <v>1704</v>
      </c>
      <c r="P88" s="539">
        <v>0</v>
      </c>
      <c r="Q88" s="538">
        <v>0.11</v>
      </c>
      <c r="S88" s="537">
        <f t="shared" si="2"/>
        <v>0</v>
      </c>
      <c r="T88" s="537">
        <f t="shared" si="3"/>
        <v>0</v>
      </c>
    </row>
    <row r="89" spans="1:20" ht="15">
      <c r="A89" s="431">
        <v>83</v>
      </c>
      <c r="B89" s="431">
        <v>21</v>
      </c>
      <c r="C89" s="66"/>
      <c r="D89" s="437" t="s">
        <v>760</v>
      </c>
      <c r="E89" s="435" t="s">
        <v>1651</v>
      </c>
      <c r="F89" s="439">
        <v>0</v>
      </c>
      <c r="G89" s="538">
        <v>0.11</v>
      </c>
      <c r="H89" s="439">
        <v>0</v>
      </c>
      <c r="J89" s="196"/>
      <c r="K89" s="235"/>
      <c r="M89" t="s">
        <v>1651</v>
      </c>
      <c r="N89" t="s">
        <v>760</v>
      </c>
      <c r="O89" t="s">
        <v>1705</v>
      </c>
      <c r="P89" s="539">
        <v>0</v>
      </c>
      <c r="Q89" s="538">
        <v>0.11</v>
      </c>
      <c r="S89" s="537">
        <f t="shared" si="2"/>
        <v>0</v>
      </c>
      <c r="T89" s="537">
        <f t="shared" si="3"/>
        <v>0</v>
      </c>
    </row>
    <row r="90" spans="1:20" ht="15">
      <c r="A90" s="431">
        <v>84</v>
      </c>
      <c r="B90" s="431">
        <v>225</v>
      </c>
      <c r="C90" s="66"/>
      <c r="D90" s="438" t="s">
        <v>765</v>
      </c>
      <c r="E90" s="435" t="s">
        <v>1652</v>
      </c>
      <c r="F90" s="439">
        <v>0</v>
      </c>
      <c r="G90" s="538">
        <v>0.11</v>
      </c>
      <c r="H90" s="439">
        <v>0</v>
      </c>
      <c r="J90" s="196"/>
      <c r="K90" s="235"/>
      <c r="M90" t="s">
        <v>1652</v>
      </c>
      <c r="N90" t="s">
        <v>765</v>
      </c>
      <c r="O90" t="s">
        <v>2531</v>
      </c>
      <c r="P90" s="539">
        <v>0</v>
      </c>
      <c r="Q90" s="538">
        <v>0.11</v>
      </c>
      <c r="S90" s="537">
        <f t="shared" si="2"/>
        <v>0</v>
      </c>
      <c r="T90" s="537">
        <f t="shared" si="3"/>
        <v>0</v>
      </c>
    </row>
    <row r="91" spans="1:20" ht="15">
      <c r="A91" s="431">
        <v>85</v>
      </c>
      <c r="B91" s="431">
        <v>151</v>
      </c>
      <c r="C91" s="66" t="s">
        <v>2471</v>
      </c>
      <c r="D91" s="66" t="s">
        <v>418</v>
      </c>
      <c r="E91" s="429" t="s">
        <v>2380</v>
      </c>
      <c r="F91" s="436">
        <v>0.1628</v>
      </c>
      <c r="G91" s="436">
        <v>0.34670000000000001</v>
      </c>
      <c r="H91" s="436">
        <v>0.29770000000000002</v>
      </c>
      <c r="J91" s="196"/>
      <c r="K91" s="235"/>
      <c r="M91" t="s">
        <v>419</v>
      </c>
      <c r="N91" t="s">
        <v>418</v>
      </c>
      <c r="O91" t="s">
        <v>1272</v>
      </c>
      <c r="P91" s="539">
        <v>0.1628</v>
      </c>
      <c r="Q91" s="539">
        <v>0.34670000000000001</v>
      </c>
      <c r="S91" s="537">
        <f t="shared" si="2"/>
        <v>0</v>
      </c>
      <c r="T91" s="537">
        <f t="shared" si="3"/>
        <v>0</v>
      </c>
    </row>
    <row r="92" spans="1:20" ht="15">
      <c r="A92" s="431">
        <v>86</v>
      </c>
      <c r="B92" s="431">
        <v>230</v>
      </c>
      <c r="C92" s="66" t="s">
        <v>2472</v>
      </c>
      <c r="D92" s="66" t="s">
        <v>564</v>
      </c>
      <c r="E92" s="429" t="s">
        <v>2266</v>
      </c>
      <c r="F92" s="436">
        <v>2.8899999999999999E-2</v>
      </c>
      <c r="G92" s="436">
        <v>0.12520000000000001</v>
      </c>
      <c r="H92" s="436">
        <v>0.1303</v>
      </c>
      <c r="J92" s="196"/>
      <c r="K92" s="235"/>
      <c r="M92" t="s">
        <v>565</v>
      </c>
      <c r="N92" t="s">
        <v>564</v>
      </c>
      <c r="O92" t="s">
        <v>1273</v>
      </c>
      <c r="P92" s="539">
        <v>2.8899999999999999E-2</v>
      </c>
      <c r="Q92" s="539">
        <v>0.12520000000000001</v>
      </c>
      <c r="S92" s="537">
        <f t="shared" si="2"/>
        <v>0</v>
      </c>
      <c r="T92" s="537">
        <f t="shared" si="3"/>
        <v>0</v>
      </c>
    </row>
    <row r="93" spans="1:20" ht="15">
      <c r="A93" s="431">
        <v>87</v>
      </c>
      <c r="B93" s="431">
        <v>34</v>
      </c>
      <c r="C93" s="66" t="s">
        <v>2469</v>
      </c>
      <c r="D93" s="66" t="s">
        <v>222</v>
      </c>
      <c r="E93" s="429" t="s">
        <v>2097</v>
      </c>
      <c r="F93" s="436">
        <v>4.5400000000000003E-2</v>
      </c>
      <c r="G93" s="436">
        <v>0.12239999999999999</v>
      </c>
      <c r="H93" s="436">
        <v>0.13059999999999999</v>
      </c>
      <c r="J93" s="196"/>
      <c r="K93" s="235"/>
      <c r="M93" t="s">
        <v>801</v>
      </c>
      <c r="N93" t="s">
        <v>222</v>
      </c>
      <c r="O93" t="s">
        <v>2532</v>
      </c>
      <c r="P93" s="539">
        <v>4.5400000000000003E-2</v>
      </c>
      <c r="Q93" s="539">
        <v>0.12239999999999999</v>
      </c>
      <c r="S93" s="537">
        <f t="shared" si="2"/>
        <v>0</v>
      </c>
      <c r="T93" s="537">
        <f t="shared" si="3"/>
        <v>0</v>
      </c>
    </row>
    <row r="94" spans="1:20" ht="15">
      <c r="A94" s="431">
        <v>88</v>
      </c>
      <c r="B94" s="431">
        <v>269</v>
      </c>
      <c r="C94" s="66" t="s">
        <v>2464</v>
      </c>
      <c r="D94" s="66" t="s">
        <v>632</v>
      </c>
      <c r="E94" s="429" t="s">
        <v>2302</v>
      </c>
      <c r="F94" s="436">
        <v>6.6799999999999998E-2</v>
      </c>
      <c r="G94" s="436">
        <v>0.2767</v>
      </c>
      <c r="H94" s="436">
        <v>0.20780000000000001</v>
      </c>
      <c r="J94" s="196"/>
      <c r="K94" s="235"/>
      <c r="M94" t="s">
        <v>804</v>
      </c>
      <c r="N94" t="s">
        <v>632</v>
      </c>
      <c r="O94" t="s">
        <v>2533</v>
      </c>
      <c r="P94" s="539">
        <v>6.6799999999999998E-2</v>
      </c>
      <c r="Q94" s="539">
        <v>0.2767</v>
      </c>
      <c r="S94" s="537">
        <f t="shared" si="2"/>
        <v>0</v>
      </c>
      <c r="T94" s="537">
        <f t="shared" si="3"/>
        <v>0</v>
      </c>
    </row>
    <row r="95" spans="1:20" ht="15">
      <c r="A95" s="431">
        <v>89</v>
      </c>
      <c r="B95" s="431">
        <v>98</v>
      </c>
      <c r="C95" s="66" t="s">
        <v>2473</v>
      </c>
      <c r="D95" s="66" t="s">
        <v>340</v>
      </c>
      <c r="E95" s="429" t="s">
        <v>2155</v>
      </c>
      <c r="F95" s="436">
        <v>3.4599999999999999E-2</v>
      </c>
      <c r="G95" s="436">
        <v>0.1605</v>
      </c>
      <c r="H95" s="436">
        <v>0.15260000000000001</v>
      </c>
      <c r="J95" s="196"/>
      <c r="K95" s="235"/>
      <c r="M95" t="s">
        <v>341</v>
      </c>
      <c r="N95" t="s">
        <v>340</v>
      </c>
      <c r="O95" t="s">
        <v>1276</v>
      </c>
      <c r="P95" s="539">
        <v>3.4599999999999999E-2</v>
      </c>
      <c r="Q95" s="539">
        <v>0.1605</v>
      </c>
      <c r="S95" s="537">
        <f t="shared" si="2"/>
        <v>0</v>
      </c>
      <c r="T95" s="537">
        <f t="shared" si="3"/>
        <v>0</v>
      </c>
    </row>
    <row r="96" spans="1:20" ht="15">
      <c r="A96" s="431">
        <v>90</v>
      </c>
      <c r="B96" s="431">
        <v>293</v>
      </c>
      <c r="C96" s="66" t="s">
        <v>2472</v>
      </c>
      <c r="D96" s="66" t="s">
        <v>673</v>
      </c>
      <c r="E96" s="429" t="s">
        <v>2325</v>
      </c>
      <c r="F96" s="436">
        <v>4.3700000000000003E-2</v>
      </c>
      <c r="G96" s="436">
        <v>0.16750000000000001</v>
      </c>
      <c r="H96" s="436">
        <v>0.1502</v>
      </c>
      <c r="J96" s="196"/>
      <c r="K96" s="235"/>
      <c r="M96" t="s">
        <v>674</v>
      </c>
      <c r="N96" t="s">
        <v>673</v>
      </c>
      <c r="O96" t="s">
        <v>1277</v>
      </c>
      <c r="P96" s="539">
        <v>4.3700000000000003E-2</v>
      </c>
      <c r="Q96" s="539">
        <v>0.16750000000000001</v>
      </c>
      <c r="S96" s="537">
        <f t="shared" si="2"/>
        <v>0</v>
      </c>
      <c r="T96" s="537">
        <f t="shared" si="3"/>
        <v>0</v>
      </c>
    </row>
    <row r="97" spans="1:20" ht="15">
      <c r="A97" s="431">
        <v>91</v>
      </c>
      <c r="B97" s="431">
        <v>210</v>
      </c>
      <c r="C97" s="66" t="s">
        <v>2473</v>
      </c>
      <c r="D97" s="66" t="s">
        <v>533</v>
      </c>
      <c r="E97" s="429" t="s">
        <v>2251</v>
      </c>
      <c r="F97" s="436">
        <v>2.87E-2</v>
      </c>
      <c r="G97" s="436">
        <v>0.14499999999999999</v>
      </c>
      <c r="H97" s="436">
        <v>0.13669999999999999</v>
      </c>
      <c r="J97" s="196"/>
      <c r="K97" s="235"/>
      <c r="M97" t="s">
        <v>534</v>
      </c>
      <c r="N97" t="s">
        <v>533</v>
      </c>
      <c r="O97" t="s">
        <v>1278</v>
      </c>
      <c r="P97" s="539">
        <v>2.87E-2</v>
      </c>
      <c r="Q97" s="539">
        <v>0.14499999999999999</v>
      </c>
      <c r="S97" s="537">
        <f t="shared" si="2"/>
        <v>0</v>
      </c>
      <c r="T97" s="537">
        <f t="shared" si="3"/>
        <v>0</v>
      </c>
    </row>
    <row r="98" spans="1:20" ht="15">
      <c r="A98" s="431">
        <v>92</v>
      </c>
      <c r="B98" s="431">
        <v>11</v>
      </c>
      <c r="C98" s="66" t="s">
        <v>2465</v>
      </c>
      <c r="D98" s="66" t="s">
        <v>183</v>
      </c>
      <c r="E98" s="429" t="s">
        <v>2077</v>
      </c>
      <c r="F98" s="436">
        <v>3.2800000000000003E-2</v>
      </c>
      <c r="G98" s="436">
        <v>0.18859999999999999</v>
      </c>
      <c r="H98" s="436">
        <v>0.1845</v>
      </c>
      <c r="J98" s="196"/>
      <c r="K98" s="235"/>
      <c r="M98" t="s">
        <v>184</v>
      </c>
      <c r="N98" t="s">
        <v>183</v>
      </c>
      <c r="O98" t="s">
        <v>1279</v>
      </c>
      <c r="P98" s="539">
        <v>3.2800000000000003E-2</v>
      </c>
      <c r="Q98" s="539">
        <v>0.18859999999999999</v>
      </c>
      <c r="S98" s="537">
        <f t="shared" si="2"/>
        <v>0</v>
      </c>
      <c r="T98" s="537">
        <f t="shared" si="3"/>
        <v>0</v>
      </c>
    </row>
    <row r="99" spans="1:20" ht="15">
      <c r="A99" s="431">
        <v>93</v>
      </c>
      <c r="B99" s="431">
        <v>206</v>
      </c>
      <c r="C99" s="66" t="s">
        <v>2473</v>
      </c>
      <c r="D99" s="66" t="s">
        <v>525</v>
      </c>
      <c r="E99" s="429" t="s">
        <v>2247</v>
      </c>
      <c r="F99" s="436">
        <v>3.5200000000000002E-2</v>
      </c>
      <c r="G99" s="436">
        <v>0.1202</v>
      </c>
      <c r="H99" s="436">
        <v>0.1123</v>
      </c>
      <c r="J99" s="196"/>
      <c r="K99" s="235"/>
      <c r="M99" t="s">
        <v>526</v>
      </c>
      <c r="N99" t="s">
        <v>525</v>
      </c>
      <c r="O99" t="s">
        <v>1280</v>
      </c>
      <c r="P99" s="539">
        <v>3.5200000000000002E-2</v>
      </c>
      <c r="Q99" s="539">
        <v>0.1202</v>
      </c>
      <c r="S99" s="537">
        <f t="shared" si="2"/>
        <v>0</v>
      </c>
      <c r="T99" s="537">
        <f t="shared" si="3"/>
        <v>0</v>
      </c>
    </row>
    <row r="100" spans="1:20" ht="15">
      <c r="A100" s="431">
        <v>94</v>
      </c>
      <c r="B100" s="431">
        <v>251</v>
      </c>
      <c r="C100" s="66" t="s">
        <v>2464</v>
      </c>
      <c r="D100" s="66" t="s">
        <v>606</v>
      </c>
      <c r="E100" s="429" t="s">
        <v>2286</v>
      </c>
      <c r="F100" s="436">
        <v>3.2899999999999999E-2</v>
      </c>
      <c r="G100" s="436">
        <v>0.222</v>
      </c>
      <c r="H100" s="436">
        <v>0.2356</v>
      </c>
      <c r="J100" s="196"/>
      <c r="K100" s="235"/>
      <c r="M100" t="s">
        <v>607</v>
      </c>
      <c r="N100" t="s">
        <v>606</v>
      </c>
      <c r="O100" t="s">
        <v>1281</v>
      </c>
      <c r="P100" s="539">
        <v>3.2899999999999999E-2</v>
      </c>
      <c r="Q100" s="539">
        <v>0.222</v>
      </c>
      <c r="S100" s="537">
        <f t="shared" si="2"/>
        <v>0</v>
      </c>
      <c r="T100" s="537">
        <f t="shared" si="3"/>
        <v>0</v>
      </c>
    </row>
    <row r="101" spans="1:20" ht="15">
      <c r="A101" s="431">
        <v>95</v>
      </c>
      <c r="B101" s="431">
        <v>307</v>
      </c>
      <c r="C101" s="66" t="s">
        <v>2464</v>
      </c>
      <c r="D101" s="66" t="s">
        <v>697</v>
      </c>
      <c r="E101" s="429" t="s">
        <v>2336</v>
      </c>
      <c r="F101" s="436">
        <v>3.7600000000000001E-2</v>
      </c>
      <c r="G101" s="436">
        <v>0.28110000000000002</v>
      </c>
      <c r="H101" s="436">
        <v>0.30480000000000002</v>
      </c>
      <c r="J101" s="196"/>
      <c r="K101" s="235"/>
      <c r="M101" t="s">
        <v>698</v>
      </c>
      <c r="N101" t="s">
        <v>697</v>
      </c>
      <c r="O101" t="s">
        <v>1282</v>
      </c>
      <c r="P101" s="539">
        <v>3.7600000000000001E-2</v>
      </c>
      <c r="Q101" s="539">
        <v>0.28110000000000002</v>
      </c>
      <c r="S101" s="537">
        <f t="shared" si="2"/>
        <v>0</v>
      </c>
      <c r="T101" s="537">
        <f t="shared" si="3"/>
        <v>0</v>
      </c>
    </row>
    <row r="102" spans="1:20" ht="15">
      <c r="A102" s="431">
        <v>96</v>
      </c>
      <c r="B102" s="431">
        <v>144</v>
      </c>
      <c r="C102" s="66" t="s">
        <v>2469</v>
      </c>
      <c r="D102" s="66" t="s">
        <v>404</v>
      </c>
      <c r="E102" s="429" t="s">
        <v>2189</v>
      </c>
      <c r="F102" s="436">
        <v>6.4799999999999996E-2</v>
      </c>
      <c r="G102" s="436">
        <v>0.2878</v>
      </c>
      <c r="H102" s="436">
        <v>0.2903</v>
      </c>
      <c r="J102" s="196"/>
      <c r="K102" s="235"/>
      <c r="M102" t="s">
        <v>405</v>
      </c>
      <c r="N102" t="s">
        <v>404</v>
      </c>
      <c r="O102" t="s">
        <v>1283</v>
      </c>
      <c r="P102" s="539">
        <v>6.4799999999999996E-2</v>
      </c>
      <c r="Q102" s="539">
        <v>0.2878</v>
      </c>
      <c r="S102" s="537">
        <f t="shared" si="2"/>
        <v>0</v>
      </c>
      <c r="T102" s="537">
        <f t="shared" si="3"/>
        <v>0</v>
      </c>
    </row>
    <row r="103" spans="1:20" ht="15">
      <c r="A103" s="431">
        <v>97</v>
      </c>
      <c r="B103" s="431">
        <v>147</v>
      </c>
      <c r="C103" s="66" t="s">
        <v>2470</v>
      </c>
      <c r="D103" s="66" t="s">
        <v>410</v>
      </c>
      <c r="E103" s="429" t="s">
        <v>2191</v>
      </c>
      <c r="F103" s="436">
        <v>7.2999999999999995E-2</v>
      </c>
      <c r="G103" s="436">
        <v>7.4899999999999994E-2</v>
      </c>
      <c r="H103" s="436">
        <v>0.1472</v>
      </c>
      <c r="J103" s="196"/>
      <c r="K103" s="235"/>
      <c r="M103" t="s">
        <v>411</v>
      </c>
      <c r="N103" t="s">
        <v>410</v>
      </c>
      <c r="O103" t="s">
        <v>1284</v>
      </c>
      <c r="P103" s="539">
        <v>7.2999999999999995E-2</v>
      </c>
      <c r="Q103" s="539">
        <v>7.4899999999999994E-2</v>
      </c>
      <c r="S103" s="537">
        <f t="shared" si="2"/>
        <v>0</v>
      </c>
      <c r="T103" s="537">
        <f t="shared" si="3"/>
        <v>0</v>
      </c>
    </row>
    <row r="104" spans="1:20" ht="15">
      <c r="A104" s="431">
        <v>98</v>
      </c>
      <c r="B104" s="431">
        <v>75</v>
      </c>
      <c r="C104" s="66" t="s">
        <v>2466</v>
      </c>
      <c r="D104" s="66" t="s">
        <v>295</v>
      </c>
      <c r="E104" s="429" t="s">
        <v>2132</v>
      </c>
      <c r="F104" s="436">
        <v>4.3099999999999999E-2</v>
      </c>
      <c r="G104" s="436">
        <v>0.2369</v>
      </c>
      <c r="H104" s="436">
        <v>0.20180000000000001</v>
      </c>
      <c r="J104" s="196"/>
      <c r="K104" s="235"/>
      <c r="M104" t="s">
        <v>296</v>
      </c>
      <c r="N104" t="s">
        <v>295</v>
      </c>
      <c r="O104" t="s">
        <v>1285</v>
      </c>
      <c r="P104" s="539">
        <v>4.3099999999999999E-2</v>
      </c>
      <c r="Q104" s="539">
        <v>0.2369</v>
      </c>
      <c r="S104" s="537">
        <f t="shared" si="2"/>
        <v>0</v>
      </c>
      <c r="T104" s="537">
        <f t="shared" si="3"/>
        <v>0</v>
      </c>
    </row>
    <row r="105" spans="1:20" ht="15">
      <c r="A105" s="431">
        <v>99</v>
      </c>
      <c r="B105" s="431">
        <v>320</v>
      </c>
      <c r="C105" s="66" t="s">
        <v>2470</v>
      </c>
      <c r="D105" s="66" t="s">
        <v>722</v>
      </c>
      <c r="E105" s="429" t="s">
        <v>2347</v>
      </c>
      <c r="F105" s="436">
        <v>5.3699999999999998E-2</v>
      </c>
      <c r="G105" s="436">
        <v>0.17269999999999999</v>
      </c>
      <c r="H105" s="436">
        <v>0.17</v>
      </c>
      <c r="J105" s="196"/>
      <c r="K105" s="235"/>
      <c r="M105" t="s">
        <v>723</v>
      </c>
      <c r="N105" t="s">
        <v>722</v>
      </c>
      <c r="O105" t="s">
        <v>1286</v>
      </c>
      <c r="P105" s="539">
        <v>5.3699999999999998E-2</v>
      </c>
      <c r="Q105" s="539">
        <v>0.17269999999999999</v>
      </c>
      <c r="S105" s="537">
        <f t="shared" si="2"/>
        <v>0</v>
      </c>
      <c r="T105" s="537">
        <f t="shared" si="3"/>
        <v>0</v>
      </c>
    </row>
    <row r="106" spans="1:20" ht="15">
      <c r="A106" s="431">
        <v>100</v>
      </c>
      <c r="B106" s="431">
        <v>324</v>
      </c>
      <c r="C106" s="66" t="s">
        <v>2470</v>
      </c>
      <c r="D106" s="66" t="s">
        <v>730</v>
      </c>
      <c r="E106" s="429" t="s">
        <v>2351</v>
      </c>
      <c r="F106" s="436">
        <v>6.6199999999999995E-2</v>
      </c>
      <c r="G106" s="436">
        <v>0.14699999999999999</v>
      </c>
      <c r="H106" s="436">
        <v>0.153</v>
      </c>
      <c r="J106" s="196"/>
      <c r="K106" s="235"/>
      <c r="M106" t="s">
        <v>731</v>
      </c>
      <c r="N106" t="s">
        <v>730</v>
      </c>
      <c r="O106" t="s">
        <v>1287</v>
      </c>
      <c r="P106" s="539">
        <v>6.6199999999999995E-2</v>
      </c>
      <c r="Q106" s="539">
        <v>0.14699999999999999</v>
      </c>
      <c r="S106" s="537">
        <f t="shared" si="2"/>
        <v>0</v>
      </c>
      <c r="T106" s="537">
        <f t="shared" si="3"/>
        <v>0</v>
      </c>
    </row>
    <row r="107" spans="1:20" ht="15">
      <c r="A107" s="431">
        <v>101</v>
      </c>
      <c r="B107" s="431">
        <v>242</v>
      </c>
      <c r="C107" s="66" t="s">
        <v>2472</v>
      </c>
      <c r="D107" s="66" t="s">
        <v>588</v>
      </c>
      <c r="E107" s="429" t="s">
        <v>2278</v>
      </c>
      <c r="F107" s="436">
        <v>4.3200000000000002E-2</v>
      </c>
      <c r="G107" s="436">
        <v>0.15770000000000001</v>
      </c>
      <c r="H107" s="436">
        <v>0.1678</v>
      </c>
      <c r="J107" s="196"/>
      <c r="K107" s="235"/>
      <c r="M107" t="s">
        <v>589</v>
      </c>
      <c r="N107" t="s">
        <v>588</v>
      </c>
      <c r="O107" t="s">
        <v>1288</v>
      </c>
      <c r="P107" s="539">
        <v>4.3200000000000002E-2</v>
      </c>
      <c r="Q107" s="539">
        <v>0.15770000000000001</v>
      </c>
      <c r="S107" s="537">
        <f t="shared" si="2"/>
        <v>0</v>
      </c>
      <c r="T107" s="537">
        <f t="shared" si="3"/>
        <v>0</v>
      </c>
    </row>
    <row r="108" spans="1:20" ht="15">
      <c r="A108" s="431">
        <v>102</v>
      </c>
      <c r="B108" s="431">
        <v>172</v>
      </c>
      <c r="C108" s="66" t="s">
        <v>2471</v>
      </c>
      <c r="D108" s="66" t="s">
        <v>460</v>
      </c>
      <c r="E108" s="429" t="s">
        <v>2214</v>
      </c>
      <c r="F108" s="436">
        <v>6.0699999999999997E-2</v>
      </c>
      <c r="G108" s="436">
        <v>0.24709999999999999</v>
      </c>
      <c r="H108" s="436">
        <v>0.25359999999999999</v>
      </c>
      <c r="J108" s="196"/>
      <c r="K108" s="235"/>
      <c r="M108" t="s">
        <v>461</v>
      </c>
      <c r="N108" t="s">
        <v>460</v>
      </c>
      <c r="O108" t="s">
        <v>1289</v>
      </c>
      <c r="P108" s="539">
        <v>6.0699999999999997E-2</v>
      </c>
      <c r="Q108" s="539">
        <v>0.24709999999999999</v>
      </c>
      <c r="S108" s="537">
        <f t="shared" si="2"/>
        <v>0</v>
      </c>
      <c r="T108" s="537">
        <f t="shared" si="3"/>
        <v>0</v>
      </c>
    </row>
    <row r="109" spans="1:20" ht="15">
      <c r="A109" s="431">
        <v>103</v>
      </c>
      <c r="B109" s="431">
        <v>246</v>
      </c>
      <c r="C109" s="66" t="s">
        <v>2464</v>
      </c>
      <c r="D109" s="66" t="s">
        <v>596</v>
      </c>
      <c r="E109" s="429" t="s">
        <v>2281</v>
      </c>
      <c r="F109" s="436">
        <v>0.10059999999999999</v>
      </c>
      <c r="G109" s="436">
        <v>0.32219999999999999</v>
      </c>
      <c r="H109" s="436">
        <v>0.51</v>
      </c>
      <c r="J109" s="196"/>
      <c r="K109" s="235"/>
      <c r="M109" t="s">
        <v>597</v>
      </c>
      <c r="N109" t="s">
        <v>596</v>
      </c>
      <c r="O109" t="s">
        <v>1290</v>
      </c>
      <c r="P109" s="539">
        <v>0.10059999999999999</v>
      </c>
      <c r="Q109" s="539">
        <v>0.32219999999999999</v>
      </c>
      <c r="S109" s="537">
        <f t="shared" si="2"/>
        <v>0</v>
      </c>
      <c r="T109" s="537">
        <f t="shared" si="3"/>
        <v>0</v>
      </c>
    </row>
    <row r="110" spans="1:20" ht="15">
      <c r="A110" s="431">
        <v>104</v>
      </c>
      <c r="B110" s="431">
        <v>32</v>
      </c>
      <c r="C110" s="66" t="s">
        <v>2469</v>
      </c>
      <c r="D110" s="66" t="s">
        <v>218</v>
      </c>
      <c r="E110" s="429" t="s">
        <v>2095</v>
      </c>
      <c r="F110" s="436">
        <v>9.0899999999999995E-2</v>
      </c>
      <c r="G110" s="436">
        <v>0.28460000000000002</v>
      </c>
      <c r="H110" s="436">
        <v>0.2293</v>
      </c>
      <c r="J110" s="196"/>
      <c r="K110" s="235"/>
      <c r="M110" t="s">
        <v>219</v>
      </c>
      <c r="N110" t="s">
        <v>218</v>
      </c>
      <c r="O110" t="s">
        <v>1291</v>
      </c>
      <c r="P110" s="539">
        <v>9.0899999999999995E-2</v>
      </c>
      <c r="Q110" s="539">
        <v>0.28460000000000002</v>
      </c>
      <c r="S110" s="537">
        <f t="shared" si="2"/>
        <v>0</v>
      </c>
      <c r="T110" s="537">
        <f t="shared" si="3"/>
        <v>0</v>
      </c>
    </row>
    <row r="111" spans="1:20" ht="15">
      <c r="A111" s="431">
        <v>105</v>
      </c>
      <c r="B111" s="431">
        <v>279</v>
      </c>
      <c r="C111" s="66" t="s">
        <v>2471</v>
      </c>
      <c r="D111" s="66" t="s">
        <v>650</v>
      </c>
      <c r="E111" s="429" t="s">
        <v>2312</v>
      </c>
      <c r="F111" s="436">
        <v>5.1299999999999998E-2</v>
      </c>
      <c r="G111" s="436">
        <v>0.23680000000000001</v>
      </c>
      <c r="H111" s="436">
        <v>0.23669999999999999</v>
      </c>
      <c r="J111" s="196"/>
      <c r="K111" s="235"/>
      <c r="M111" t="s">
        <v>651</v>
      </c>
      <c r="N111" t="s">
        <v>650</v>
      </c>
      <c r="O111" t="s">
        <v>1292</v>
      </c>
      <c r="P111" s="539">
        <v>5.1299999999999998E-2</v>
      </c>
      <c r="Q111" s="539">
        <v>0.23680000000000001</v>
      </c>
      <c r="S111" s="537">
        <f t="shared" si="2"/>
        <v>0</v>
      </c>
      <c r="T111" s="537">
        <f t="shared" si="3"/>
        <v>0</v>
      </c>
    </row>
    <row r="112" spans="1:20" ht="15">
      <c r="A112" s="431">
        <v>106</v>
      </c>
      <c r="B112" s="431">
        <v>169</v>
      </c>
      <c r="C112" s="66" t="s">
        <v>2464</v>
      </c>
      <c r="D112" s="66" t="s">
        <v>454</v>
      </c>
      <c r="E112" s="429" t="s">
        <v>2211</v>
      </c>
      <c r="F112" s="436">
        <v>4.7800000000000002E-2</v>
      </c>
      <c r="G112" s="436">
        <v>0.2006</v>
      </c>
      <c r="H112" s="436">
        <v>0.23350000000000001</v>
      </c>
      <c r="J112" s="196"/>
      <c r="K112" s="235"/>
      <c r="M112" t="s">
        <v>455</v>
      </c>
      <c r="N112" t="s">
        <v>454</v>
      </c>
      <c r="O112" t="s">
        <v>1293</v>
      </c>
      <c r="P112" s="539">
        <v>4.7800000000000002E-2</v>
      </c>
      <c r="Q112" s="539">
        <v>0.2006</v>
      </c>
      <c r="S112" s="537">
        <f t="shared" si="2"/>
        <v>0</v>
      </c>
      <c r="T112" s="537">
        <f t="shared" si="3"/>
        <v>0</v>
      </c>
    </row>
    <row r="113" spans="1:20" ht="15">
      <c r="A113" s="431">
        <v>107</v>
      </c>
      <c r="B113" s="431">
        <v>323</v>
      </c>
      <c r="C113" s="66" t="s">
        <v>2470</v>
      </c>
      <c r="D113" s="66" t="s">
        <v>728</v>
      </c>
      <c r="E113" s="429" t="s">
        <v>2350</v>
      </c>
      <c r="F113" s="436">
        <v>4.3700000000000003E-2</v>
      </c>
      <c r="G113" s="436">
        <v>0.1933</v>
      </c>
      <c r="H113" s="436">
        <v>0.1898</v>
      </c>
      <c r="J113" s="196"/>
      <c r="K113" s="235"/>
      <c r="M113" t="s">
        <v>729</v>
      </c>
      <c r="N113" t="s">
        <v>728</v>
      </c>
      <c r="O113" t="s">
        <v>1294</v>
      </c>
      <c r="P113" s="539">
        <v>4.3700000000000003E-2</v>
      </c>
      <c r="Q113" s="539">
        <v>0.1933</v>
      </c>
      <c r="S113" s="537">
        <f t="shared" si="2"/>
        <v>0</v>
      </c>
      <c r="T113" s="537">
        <f t="shared" si="3"/>
        <v>0</v>
      </c>
    </row>
    <row r="114" spans="1:20" ht="15">
      <c r="A114" s="431">
        <v>108</v>
      </c>
      <c r="B114" s="431">
        <v>101</v>
      </c>
      <c r="C114" s="66" t="s">
        <v>2473</v>
      </c>
      <c r="D114" s="66" t="s">
        <v>346</v>
      </c>
      <c r="E114" s="429" t="s">
        <v>2158</v>
      </c>
      <c r="F114" s="436">
        <v>3.6799999999999999E-2</v>
      </c>
      <c r="G114" s="436">
        <v>0.14069999999999999</v>
      </c>
      <c r="H114" s="436">
        <v>0.1416</v>
      </c>
      <c r="J114" s="196"/>
      <c r="K114" s="235"/>
      <c r="M114" t="s">
        <v>347</v>
      </c>
      <c r="N114" t="s">
        <v>346</v>
      </c>
      <c r="O114" t="s">
        <v>1295</v>
      </c>
      <c r="P114" s="539">
        <v>3.6799999999999999E-2</v>
      </c>
      <c r="Q114" s="539">
        <v>0.14069999999999999</v>
      </c>
      <c r="S114" s="537">
        <f t="shared" si="2"/>
        <v>0</v>
      </c>
      <c r="T114" s="537">
        <f t="shared" si="3"/>
        <v>0</v>
      </c>
    </row>
    <row r="115" spans="1:20" ht="15">
      <c r="A115" s="431">
        <v>109</v>
      </c>
      <c r="B115" s="431">
        <v>30</v>
      </c>
      <c r="C115" s="66" t="s">
        <v>2469</v>
      </c>
      <c r="D115" s="66" t="s">
        <v>215</v>
      </c>
      <c r="E115" s="429" t="s">
        <v>2093</v>
      </c>
      <c r="F115" s="436">
        <v>3.4200000000000001E-2</v>
      </c>
      <c r="G115" s="436">
        <v>0.21079999999999999</v>
      </c>
      <c r="H115" s="436">
        <v>0.2414</v>
      </c>
      <c r="J115" s="196"/>
      <c r="K115" s="235"/>
      <c r="M115" t="s">
        <v>216</v>
      </c>
      <c r="N115" t="s">
        <v>215</v>
      </c>
      <c r="O115" t="s">
        <v>1296</v>
      </c>
      <c r="P115" s="539">
        <v>3.4200000000000001E-2</v>
      </c>
      <c r="Q115" s="539">
        <v>0.21079999999999999</v>
      </c>
      <c r="S115" s="537">
        <f t="shared" si="2"/>
        <v>0</v>
      </c>
      <c r="T115" s="537">
        <f t="shared" si="3"/>
        <v>0</v>
      </c>
    </row>
    <row r="116" spans="1:20" ht="15">
      <c r="A116" s="431">
        <v>110</v>
      </c>
      <c r="B116" s="431">
        <v>177</v>
      </c>
      <c r="C116" s="66" t="s">
        <v>2471</v>
      </c>
      <c r="D116" s="66" t="s">
        <v>470</v>
      </c>
      <c r="E116" s="429" t="s">
        <v>2219</v>
      </c>
      <c r="F116" s="436">
        <v>7.0400000000000004E-2</v>
      </c>
      <c r="G116" s="436">
        <v>0.22639999999999999</v>
      </c>
      <c r="H116" s="436">
        <v>0.23350000000000001</v>
      </c>
      <c r="J116" s="196"/>
      <c r="K116" s="235"/>
      <c r="M116" t="s">
        <v>471</v>
      </c>
      <c r="N116" t="s">
        <v>470</v>
      </c>
      <c r="O116" t="s">
        <v>1297</v>
      </c>
      <c r="P116" s="539">
        <v>7.0400000000000004E-2</v>
      </c>
      <c r="Q116" s="539">
        <v>0.22639999999999999</v>
      </c>
      <c r="S116" s="537">
        <f t="shared" si="2"/>
        <v>0</v>
      </c>
      <c r="T116" s="537">
        <f t="shared" si="3"/>
        <v>0</v>
      </c>
    </row>
    <row r="117" spans="1:20" ht="15">
      <c r="A117" s="431">
        <v>111</v>
      </c>
      <c r="B117" s="431">
        <v>77</v>
      </c>
      <c r="C117" s="66" t="s">
        <v>2471</v>
      </c>
      <c r="D117" s="66" t="s">
        <v>299</v>
      </c>
      <c r="E117" s="429" t="s">
        <v>2134</v>
      </c>
      <c r="F117" s="436">
        <v>2.4299999999999999E-2</v>
      </c>
      <c r="G117" s="436">
        <v>0.19170000000000001</v>
      </c>
      <c r="H117" s="436">
        <v>0.20849999999999999</v>
      </c>
      <c r="J117" s="196"/>
      <c r="K117" s="235"/>
      <c r="M117" t="s">
        <v>300</v>
      </c>
      <c r="N117" t="s">
        <v>299</v>
      </c>
      <c r="O117" t="s">
        <v>1298</v>
      </c>
      <c r="P117" s="539">
        <v>2.4299999999999999E-2</v>
      </c>
      <c r="Q117" s="539">
        <v>0.19170000000000001</v>
      </c>
      <c r="S117" s="537">
        <f t="shared" si="2"/>
        <v>0</v>
      </c>
      <c r="T117" s="537">
        <f t="shared" si="3"/>
        <v>0</v>
      </c>
    </row>
    <row r="118" spans="1:20" ht="15">
      <c r="A118" s="431">
        <v>112</v>
      </c>
      <c r="B118" s="431">
        <v>125</v>
      </c>
      <c r="C118" s="66" t="s">
        <v>2467</v>
      </c>
      <c r="D118" s="66" t="s">
        <v>2364</v>
      </c>
      <c r="E118" s="429" t="s">
        <v>2487</v>
      </c>
      <c r="F118" s="436">
        <v>3.5000000000000003E-2</v>
      </c>
      <c r="G118" s="436">
        <v>0.14979999999999999</v>
      </c>
      <c r="H118" s="436">
        <v>0.1464</v>
      </c>
      <c r="J118" s="196"/>
      <c r="K118" s="235"/>
      <c r="M118" t="s">
        <v>2363</v>
      </c>
      <c r="N118" t="s">
        <v>2364</v>
      </c>
      <c r="O118" t="s">
        <v>2393</v>
      </c>
      <c r="P118" s="539">
        <v>3.5000000000000003E-2</v>
      </c>
      <c r="Q118" s="539">
        <v>0.14979999999999999</v>
      </c>
      <c r="S118" s="537">
        <f t="shared" si="2"/>
        <v>0</v>
      </c>
      <c r="T118" s="537">
        <f t="shared" si="3"/>
        <v>0</v>
      </c>
    </row>
    <row r="119" spans="1:20" ht="15">
      <c r="A119" s="431">
        <v>113</v>
      </c>
      <c r="B119" s="431">
        <v>122</v>
      </c>
      <c r="C119" s="66" t="s">
        <v>2467</v>
      </c>
      <c r="D119" s="66" t="s">
        <v>1554</v>
      </c>
      <c r="E119" s="429" t="s">
        <v>2488</v>
      </c>
      <c r="F119" s="436">
        <v>0.20680000000000001</v>
      </c>
      <c r="G119" s="436">
        <v>0.3543</v>
      </c>
      <c r="H119" s="436">
        <v>0.4824</v>
      </c>
      <c r="J119" s="196"/>
      <c r="K119" s="235"/>
      <c r="M119" t="s">
        <v>1640</v>
      </c>
      <c r="N119" t="s">
        <v>1554</v>
      </c>
      <c r="O119" t="s">
        <v>2534</v>
      </c>
      <c r="P119" s="539">
        <v>0.20680000000000001</v>
      </c>
      <c r="Q119" s="539">
        <v>0.3543</v>
      </c>
      <c r="S119" s="537">
        <f t="shared" si="2"/>
        <v>0</v>
      </c>
      <c r="T119" s="537">
        <f t="shared" si="3"/>
        <v>0</v>
      </c>
    </row>
    <row r="120" spans="1:20" ht="15">
      <c r="A120" s="431">
        <v>114</v>
      </c>
      <c r="B120" s="431">
        <v>123</v>
      </c>
      <c r="C120" s="66" t="s">
        <v>2467</v>
      </c>
      <c r="D120" s="66" t="s">
        <v>1625</v>
      </c>
      <c r="E120" s="429" t="s">
        <v>2174</v>
      </c>
      <c r="F120" s="436">
        <v>3.5000000000000003E-2</v>
      </c>
      <c r="G120" s="436">
        <v>0.14979999999999999</v>
      </c>
      <c r="H120" s="436">
        <v>0.1464</v>
      </c>
      <c r="J120" s="196"/>
      <c r="K120" s="235"/>
      <c r="M120" t="s">
        <v>1641</v>
      </c>
      <c r="N120" t="s">
        <v>1625</v>
      </c>
      <c r="O120" t="s">
        <v>2535</v>
      </c>
      <c r="P120" s="539">
        <v>3.5000000000000003E-2</v>
      </c>
      <c r="Q120" s="539">
        <v>0.14979999999999999</v>
      </c>
      <c r="S120" s="537">
        <f t="shared" si="2"/>
        <v>0</v>
      </c>
      <c r="T120" s="537">
        <f t="shared" si="3"/>
        <v>0</v>
      </c>
    </row>
    <row r="121" spans="1:20" ht="15">
      <c r="A121" s="431">
        <v>115</v>
      </c>
      <c r="B121" s="431">
        <v>212</v>
      </c>
      <c r="C121" s="66" t="s">
        <v>2467</v>
      </c>
      <c r="D121" s="66" t="s">
        <v>1687</v>
      </c>
      <c r="E121" s="429" t="s">
        <v>2252</v>
      </c>
      <c r="F121" s="436">
        <v>3.5000000000000003E-2</v>
      </c>
      <c r="G121" s="436">
        <v>0.14979999999999999</v>
      </c>
      <c r="H121" s="436">
        <v>0.1464</v>
      </c>
      <c r="J121" s="196"/>
      <c r="K121" s="235"/>
      <c r="M121" t="s">
        <v>2055</v>
      </c>
      <c r="N121" t="s">
        <v>1687</v>
      </c>
      <c r="O121" t="s">
        <v>2536</v>
      </c>
      <c r="P121" s="539">
        <v>3.5000000000000003E-2</v>
      </c>
      <c r="Q121" s="539">
        <v>0.14979999999999999</v>
      </c>
      <c r="S121" s="537">
        <f t="shared" si="2"/>
        <v>0</v>
      </c>
      <c r="T121" s="537">
        <f t="shared" si="3"/>
        <v>0</v>
      </c>
    </row>
    <row r="122" spans="1:20" ht="15">
      <c r="A122" s="431">
        <v>116</v>
      </c>
      <c r="B122" s="431">
        <v>58</v>
      </c>
      <c r="C122" s="66" t="s">
        <v>2464</v>
      </c>
      <c r="D122" s="66" t="s">
        <v>263</v>
      </c>
      <c r="E122" s="429" t="s">
        <v>2117</v>
      </c>
      <c r="F122" s="436">
        <v>2.1600000000000001E-2</v>
      </c>
      <c r="G122" s="436">
        <v>0.26629999999999998</v>
      </c>
      <c r="H122" s="436">
        <v>0.188</v>
      </c>
      <c r="J122" s="196"/>
      <c r="K122" s="235"/>
      <c r="M122" t="s">
        <v>264</v>
      </c>
      <c r="N122" t="s">
        <v>263</v>
      </c>
      <c r="O122" t="s">
        <v>1299</v>
      </c>
      <c r="P122" s="539">
        <v>2.1600000000000001E-2</v>
      </c>
      <c r="Q122" s="539">
        <v>0.26629999999999998</v>
      </c>
      <c r="S122" s="537">
        <f t="shared" si="2"/>
        <v>0</v>
      </c>
      <c r="T122" s="537">
        <f t="shared" si="3"/>
        <v>0</v>
      </c>
    </row>
    <row r="123" spans="1:20" ht="15">
      <c r="A123" s="431">
        <v>117</v>
      </c>
      <c r="B123" s="431">
        <v>236</v>
      </c>
      <c r="C123" s="66" t="s">
        <v>2472</v>
      </c>
      <c r="D123" s="66" t="s">
        <v>576</v>
      </c>
      <c r="E123" s="429" t="s">
        <v>2272</v>
      </c>
      <c r="F123" s="436">
        <v>9.5899999999999999E-2</v>
      </c>
      <c r="G123" s="436">
        <v>0.41289999999999999</v>
      </c>
      <c r="H123" s="436">
        <v>0.28910000000000002</v>
      </c>
      <c r="J123" s="196"/>
      <c r="K123" s="235"/>
      <c r="M123" t="s">
        <v>577</v>
      </c>
      <c r="N123" t="s">
        <v>576</v>
      </c>
      <c r="O123" t="s">
        <v>1300</v>
      </c>
      <c r="P123" s="539">
        <v>9.5899999999999999E-2</v>
      </c>
      <c r="Q123" s="539">
        <v>0.41289999999999999</v>
      </c>
      <c r="S123" s="537">
        <f t="shared" si="2"/>
        <v>0</v>
      </c>
      <c r="T123" s="537">
        <f t="shared" si="3"/>
        <v>0</v>
      </c>
    </row>
    <row r="124" spans="1:20" ht="15">
      <c r="A124" s="431">
        <v>118</v>
      </c>
      <c r="B124" s="431">
        <v>111</v>
      </c>
      <c r="C124" s="66" t="s">
        <v>2473</v>
      </c>
      <c r="D124" s="66" t="s">
        <v>364</v>
      </c>
      <c r="E124" s="429" t="s">
        <v>2168</v>
      </c>
      <c r="F124" s="436">
        <v>1.11E-2</v>
      </c>
      <c r="G124" s="436">
        <v>0.14499999999999999</v>
      </c>
      <c r="H124" s="436">
        <v>0.1512</v>
      </c>
      <c r="J124" s="196"/>
      <c r="K124" s="235"/>
      <c r="M124" t="s">
        <v>365</v>
      </c>
      <c r="N124" t="s">
        <v>364</v>
      </c>
      <c r="O124" t="s">
        <v>1301</v>
      </c>
      <c r="P124" s="539">
        <v>1.11E-2</v>
      </c>
      <c r="Q124" s="539">
        <v>0.14499999999999999</v>
      </c>
      <c r="S124" s="537">
        <f t="shared" si="2"/>
        <v>0</v>
      </c>
      <c r="T124" s="537">
        <f t="shared" si="3"/>
        <v>0</v>
      </c>
    </row>
    <row r="125" spans="1:20" ht="15">
      <c r="A125" s="431">
        <v>119</v>
      </c>
      <c r="B125" s="431">
        <v>63</v>
      </c>
      <c r="C125" s="66" t="s">
        <v>2465</v>
      </c>
      <c r="D125" s="66" t="s">
        <v>273</v>
      </c>
      <c r="E125" s="429" t="s">
        <v>2121</v>
      </c>
      <c r="F125" s="436">
        <v>2.8999999999999998E-3</v>
      </c>
      <c r="G125" s="436">
        <v>0.3569</v>
      </c>
      <c r="H125" s="436">
        <v>0.21609999999999999</v>
      </c>
      <c r="J125" s="196"/>
      <c r="K125" s="235"/>
      <c r="M125" t="s">
        <v>274</v>
      </c>
      <c r="N125" t="s">
        <v>273</v>
      </c>
      <c r="O125" t="s">
        <v>1302</v>
      </c>
      <c r="P125" s="539">
        <v>2.8999999999999998E-3</v>
      </c>
      <c r="Q125" s="539">
        <v>0.3569</v>
      </c>
      <c r="S125" s="537">
        <f t="shared" si="2"/>
        <v>0</v>
      </c>
      <c r="T125" s="537">
        <f t="shared" si="3"/>
        <v>0</v>
      </c>
    </row>
    <row r="126" spans="1:20" ht="15">
      <c r="A126" s="431">
        <v>120</v>
      </c>
      <c r="B126" s="431">
        <v>46</v>
      </c>
      <c r="C126" s="66" t="s">
        <v>2469</v>
      </c>
      <c r="D126" s="66" t="s">
        <v>239</v>
      </c>
      <c r="E126" s="429" t="s">
        <v>2105</v>
      </c>
      <c r="F126" s="436">
        <v>2.0299999999999999E-2</v>
      </c>
      <c r="G126" s="436">
        <v>0.23150000000000001</v>
      </c>
      <c r="H126" s="436">
        <v>0.16289999999999999</v>
      </c>
      <c r="J126" s="196"/>
      <c r="K126" s="235"/>
      <c r="M126" t="s">
        <v>240</v>
      </c>
      <c r="N126" t="s">
        <v>239</v>
      </c>
      <c r="O126" t="s">
        <v>1303</v>
      </c>
      <c r="P126" s="539">
        <v>2.0299999999999999E-2</v>
      </c>
      <c r="Q126" s="539">
        <v>0.23150000000000001</v>
      </c>
      <c r="S126" s="537">
        <f t="shared" si="2"/>
        <v>0</v>
      </c>
      <c r="T126" s="537">
        <f t="shared" si="3"/>
        <v>0</v>
      </c>
    </row>
    <row r="127" spans="1:20" ht="15">
      <c r="A127" s="431">
        <v>121</v>
      </c>
      <c r="B127" s="431">
        <v>55</v>
      </c>
      <c r="C127" s="66" t="s">
        <v>2464</v>
      </c>
      <c r="D127" s="66" t="s">
        <v>257</v>
      </c>
      <c r="E127" s="429" t="s">
        <v>2114</v>
      </c>
      <c r="F127" s="436">
        <v>6.4699999999999994E-2</v>
      </c>
      <c r="G127" s="436">
        <v>0.2989</v>
      </c>
      <c r="H127" s="436">
        <v>0.54759999999999998</v>
      </c>
      <c r="J127" s="196"/>
      <c r="K127" s="235"/>
      <c r="M127" t="s">
        <v>258</v>
      </c>
      <c r="N127" t="s">
        <v>257</v>
      </c>
      <c r="O127" t="s">
        <v>1304</v>
      </c>
      <c r="P127" s="539">
        <v>6.4699999999999994E-2</v>
      </c>
      <c r="Q127" s="539">
        <v>0.2989</v>
      </c>
      <c r="S127" s="537">
        <f t="shared" si="2"/>
        <v>0</v>
      </c>
      <c r="T127" s="537">
        <f t="shared" si="3"/>
        <v>0</v>
      </c>
    </row>
    <row r="128" spans="1:20" ht="15">
      <c r="A128" s="431">
        <v>122</v>
      </c>
      <c r="B128" s="431">
        <v>48</v>
      </c>
      <c r="C128" s="66" t="s">
        <v>2469</v>
      </c>
      <c r="D128" s="66" t="s">
        <v>243</v>
      </c>
      <c r="E128" s="429" t="s">
        <v>2107</v>
      </c>
      <c r="F128" s="436">
        <v>4.8399999999999999E-2</v>
      </c>
      <c r="G128" s="436">
        <v>0.1646</v>
      </c>
      <c r="H128" s="436">
        <v>0.17699999999999999</v>
      </c>
      <c r="J128" s="196"/>
      <c r="K128" s="235"/>
      <c r="M128" t="s">
        <v>244</v>
      </c>
      <c r="N128" t="s">
        <v>243</v>
      </c>
      <c r="O128" t="s">
        <v>1305</v>
      </c>
      <c r="P128" s="539">
        <v>4.8399999999999999E-2</v>
      </c>
      <c r="Q128" s="539">
        <v>0.1646</v>
      </c>
      <c r="S128" s="537">
        <f t="shared" si="2"/>
        <v>0</v>
      </c>
      <c r="T128" s="537">
        <f t="shared" si="3"/>
        <v>0</v>
      </c>
    </row>
    <row r="129" spans="1:20" ht="15">
      <c r="A129" s="431">
        <v>123</v>
      </c>
      <c r="B129" s="431">
        <v>8</v>
      </c>
      <c r="C129" s="66" t="s">
        <v>2465</v>
      </c>
      <c r="D129" s="66" t="s">
        <v>177</v>
      </c>
      <c r="E129" s="429" t="s">
        <v>2074</v>
      </c>
      <c r="F129" s="436">
        <v>2.3800000000000002E-2</v>
      </c>
      <c r="G129" s="436">
        <v>0.11119999999999999</v>
      </c>
      <c r="H129" s="436">
        <v>0.1018</v>
      </c>
      <c r="J129" s="196"/>
      <c r="K129" s="235"/>
      <c r="M129" t="s">
        <v>178</v>
      </c>
      <c r="N129" t="s">
        <v>177</v>
      </c>
      <c r="O129" t="s">
        <v>1306</v>
      </c>
      <c r="P129" s="539">
        <v>2.3800000000000002E-2</v>
      </c>
      <c r="Q129" s="539">
        <v>0.11119999999999999</v>
      </c>
      <c r="S129" s="537">
        <f t="shared" si="2"/>
        <v>0</v>
      </c>
      <c r="T129" s="537">
        <f t="shared" si="3"/>
        <v>0</v>
      </c>
    </row>
    <row r="130" spans="1:20" ht="15">
      <c r="A130" s="431">
        <v>124</v>
      </c>
      <c r="B130" s="431">
        <v>114</v>
      </c>
      <c r="C130" s="66" t="s">
        <v>2473</v>
      </c>
      <c r="D130" s="66" t="s">
        <v>370</v>
      </c>
      <c r="E130" s="429" t="s">
        <v>2171</v>
      </c>
      <c r="F130" s="538">
        <v>4.7600000000000003E-2</v>
      </c>
      <c r="G130" s="436">
        <v>0.1487</v>
      </c>
      <c r="H130" s="436">
        <v>0.16650000000000001</v>
      </c>
      <c r="J130" s="196"/>
      <c r="K130" s="235"/>
      <c r="M130" t="s">
        <v>371</v>
      </c>
      <c r="N130" t="s">
        <v>370</v>
      </c>
      <c r="O130" t="s">
        <v>1307</v>
      </c>
      <c r="P130" s="538">
        <v>4.7600000000000003E-2</v>
      </c>
      <c r="Q130" s="539">
        <v>0.1487</v>
      </c>
      <c r="S130" s="537">
        <f t="shared" si="2"/>
        <v>0</v>
      </c>
      <c r="T130" s="537">
        <f t="shared" si="3"/>
        <v>0</v>
      </c>
    </row>
    <row r="131" spans="1:20" ht="15">
      <c r="A131" s="431">
        <v>125</v>
      </c>
      <c r="B131" s="431">
        <v>273</v>
      </c>
      <c r="C131" s="66" t="s">
        <v>2464</v>
      </c>
      <c r="D131" s="66" t="s">
        <v>638</v>
      </c>
      <c r="E131" s="429" t="s">
        <v>2306</v>
      </c>
      <c r="F131" s="436">
        <v>3.3399999999999999E-2</v>
      </c>
      <c r="G131" s="436">
        <v>0.2114</v>
      </c>
      <c r="H131" s="436">
        <v>0.25879999999999997</v>
      </c>
      <c r="J131" s="196"/>
      <c r="K131" s="235"/>
      <c r="M131" t="s">
        <v>639</v>
      </c>
      <c r="N131" t="s">
        <v>638</v>
      </c>
      <c r="O131" t="s">
        <v>1308</v>
      </c>
      <c r="P131" s="539">
        <v>3.3399999999999999E-2</v>
      </c>
      <c r="Q131" s="539">
        <v>0.2114</v>
      </c>
      <c r="S131" s="537">
        <f t="shared" si="2"/>
        <v>0</v>
      </c>
      <c r="T131" s="537">
        <f t="shared" si="3"/>
        <v>0</v>
      </c>
    </row>
    <row r="132" spans="1:20" ht="15">
      <c r="A132" s="431">
        <v>126</v>
      </c>
      <c r="B132" s="431">
        <v>10</v>
      </c>
      <c r="C132" s="66" t="s">
        <v>2465</v>
      </c>
      <c r="D132" s="66" t="s">
        <v>181</v>
      </c>
      <c r="E132" s="429" t="s">
        <v>2076</v>
      </c>
      <c r="F132" s="436">
        <v>3.8899999999999997E-2</v>
      </c>
      <c r="G132" s="436">
        <v>0.17979999999999999</v>
      </c>
      <c r="H132" s="436">
        <v>0.1404</v>
      </c>
      <c r="J132" s="196"/>
      <c r="K132" s="235"/>
      <c r="M132" t="s">
        <v>182</v>
      </c>
      <c r="N132" t="s">
        <v>181</v>
      </c>
      <c r="O132" t="s">
        <v>2537</v>
      </c>
      <c r="P132" s="539">
        <v>3.8899999999999997E-2</v>
      </c>
      <c r="Q132" s="539">
        <v>0.17979999999999999</v>
      </c>
      <c r="S132" s="537">
        <f t="shared" si="2"/>
        <v>0</v>
      </c>
      <c r="T132" s="537">
        <f t="shared" si="3"/>
        <v>0</v>
      </c>
    </row>
    <row r="133" spans="1:20" ht="15">
      <c r="A133" s="431">
        <v>127</v>
      </c>
      <c r="B133" s="431">
        <v>138</v>
      </c>
      <c r="C133" s="66" t="s">
        <v>2470</v>
      </c>
      <c r="D133" s="66" t="s">
        <v>392</v>
      </c>
      <c r="E133" s="429" t="s">
        <v>2185</v>
      </c>
      <c r="F133" s="436">
        <v>9.4899999999999998E-2</v>
      </c>
      <c r="G133" s="436">
        <v>0.3085</v>
      </c>
      <c r="H133" s="436">
        <v>0.31929999999999997</v>
      </c>
      <c r="J133" s="196"/>
      <c r="K133" s="235"/>
      <c r="M133" t="s">
        <v>393</v>
      </c>
      <c r="N133" t="s">
        <v>392</v>
      </c>
      <c r="O133" t="s">
        <v>1310</v>
      </c>
      <c r="P133" s="539">
        <v>9.4899999999999998E-2</v>
      </c>
      <c r="Q133" s="539">
        <v>0.3085</v>
      </c>
      <c r="S133" s="537">
        <f t="shared" si="2"/>
        <v>0</v>
      </c>
      <c r="T133" s="537">
        <f t="shared" si="3"/>
        <v>0</v>
      </c>
    </row>
    <row r="134" spans="1:20" ht="15">
      <c r="A134" s="431">
        <v>128</v>
      </c>
      <c r="B134" s="431">
        <v>145</v>
      </c>
      <c r="C134" s="66" t="s">
        <v>2469</v>
      </c>
      <c r="D134" s="66" t="s">
        <v>406</v>
      </c>
      <c r="E134" s="429" t="s">
        <v>2190</v>
      </c>
      <c r="F134" s="436">
        <v>6.9699999999999998E-2</v>
      </c>
      <c r="G134" s="436">
        <v>0.35730000000000001</v>
      </c>
      <c r="H134" s="436">
        <v>0.2782</v>
      </c>
      <c r="J134" s="196"/>
      <c r="K134" s="235"/>
      <c r="M134" t="s">
        <v>407</v>
      </c>
      <c r="N134" t="s">
        <v>406</v>
      </c>
      <c r="O134" t="s">
        <v>1311</v>
      </c>
      <c r="P134" s="539">
        <v>6.9699999999999998E-2</v>
      </c>
      <c r="Q134" s="539">
        <v>0.35730000000000001</v>
      </c>
      <c r="S134" s="537">
        <f t="shared" si="2"/>
        <v>0</v>
      </c>
      <c r="T134" s="537">
        <f t="shared" si="3"/>
        <v>0</v>
      </c>
    </row>
    <row r="135" spans="1:20" ht="15">
      <c r="A135" s="431">
        <v>129</v>
      </c>
      <c r="B135" s="431">
        <v>222</v>
      </c>
      <c r="C135" s="66" t="s">
        <v>2472</v>
      </c>
      <c r="D135" s="66" t="s">
        <v>550</v>
      </c>
      <c r="E135" s="429" t="s">
        <v>2260</v>
      </c>
      <c r="F135" s="436">
        <v>6.1400000000000003E-2</v>
      </c>
      <c r="G135" s="436">
        <v>0.23380000000000001</v>
      </c>
      <c r="H135" s="436">
        <v>0.27250000000000002</v>
      </c>
      <c r="J135" s="196"/>
      <c r="K135" s="235"/>
      <c r="M135" t="s">
        <v>551</v>
      </c>
      <c r="N135" t="s">
        <v>550</v>
      </c>
      <c r="O135" t="s">
        <v>1312</v>
      </c>
      <c r="P135" s="539">
        <v>6.1400000000000003E-2</v>
      </c>
      <c r="Q135" s="539">
        <v>0.23380000000000001</v>
      </c>
      <c r="S135" s="537">
        <f t="shared" si="2"/>
        <v>0</v>
      </c>
      <c r="T135" s="537">
        <f t="shared" si="3"/>
        <v>0</v>
      </c>
    </row>
    <row r="136" spans="1:20" ht="15">
      <c r="A136" s="431">
        <v>130</v>
      </c>
      <c r="B136" s="431">
        <v>31</v>
      </c>
      <c r="C136" s="66" t="s">
        <v>2469</v>
      </c>
      <c r="D136" s="66" t="s">
        <v>217</v>
      </c>
      <c r="E136" s="429" t="s">
        <v>2094</v>
      </c>
      <c r="F136" s="436">
        <v>3.1E-2</v>
      </c>
      <c r="G136" s="436">
        <v>0.18410000000000001</v>
      </c>
      <c r="H136" s="436">
        <v>0.1953</v>
      </c>
      <c r="J136" s="196"/>
      <c r="K136" s="235"/>
      <c r="M136" t="s">
        <v>1196</v>
      </c>
      <c r="N136" t="s">
        <v>217</v>
      </c>
      <c r="O136" t="s">
        <v>2538</v>
      </c>
      <c r="P136" s="539">
        <v>3.1E-2</v>
      </c>
      <c r="Q136" s="539">
        <v>0.18410000000000001</v>
      </c>
      <c r="S136" s="537">
        <f t="shared" ref="S136:S199" si="4">+F136-P136</f>
        <v>0</v>
      </c>
      <c r="T136" s="537">
        <f t="shared" ref="T136:T199" si="5">+G136-Q136</f>
        <v>0</v>
      </c>
    </row>
    <row r="137" spans="1:20" ht="15">
      <c r="A137" s="431">
        <v>131</v>
      </c>
      <c r="B137" s="431">
        <v>301</v>
      </c>
      <c r="C137" s="66" t="s">
        <v>2464</v>
      </c>
      <c r="D137" s="66" t="s">
        <v>685</v>
      </c>
      <c r="E137" s="429" t="s">
        <v>2385</v>
      </c>
      <c r="F137" s="436">
        <v>4.5100000000000001E-2</v>
      </c>
      <c r="G137" s="436">
        <v>0.25190000000000001</v>
      </c>
      <c r="H137" s="436">
        <v>0.25950000000000001</v>
      </c>
      <c r="J137" s="196"/>
      <c r="K137" s="235"/>
      <c r="M137" t="s">
        <v>686</v>
      </c>
      <c r="N137" t="s">
        <v>685</v>
      </c>
      <c r="O137" t="s">
        <v>2539</v>
      </c>
      <c r="P137" s="539">
        <v>4.5100000000000001E-2</v>
      </c>
      <c r="Q137" s="539">
        <v>0.25190000000000001</v>
      </c>
      <c r="S137" s="537">
        <f t="shared" si="4"/>
        <v>0</v>
      </c>
      <c r="T137" s="537">
        <f t="shared" si="5"/>
        <v>0</v>
      </c>
    </row>
    <row r="138" spans="1:20" ht="15">
      <c r="A138" s="431">
        <v>132</v>
      </c>
      <c r="B138" s="431">
        <v>17</v>
      </c>
      <c r="C138" s="66" t="s">
        <v>2466</v>
      </c>
      <c r="D138" s="66" t="s">
        <v>195</v>
      </c>
      <c r="E138" s="429" t="s">
        <v>2082</v>
      </c>
      <c r="F138" s="436">
        <v>3.73E-2</v>
      </c>
      <c r="G138" s="436">
        <v>0.18</v>
      </c>
      <c r="H138" s="436">
        <v>0.18360000000000001</v>
      </c>
      <c r="J138" s="196"/>
      <c r="K138" s="235"/>
      <c r="M138" t="s">
        <v>196</v>
      </c>
      <c r="N138" t="s">
        <v>195</v>
      </c>
      <c r="O138" t="s">
        <v>1315</v>
      </c>
      <c r="P138" s="539">
        <v>3.73E-2</v>
      </c>
      <c r="Q138" s="539">
        <v>0.18</v>
      </c>
      <c r="S138" s="537">
        <f t="shared" si="4"/>
        <v>0</v>
      </c>
      <c r="T138" s="537">
        <f t="shared" si="5"/>
        <v>0</v>
      </c>
    </row>
    <row r="139" spans="1:20" ht="15">
      <c r="A139" s="431">
        <v>133</v>
      </c>
      <c r="B139" s="431">
        <v>231</v>
      </c>
      <c r="C139" s="66" t="s">
        <v>2472</v>
      </c>
      <c r="D139" s="66" t="s">
        <v>566</v>
      </c>
      <c r="E139" s="429" t="s">
        <v>2267</v>
      </c>
      <c r="F139" s="436">
        <v>3.27E-2</v>
      </c>
      <c r="G139" s="436">
        <v>0.1361</v>
      </c>
      <c r="H139" s="436">
        <v>0.1283</v>
      </c>
      <c r="J139" s="196"/>
      <c r="K139" s="235"/>
      <c r="M139" t="s">
        <v>567</v>
      </c>
      <c r="N139" t="s">
        <v>566</v>
      </c>
      <c r="O139" t="s">
        <v>1316</v>
      </c>
      <c r="P139" s="539">
        <v>3.27E-2</v>
      </c>
      <c r="Q139" s="539">
        <v>0.1361</v>
      </c>
      <c r="S139" s="537">
        <f t="shared" si="4"/>
        <v>0</v>
      </c>
      <c r="T139" s="537">
        <f t="shared" si="5"/>
        <v>0</v>
      </c>
    </row>
    <row r="140" spans="1:20" ht="15">
      <c r="A140" s="431">
        <v>134</v>
      </c>
      <c r="B140" s="431">
        <v>113</v>
      </c>
      <c r="C140" s="66" t="s">
        <v>2473</v>
      </c>
      <c r="D140" s="66" t="s">
        <v>368</v>
      </c>
      <c r="E140" s="429" t="s">
        <v>2170</v>
      </c>
      <c r="F140" s="436">
        <v>3.3300000000000003E-2</v>
      </c>
      <c r="G140" s="436">
        <v>0.12089999999999999</v>
      </c>
      <c r="H140" s="436">
        <v>0.11360000000000001</v>
      </c>
      <c r="J140" s="196"/>
      <c r="K140" s="235"/>
      <c r="M140" t="s">
        <v>369</v>
      </c>
      <c r="N140" t="s">
        <v>368</v>
      </c>
      <c r="O140" t="s">
        <v>1317</v>
      </c>
      <c r="P140" s="539">
        <v>3.3300000000000003E-2</v>
      </c>
      <c r="Q140" s="539">
        <v>0.12089999999999999</v>
      </c>
      <c r="S140" s="537">
        <f t="shared" si="4"/>
        <v>0</v>
      </c>
      <c r="T140" s="537">
        <f t="shared" si="5"/>
        <v>0</v>
      </c>
    </row>
    <row r="141" spans="1:20" ht="15">
      <c r="A141" s="431">
        <v>135</v>
      </c>
      <c r="B141" s="431">
        <v>239</v>
      </c>
      <c r="C141" s="66" t="s">
        <v>2472</v>
      </c>
      <c r="D141" s="66" t="s">
        <v>582</v>
      </c>
      <c r="E141" s="429" t="s">
        <v>2275</v>
      </c>
      <c r="F141" s="436">
        <v>3.61E-2</v>
      </c>
      <c r="G141" s="436">
        <v>0.16900000000000001</v>
      </c>
      <c r="H141" s="436">
        <v>0.16</v>
      </c>
      <c r="J141" s="196"/>
      <c r="K141" s="235"/>
      <c r="M141" t="s">
        <v>583</v>
      </c>
      <c r="N141" t="s">
        <v>582</v>
      </c>
      <c r="O141" t="s">
        <v>1318</v>
      </c>
      <c r="P141" s="539">
        <v>3.61E-2</v>
      </c>
      <c r="Q141" s="539">
        <v>0.16900000000000001</v>
      </c>
      <c r="S141" s="537">
        <f t="shared" si="4"/>
        <v>0</v>
      </c>
      <c r="T141" s="537">
        <f t="shared" si="5"/>
        <v>0</v>
      </c>
    </row>
    <row r="142" spans="1:20" ht="15">
      <c r="A142" s="431">
        <v>136</v>
      </c>
      <c r="B142" s="431">
        <v>302</v>
      </c>
      <c r="C142" s="66" t="s">
        <v>2464</v>
      </c>
      <c r="D142" s="66" t="s">
        <v>687</v>
      </c>
      <c r="E142" s="429" t="s">
        <v>2331</v>
      </c>
      <c r="F142" s="436">
        <v>0.12230000000000001</v>
      </c>
      <c r="G142" s="436">
        <v>0.31369999999999998</v>
      </c>
      <c r="H142" s="436">
        <v>0.33650000000000002</v>
      </c>
      <c r="J142" s="196"/>
      <c r="K142" s="235"/>
      <c r="M142" t="s">
        <v>688</v>
      </c>
      <c r="N142" t="s">
        <v>687</v>
      </c>
      <c r="O142" t="s">
        <v>1319</v>
      </c>
      <c r="P142" s="539">
        <v>0.12230000000000001</v>
      </c>
      <c r="Q142" s="539">
        <v>0.31369999999999998</v>
      </c>
      <c r="S142" s="537">
        <f t="shared" si="4"/>
        <v>0</v>
      </c>
      <c r="T142" s="537">
        <f t="shared" si="5"/>
        <v>0</v>
      </c>
    </row>
    <row r="143" spans="1:20" ht="15">
      <c r="A143" s="431">
        <v>137</v>
      </c>
      <c r="B143" s="431">
        <v>254</v>
      </c>
      <c r="C143" s="66" t="s">
        <v>2464</v>
      </c>
      <c r="D143" s="66" t="s">
        <v>611</v>
      </c>
      <c r="E143" s="429" t="s">
        <v>2289</v>
      </c>
      <c r="F143" s="436">
        <v>3.2800000000000003E-2</v>
      </c>
      <c r="G143" s="436">
        <v>0.21360000000000001</v>
      </c>
      <c r="H143" s="436">
        <v>0.23369999999999999</v>
      </c>
      <c r="J143" s="196"/>
      <c r="K143" s="235"/>
      <c r="M143" t="s">
        <v>612</v>
      </c>
      <c r="N143" t="s">
        <v>611</v>
      </c>
      <c r="O143" t="s">
        <v>1320</v>
      </c>
      <c r="P143" s="539">
        <v>3.2800000000000003E-2</v>
      </c>
      <c r="Q143" s="539">
        <v>0.21360000000000001</v>
      </c>
      <c r="S143" s="537">
        <f t="shared" si="4"/>
        <v>0</v>
      </c>
      <c r="T143" s="537">
        <f t="shared" si="5"/>
        <v>0</v>
      </c>
    </row>
    <row r="144" spans="1:20" ht="15">
      <c r="A144" s="431">
        <v>138</v>
      </c>
      <c r="B144" s="431">
        <v>4</v>
      </c>
      <c r="C144" s="66" t="s">
        <v>2464</v>
      </c>
      <c r="D144" s="66" t="s">
        <v>169</v>
      </c>
      <c r="E144" s="429" t="s">
        <v>2070</v>
      </c>
      <c r="F144" s="436">
        <v>6.6699999999999995E-2</v>
      </c>
      <c r="G144" s="436">
        <v>0.16170000000000001</v>
      </c>
      <c r="H144" s="436">
        <v>0.1366</v>
      </c>
      <c r="J144" s="196"/>
      <c r="K144" s="235"/>
      <c r="M144" t="s">
        <v>170</v>
      </c>
      <c r="N144" t="s">
        <v>169</v>
      </c>
      <c r="O144" t="s">
        <v>1321</v>
      </c>
      <c r="P144" s="539">
        <v>6.6699999999999995E-2</v>
      </c>
      <c r="Q144" s="539">
        <v>0.16170000000000001</v>
      </c>
      <c r="S144" s="537">
        <f t="shared" si="4"/>
        <v>0</v>
      </c>
      <c r="T144" s="537">
        <f t="shared" si="5"/>
        <v>0</v>
      </c>
    </row>
    <row r="145" spans="1:20" ht="15">
      <c r="A145" s="431">
        <v>139</v>
      </c>
      <c r="B145" s="431">
        <v>43</v>
      </c>
      <c r="C145" s="66" t="s">
        <v>2469</v>
      </c>
      <c r="D145" s="66" t="s">
        <v>233</v>
      </c>
      <c r="E145" s="429" t="s">
        <v>2103</v>
      </c>
      <c r="F145" s="436">
        <v>4.1599999999999998E-2</v>
      </c>
      <c r="G145" s="436">
        <v>0.15049999999999999</v>
      </c>
      <c r="H145" s="436">
        <v>0.14599999999999999</v>
      </c>
      <c r="J145" s="196"/>
      <c r="K145" s="235"/>
      <c r="M145" t="s">
        <v>234</v>
      </c>
      <c r="N145" t="s">
        <v>233</v>
      </c>
      <c r="O145" t="s">
        <v>1322</v>
      </c>
      <c r="P145" s="539">
        <v>4.1599999999999998E-2</v>
      </c>
      <c r="Q145" s="539">
        <v>0.15049999999999999</v>
      </c>
      <c r="S145" s="537">
        <f t="shared" si="4"/>
        <v>0</v>
      </c>
      <c r="T145" s="537">
        <f t="shared" si="5"/>
        <v>0</v>
      </c>
    </row>
    <row r="146" spans="1:20" ht="15">
      <c r="A146" s="431">
        <v>140</v>
      </c>
      <c r="B146" s="431">
        <v>267</v>
      </c>
      <c r="C146" s="66" t="s">
        <v>2464</v>
      </c>
      <c r="D146" s="66" t="s">
        <v>628</v>
      </c>
      <c r="E146" s="429" t="s">
        <v>2300</v>
      </c>
      <c r="F146" s="436">
        <v>8.5199999999999998E-2</v>
      </c>
      <c r="G146" s="436">
        <v>0.34670000000000001</v>
      </c>
      <c r="H146" s="436">
        <v>0.34820000000000001</v>
      </c>
      <c r="J146" s="196"/>
      <c r="K146" s="235"/>
      <c r="M146" t="s">
        <v>629</v>
      </c>
      <c r="N146" t="s">
        <v>628</v>
      </c>
      <c r="O146" t="s">
        <v>1323</v>
      </c>
      <c r="P146" s="539">
        <v>8.5199999999999998E-2</v>
      </c>
      <c r="Q146" s="539">
        <v>0.34670000000000001</v>
      </c>
      <c r="S146" s="537">
        <f t="shared" si="4"/>
        <v>0</v>
      </c>
      <c r="T146" s="537">
        <f t="shared" si="5"/>
        <v>0</v>
      </c>
    </row>
    <row r="147" spans="1:20" ht="15">
      <c r="A147" s="431">
        <v>141</v>
      </c>
      <c r="B147" s="431">
        <v>216</v>
      </c>
      <c r="C147" s="66" t="s">
        <v>2472</v>
      </c>
      <c r="D147" s="66" t="s">
        <v>539</v>
      </c>
      <c r="E147" s="429" t="s">
        <v>2254</v>
      </c>
      <c r="F147" s="436">
        <v>5.6899999999999999E-2</v>
      </c>
      <c r="G147" s="436">
        <v>0.24479999999999999</v>
      </c>
      <c r="H147" s="436">
        <v>0.1978</v>
      </c>
      <c r="J147" s="196"/>
      <c r="K147" s="235"/>
      <c r="M147" t="s">
        <v>540</v>
      </c>
      <c r="N147" t="s">
        <v>539</v>
      </c>
      <c r="O147" t="s">
        <v>1324</v>
      </c>
      <c r="P147" s="539">
        <v>5.6899999999999999E-2</v>
      </c>
      <c r="Q147" s="539">
        <v>0.24479999999999999</v>
      </c>
      <c r="S147" s="537">
        <f t="shared" si="4"/>
        <v>0</v>
      </c>
      <c r="T147" s="537">
        <f t="shared" si="5"/>
        <v>0</v>
      </c>
    </row>
    <row r="148" spans="1:20" ht="15">
      <c r="A148" s="431">
        <v>142</v>
      </c>
      <c r="B148" s="431">
        <v>260</v>
      </c>
      <c r="C148" s="66" t="s">
        <v>2467</v>
      </c>
      <c r="D148" s="66" t="s">
        <v>1627</v>
      </c>
      <c r="E148" s="429" t="s">
        <v>2294</v>
      </c>
      <c r="F148" s="436">
        <v>3.5000000000000003E-2</v>
      </c>
      <c r="G148" s="436">
        <v>0.14979999999999999</v>
      </c>
      <c r="H148" s="436">
        <v>0.1464</v>
      </c>
      <c r="J148" s="196"/>
      <c r="K148" s="235"/>
      <c r="M148" t="s">
        <v>1642</v>
      </c>
      <c r="N148" t="s">
        <v>1627</v>
      </c>
      <c r="O148" t="s">
        <v>2540</v>
      </c>
      <c r="P148" s="539">
        <v>3.5000000000000003E-2</v>
      </c>
      <c r="Q148" s="539">
        <v>0.14979999999999999</v>
      </c>
      <c r="S148" s="537">
        <f t="shared" si="4"/>
        <v>0</v>
      </c>
      <c r="T148" s="537">
        <f t="shared" si="5"/>
        <v>0</v>
      </c>
    </row>
    <row r="149" spans="1:20" ht="15">
      <c r="A149" s="431">
        <v>143</v>
      </c>
      <c r="B149" s="431">
        <v>300</v>
      </c>
      <c r="C149" s="66" t="s">
        <v>2467</v>
      </c>
      <c r="D149" s="66" t="s">
        <v>1179</v>
      </c>
      <c r="E149" s="429" t="s">
        <v>1538</v>
      </c>
      <c r="F149" s="436">
        <v>3.5000000000000003E-2</v>
      </c>
      <c r="G149" s="436">
        <v>0.14979999999999999</v>
      </c>
      <c r="H149" s="436">
        <v>0.1464</v>
      </c>
      <c r="J149" s="196"/>
      <c r="K149" s="235"/>
      <c r="M149" t="s">
        <v>1688</v>
      </c>
      <c r="N149" t="s">
        <v>1179</v>
      </c>
      <c r="O149" t="s">
        <v>2541</v>
      </c>
      <c r="P149" s="539">
        <v>3.5000000000000003E-2</v>
      </c>
      <c r="Q149" s="539">
        <v>0.14979999999999999</v>
      </c>
      <c r="S149" s="537">
        <f t="shared" si="4"/>
        <v>0</v>
      </c>
      <c r="T149" s="537">
        <f t="shared" si="5"/>
        <v>0</v>
      </c>
    </row>
    <row r="150" spans="1:20" ht="15">
      <c r="A150" s="431">
        <v>144</v>
      </c>
      <c r="B150" s="431">
        <v>149</v>
      </c>
      <c r="C150" s="66" t="s">
        <v>2469</v>
      </c>
      <c r="D150" s="66" t="s">
        <v>414</v>
      </c>
      <c r="E150" s="429" t="s">
        <v>2379</v>
      </c>
      <c r="F150" s="436">
        <v>2.35E-2</v>
      </c>
      <c r="G150" s="436">
        <v>0.19270000000000001</v>
      </c>
      <c r="H150" s="436">
        <v>0.2069</v>
      </c>
      <c r="J150" s="196"/>
      <c r="K150" s="235"/>
      <c r="M150" t="s">
        <v>415</v>
      </c>
      <c r="N150" t="s">
        <v>414</v>
      </c>
      <c r="O150" t="s">
        <v>1326</v>
      </c>
      <c r="P150" s="539">
        <v>2.35E-2</v>
      </c>
      <c r="Q150" s="539">
        <v>0.19270000000000001</v>
      </c>
      <c r="S150" s="537">
        <f t="shared" si="4"/>
        <v>0</v>
      </c>
      <c r="T150" s="537">
        <f t="shared" si="5"/>
        <v>0</v>
      </c>
    </row>
    <row r="151" spans="1:20" ht="15">
      <c r="A151" s="431">
        <v>145</v>
      </c>
      <c r="B151" s="431">
        <v>295</v>
      </c>
      <c r="C151" s="66" t="s">
        <v>2472</v>
      </c>
      <c r="D151" s="66" t="s">
        <v>677</v>
      </c>
      <c r="E151" s="429" t="s">
        <v>2327</v>
      </c>
      <c r="F151" s="436">
        <v>3.4000000000000002E-2</v>
      </c>
      <c r="G151" s="436">
        <v>0.1487</v>
      </c>
      <c r="H151" s="436">
        <v>0.15559999999999999</v>
      </c>
      <c r="J151" s="196"/>
      <c r="K151" s="235"/>
      <c r="M151" t="s">
        <v>678</v>
      </c>
      <c r="N151" t="s">
        <v>677</v>
      </c>
      <c r="O151" t="s">
        <v>1327</v>
      </c>
      <c r="P151" s="539">
        <v>3.4000000000000002E-2</v>
      </c>
      <c r="Q151" s="539">
        <v>0.1487</v>
      </c>
      <c r="S151" s="537">
        <f t="shared" si="4"/>
        <v>0</v>
      </c>
      <c r="T151" s="537">
        <f t="shared" si="5"/>
        <v>0</v>
      </c>
    </row>
    <row r="152" spans="1:20" ht="15">
      <c r="A152" s="431">
        <v>146</v>
      </c>
      <c r="B152" s="431">
        <v>319</v>
      </c>
      <c r="C152" s="66" t="s">
        <v>2470</v>
      </c>
      <c r="D152" s="66" t="s">
        <v>720</v>
      </c>
      <c r="E152" s="429" t="s">
        <v>2346</v>
      </c>
      <c r="F152" s="436">
        <v>2.3E-2</v>
      </c>
      <c r="G152" s="436">
        <v>0.1923</v>
      </c>
      <c r="H152" s="436">
        <v>0.15840000000000001</v>
      </c>
      <c r="J152" s="196"/>
      <c r="K152" s="235"/>
      <c r="M152" t="s">
        <v>721</v>
      </c>
      <c r="N152" t="s">
        <v>720</v>
      </c>
      <c r="O152" t="s">
        <v>1328</v>
      </c>
      <c r="P152" s="539">
        <v>2.3E-2</v>
      </c>
      <c r="Q152" s="539">
        <v>0.1923</v>
      </c>
      <c r="S152" s="537">
        <f t="shared" si="4"/>
        <v>0</v>
      </c>
      <c r="T152" s="537">
        <f t="shared" si="5"/>
        <v>0</v>
      </c>
    </row>
    <row r="153" spans="1:20" ht="15">
      <c r="A153" s="431">
        <v>147</v>
      </c>
      <c r="B153" s="431">
        <v>53</v>
      </c>
      <c r="C153" s="66" t="s">
        <v>2466</v>
      </c>
      <c r="D153" s="66" t="s">
        <v>253</v>
      </c>
      <c r="E153" s="429" t="s">
        <v>2112</v>
      </c>
      <c r="F153" s="436">
        <v>8.2199999999999995E-2</v>
      </c>
      <c r="G153" s="436">
        <v>0.35859999999999997</v>
      </c>
      <c r="H153" s="436">
        <v>0.36840000000000001</v>
      </c>
      <c r="J153" s="196"/>
      <c r="K153" s="235"/>
      <c r="M153" t="s">
        <v>254</v>
      </c>
      <c r="N153" t="s">
        <v>253</v>
      </c>
      <c r="O153" t="s">
        <v>1329</v>
      </c>
      <c r="P153" s="539">
        <v>8.2199999999999995E-2</v>
      </c>
      <c r="Q153" s="539">
        <v>0.35859999999999997</v>
      </c>
      <c r="S153" s="537">
        <f t="shared" si="4"/>
        <v>0</v>
      </c>
      <c r="T153" s="537">
        <f t="shared" si="5"/>
        <v>0</v>
      </c>
    </row>
    <row r="154" spans="1:20" ht="15">
      <c r="A154" s="431">
        <v>148</v>
      </c>
      <c r="B154" s="431">
        <v>14</v>
      </c>
      <c r="C154" s="66" t="s">
        <v>2466</v>
      </c>
      <c r="D154" s="66" t="s">
        <v>189</v>
      </c>
      <c r="E154" s="429" t="s">
        <v>2080</v>
      </c>
      <c r="F154" s="436">
        <v>3.9E-2</v>
      </c>
      <c r="G154" s="436">
        <v>0.20899999999999999</v>
      </c>
      <c r="H154" s="436">
        <v>0.25509999999999999</v>
      </c>
      <c r="J154" s="196"/>
      <c r="K154" s="235"/>
      <c r="M154" t="s">
        <v>190</v>
      </c>
      <c r="N154" t="s">
        <v>189</v>
      </c>
      <c r="O154" t="s">
        <v>1330</v>
      </c>
      <c r="P154" s="539">
        <v>3.9E-2</v>
      </c>
      <c r="Q154" s="539">
        <v>0.20899999999999999</v>
      </c>
      <c r="S154" s="537">
        <f t="shared" si="4"/>
        <v>0</v>
      </c>
      <c r="T154" s="537">
        <f t="shared" si="5"/>
        <v>0</v>
      </c>
    </row>
    <row r="155" spans="1:20" ht="15">
      <c r="A155" s="431">
        <v>149</v>
      </c>
      <c r="B155" s="431">
        <v>174</v>
      </c>
      <c r="C155" s="66" t="s">
        <v>2471</v>
      </c>
      <c r="D155" s="66" t="s">
        <v>464</v>
      </c>
      <c r="E155" s="429" t="s">
        <v>2216</v>
      </c>
      <c r="F155" s="436">
        <v>2.3099999999999999E-2</v>
      </c>
      <c r="G155" s="436">
        <v>7.7200000000000005E-2</v>
      </c>
      <c r="H155" s="436">
        <v>0.1179</v>
      </c>
      <c r="J155" s="196"/>
      <c r="K155" s="235"/>
      <c r="M155" t="s">
        <v>465</v>
      </c>
      <c r="N155" t="s">
        <v>464</v>
      </c>
      <c r="O155" t="s">
        <v>1331</v>
      </c>
      <c r="P155" s="539">
        <v>2.3099999999999999E-2</v>
      </c>
      <c r="Q155" s="539">
        <v>7.7200000000000005E-2</v>
      </c>
      <c r="S155" s="537">
        <f t="shared" si="4"/>
        <v>0</v>
      </c>
      <c r="T155" s="537">
        <f t="shared" si="5"/>
        <v>0</v>
      </c>
    </row>
    <row r="156" spans="1:20" ht="15">
      <c r="A156" s="431">
        <v>150</v>
      </c>
      <c r="B156" s="431">
        <v>271</v>
      </c>
      <c r="C156" s="66" t="s">
        <v>2464</v>
      </c>
      <c r="D156" s="66" t="s">
        <v>634</v>
      </c>
      <c r="E156" s="429" t="s">
        <v>2304</v>
      </c>
      <c r="F156" s="436">
        <v>3.1699999999999999E-2</v>
      </c>
      <c r="G156" s="436">
        <v>0.2051</v>
      </c>
      <c r="H156" s="436">
        <v>0.14000000000000001</v>
      </c>
      <c r="J156" s="196"/>
      <c r="K156" s="235"/>
      <c r="M156" t="s">
        <v>635</v>
      </c>
      <c r="N156" t="s">
        <v>634</v>
      </c>
      <c r="O156" t="s">
        <v>1332</v>
      </c>
      <c r="P156" s="539">
        <v>3.1699999999999999E-2</v>
      </c>
      <c r="Q156" s="539">
        <v>0.2051</v>
      </c>
      <c r="S156" s="537">
        <f t="shared" si="4"/>
        <v>0</v>
      </c>
      <c r="T156" s="537">
        <f t="shared" si="5"/>
        <v>0</v>
      </c>
    </row>
    <row r="157" spans="1:20" ht="15">
      <c r="A157" s="431">
        <v>151</v>
      </c>
      <c r="B157" s="431">
        <v>235</v>
      </c>
      <c r="C157" s="66" t="s">
        <v>2472</v>
      </c>
      <c r="D157" s="66" t="s">
        <v>574</v>
      </c>
      <c r="E157" s="429" t="s">
        <v>2271</v>
      </c>
      <c r="F157" s="436">
        <v>3.6600000000000001E-2</v>
      </c>
      <c r="G157" s="436">
        <v>0.12909999999999999</v>
      </c>
      <c r="H157" s="436">
        <v>0.11409999999999999</v>
      </c>
      <c r="J157" s="196"/>
      <c r="K157" s="235"/>
      <c r="M157" t="s">
        <v>575</v>
      </c>
      <c r="N157" t="s">
        <v>574</v>
      </c>
      <c r="O157" t="s">
        <v>1333</v>
      </c>
      <c r="P157" s="539">
        <v>3.6600000000000001E-2</v>
      </c>
      <c r="Q157" s="539">
        <v>0.12909999999999999</v>
      </c>
      <c r="S157" s="537">
        <f t="shared" si="4"/>
        <v>0</v>
      </c>
      <c r="T157" s="537">
        <f t="shared" si="5"/>
        <v>0</v>
      </c>
    </row>
    <row r="158" spans="1:20" ht="15">
      <c r="A158" s="431">
        <v>152</v>
      </c>
      <c r="B158" s="431">
        <v>79</v>
      </c>
      <c r="C158" s="66" t="s">
        <v>2471</v>
      </c>
      <c r="D158" s="66" t="s">
        <v>303</v>
      </c>
      <c r="E158" s="429" t="s">
        <v>2136</v>
      </c>
      <c r="F158" s="436">
        <v>3.1099999999999999E-2</v>
      </c>
      <c r="G158" s="436">
        <v>0.18690000000000001</v>
      </c>
      <c r="H158" s="436">
        <v>0.14779999999999999</v>
      </c>
      <c r="J158" s="196"/>
      <c r="K158" s="235"/>
      <c r="M158" t="s">
        <v>304</v>
      </c>
      <c r="N158" t="s">
        <v>303</v>
      </c>
      <c r="O158" t="s">
        <v>2542</v>
      </c>
      <c r="P158" s="539">
        <v>3.1099999999999999E-2</v>
      </c>
      <c r="Q158" s="539">
        <v>0.18690000000000001</v>
      </c>
      <c r="S158" s="537">
        <f t="shared" si="4"/>
        <v>0</v>
      </c>
      <c r="T158" s="537">
        <f t="shared" si="5"/>
        <v>0</v>
      </c>
    </row>
    <row r="159" spans="1:20" ht="15">
      <c r="A159" s="431">
        <v>153</v>
      </c>
      <c r="B159" s="431">
        <v>249</v>
      </c>
      <c r="C159" s="66" t="s">
        <v>2464</v>
      </c>
      <c r="D159" s="66" t="s">
        <v>602</v>
      </c>
      <c r="E159" s="429" t="s">
        <v>2284</v>
      </c>
      <c r="F159" s="436">
        <v>2.47E-2</v>
      </c>
      <c r="G159" s="436">
        <v>0.16719999999999999</v>
      </c>
      <c r="H159" s="436">
        <v>0.1502</v>
      </c>
      <c r="J159" s="196"/>
      <c r="K159" s="235"/>
      <c r="M159" t="s">
        <v>603</v>
      </c>
      <c r="N159" t="s">
        <v>602</v>
      </c>
      <c r="O159" t="s">
        <v>1335</v>
      </c>
      <c r="P159" s="539">
        <v>2.47E-2</v>
      </c>
      <c r="Q159" s="539">
        <v>0.16719999999999999</v>
      </c>
      <c r="S159" s="537">
        <f t="shared" si="4"/>
        <v>0</v>
      </c>
      <c r="T159" s="537">
        <f t="shared" si="5"/>
        <v>0</v>
      </c>
    </row>
    <row r="160" spans="1:20" ht="15">
      <c r="A160" s="431">
        <v>154</v>
      </c>
      <c r="B160" s="431">
        <v>248</v>
      </c>
      <c r="C160" s="66" t="s">
        <v>2464</v>
      </c>
      <c r="D160" s="66" t="s">
        <v>600</v>
      </c>
      <c r="E160" s="429" t="s">
        <v>2283</v>
      </c>
      <c r="F160" s="436">
        <v>4.5499999999999999E-2</v>
      </c>
      <c r="G160" s="436">
        <v>0.1875</v>
      </c>
      <c r="H160" s="436">
        <v>0.193</v>
      </c>
      <c r="J160" s="196"/>
      <c r="K160" s="235"/>
      <c r="M160" t="s">
        <v>601</v>
      </c>
      <c r="N160" t="s">
        <v>600</v>
      </c>
      <c r="O160" t="s">
        <v>1336</v>
      </c>
      <c r="P160" s="539">
        <v>4.5499999999999999E-2</v>
      </c>
      <c r="Q160" s="539">
        <v>0.1875</v>
      </c>
      <c r="S160" s="537">
        <f t="shared" si="4"/>
        <v>0</v>
      </c>
      <c r="T160" s="537">
        <f t="shared" si="5"/>
        <v>0</v>
      </c>
    </row>
    <row r="161" spans="1:20" ht="15">
      <c r="A161" s="431">
        <v>155</v>
      </c>
      <c r="B161" s="431">
        <v>100</v>
      </c>
      <c r="C161" s="66" t="s">
        <v>2473</v>
      </c>
      <c r="D161" s="66" t="s">
        <v>344</v>
      </c>
      <c r="E161" s="429" t="s">
        <v>2157</v>
      </c>
      <c r="F161" s="436">
        <v>2.8500000000000001E-2</v>
      </c>
      <c r="G161" s="436">
        <v>0.14269999999999999</v>
      </c>
      <c r="H161" s="436">
        <v>9.9299999999999999E-2</v>
      </c>
      <c r="J161" s="196"/>
      <c r="K161" s="235"/>
      <c r="M161" t="s">
        <v>345</v>
      </c>
      <c r="N161" t="s">
        <v>344</v>
      </c>
      <c r="O161" t="s">
        <v>1337</v>
      </c>
      <c r="P161" s="539">
        <v>2.8500000000000001E-2</v>
      </c>
      <c r="Q161" s="539">
        <v>0.14269999999999999</v>
      </c>
      <c r="S161" s="537">
        <f t="shared" si="4"/>
        <v>0</v>
      </c>
      <c r="T161" s="537">
        <f t="shared" si="5"/>
        <v>0</v>
      </c>
    </row>
    <row r="162" spans="1:20" ht="15">
      <c r="A162" s="431">
        <v>156</v>
      </c>
      <c r="B162" s="431">
        <v>296</v>
      </c>
      <c r="C162" s="66" t="s">
        <v>2472</v>
      </c>
      <c r="D162" s="66" t="s">
        <v>679</v>
      </c>
      <c r="E162" s="429" t="s">
        <v>2328</v>
      </c>
      <c r="F162" s="436">
        <v>5.2299999999999999E-2</v>
      </c>
      <c r="G162" s="436">
        <v>0.25169999999999998</v>
      </c>
      <c r="H162" s="436">
        <v>0.25390000000000001</v>
      </c>
      <c r="J162" s="196"/>
      <c r="K162" s="235"/>
      <c r="M162" t="s">
        <v>680</v>
      </c>
      <c r="N162" t="s">
        <v>679</v>
      </c>
      <c r="O162" t="s">
        <v>1338</v>
      </c>
      <c r="P162" s="539">
        <v>5.2299999999999999E-2</v>
      </c>
      <c r="Q162" s="539">
        <v>0.25169999999999998</v>
      </c>
      <c r="S162" s="537">
        <f t="shared" si="4"/>
        <v>0</v>
      </c>
      <c r="T162" s="537">
        <f t="shared" si="5"/>
        <v>0</v>
      </c>
    </row>
    <row r="163" spans="1:20" ht="15">
      <c r="A163" s="431">
        <v>157</v>
      </c>
      <c r="B163" s="431">
        <v>183</v>
      </c>
      <c r="C163" s="66" t="s">
        <v>2466</v>
      </c>
      <c r="D163" s="66" t="s">
        <v>482</v>
      </c>
      <c r="E163" s="429" t="s">
        <v>2225</v>
      </c>
      <c r="F163" s="436">
        <v>3.1300000000000001E-2</v>
      </c>
      <c r="G163" s="436">
        <v>0.20200000000000001</v>
      </c>
      <c r="H163" s="436">
        <v>0.17599999999999999</v>
      </c>
      <c r="J163" s="196"/>
      <c r="K163" s="235"/>
      <c r="M163" t="s">
        <v>483</v>
      </c>
      <c r="N163" t="s">
        <v>482</v>
      </c>
      <c r="O163" t="s">
        <v>1339</v>
      </c>
      <c r="P163" s="539">
        <v>3.1300000000000001E-2</v>
      </c>
      <c r="Q163" s="539">
        <v>0.20200000000000001</v>
      </c>
      <c r="S163" s="537">
        <f t="shared" si="4"/>
        <v>0</v>
      </c>
      <c r="T163" s="537">
        <f t="shared" si="5"/>
        <v>0</v>
      </c>
    </row>
    <row r="164" spans="1:20" ht="15">
      <c r="A164" s="431">
        <v>158</v>
      </c>
      <c r="B164" s="431">
        <v>228</v>
      </c>
      <c r="C164" s="66" t="s">
        <v>2469</v>
      </c>
      <c r="D164" s="66" t="s">
        <v>560</v>
      </c>
      <c r="E164" s="429" t="s">
        <v>2264</v>
      </c>
      <c r="F164" s="436">
        <v>4.24E-2</v>
      </c>
      <c r="G164" s="436">
        <v>0.33500000000000002</v>
      </c>
      <c r="H164" s="436">
        <v>0.40229999999999999</v>
      </c>
      <c r="J164" s="196"/>
      <c r="K164" s="235"/>
      <c r="M164" t="s">
        <v>561</v>
      </c>
      <c r="N164" t="s">
        <v>560</v>
      </c>
      <c r="O164" t="s">
        <v>1340</v>
      </c>
      <c r="P164" s="539">
        <v>4.24E-2</v>
      </c>
      <c r="Q164" s="539">
        <v>0.33500000000000002</v>
      </c>
      <c r="S164" s="537">
        <f t="shared" si="4"/>
        <v>0</v>
      </c>
      <c r="T164" s="537">
        <f t="shared" si="5"/>
        <v>0</v>
      </c>
    </row>
    <row r="165" spans="1:20" ht="15">
      <c r="A165" s="431">
        <v>159</v>
      </c>
      <c r="B165" s="431">
        <v>237</v>
      </c>
      <c r="C165" s="66" t="s">
        <v>2472</v>
      </c>
      <c r="D165" s="66" t="s">
        <v>578</v>
      </c>
      <c r="E165" s="429" t="s">
        <v>2273</v>
      </c>
      <c r="F165" s="436">
        <v>3.5799999999999998E-2</v>
      </c>
      <c r="G165" s="436">
        <v>0.1681</v>
      </c>
      <c r="H165" s="436">
        <v>0.1069</v>
      </c>
      <c r="J165" s="196"/>
      <c r="K165" s="235"/>
      <c r="M165" t="s">
        <v>579</v>
      </c>
      <c r="N165" t="s">
        <v>578</v>
      </c>
      <c r="O165" t="s">
        <v>1341</v>
      </c>
      <c r="P165" s="539">
        <v>3.5799999999999998E-2</v>
      </c>
      <c r="Q165" s="539">
        <v>0.1681</v>
      </c>
      <c r="S165" s="537">
        <f t="shared" si="4"/>
        <v>0</v>
      </c>
      <c r="T165" s="537">
        <f t="shared" si="5"/>
        <v>0</v>
      </c>
    </row>
    <row r="166" spans="1:20" ht="15">
      <c r="A166" s="431">
        <v>160</v>
      </c>
      <c r="B166" s="431">
        <v>80</v>
      </c>
      <c r="C166" s="66" t="s">
        <v>2471</v>
      </c>
      <c r="D166" s="66" t="s">
        <v>305</v>
      </c>
      <c r="E166" s="429" t="s">
        <v>2137</v>
      </c>
      <c r="F166" s="436">
        <v>2.5600000000000001E-2</v>
      </c>
      <c r="G166" s="436">
        <v>0.1236</v>
      </c>
      <c r="H166" s="436">
        <v>0.14119999999999999</v>
      </c>
      <c r="J166" s="196"/>
      <c r="K166" s="235"/>
      <c r="M166" t="s">
        <v>306</v>
      </c>
      <c r="N166" t="s">
        <v>305</v>
      </c>
      <c r="O166" t="s">
        <v>1342</v>
      </c>
      <c r="P166" s="539">
        <v>2.5600000000000001E-2</v>
      </c>
      <c r="Q166" s="539">
        <v>0.1236</v>
      </c>
      <c r="S166" s="537">
        <f t="shared" si="4"/>
        <v>0</v>
      </c>
      <c r="T166" s="537">
        <f t="shared" si="5"/>
        <v>0</v>
      </c>
    </row>
    <row r="167" spans="1:20" ht="15">
      <c r="A167" s="431">
        <v>161</v>
      </c>
      <c r="B167" s="431">
        <v>153</v>
      </c>
      <c r="C167" s="66" t="s">
        <v>2471</v>
      </c>
      <c r="D167" s="66" t="s">
        <v>422</v>
      </c>
      <c r="E167" s="429" t="s">
        <v>2195</v>
      </c>
      <c r="F167" s="436">
        <v>1.3599999999999999E-2</v>
      </c>
      <c r="G167" s="436">
        <v>0.26590000000000003</v>
      </c>
      <c r="H167" s="436">
        <v>0.27979999999999999</v>
      </c>
      <c r="J167" s="196"/>
      <c r="K167" s="235"/>
      <c r="M167" t="s">
        <v>423</v>
      </c>
      <c r="N167" t="s">
        <v>422</v>
      </c>
      <c r="O167" t="s">
        <v>1343</v>
      </c>
      <c r="P167" s="539">
        <v>1.3599999999999999E-2</v>
      </c>
      <c r="Q167" s="539">
        <v>0.26590000000000003</v>
      </c>
      <c r="S167" s="537">
        <f t="shared" si="4"/>
        <v>0</v>
      </c>
      <c r="T167" s="537">
        <f t="shared" si="5"/>
        <v>0</v>
      </c>
    </row>
    <row r="168" spans="1:20" ht="15">
      <c r="A168" s="431">
        <v>162</v>
      </c>
      <c r="B168" s="431">
        <v>72</v>
      </c>
      <c r="C168" s="66" t="s">
        <v>2466</v>
      </c>
      <c r="D168" s="66" t="s">
        <v>289</v>
      </c>
      <c r="E168" s="429" t="s">
        <v>2129</v>
      </c>
      <c r="F168" s="436">
        <v>0.04</v>
      </c>
      <c r="G168" s="436">
        <v>0.16200000000000001</v>
      </c>
      <c r="H168" s="436">
        <v>0.16209999999999999</v>
      </c>
      <c r="J168" s="196"/>
      <c r="K168" s="235"/>
      <c r="M168" t="s">
        <v>290</v>
      </c>
      <c r="N168" t="s">
        <v>289</v>
      </c>
      <c r="O168" t="s">
        <v>1344</v>
      </c>
      <c r="P168" s="539">
        <v>0.04</v>
      </c>
      <c r="Q168" s="539">
        <v>0.16200000000000001</v>
      </c>
      <c r="S168" s="537">
        <f t="shared" si="4"/>
        <v>0</v>
      </c>
      <c r="T168" s="537">
        <f t="shared" si="5"/>
        <v>0</v>
      </c>
    </row>
    <row r="169" spans="1:20" ht="15">
      <c r="A169" s="431">
        <v>163</v>
      </c>
      <c r="B169" s="431">
        <v>152</v>
      </c>
      <c r="C169" s="66" t="s">
        <v>2471</v>
      </c>
      <c r="D169" s="66" t="s">
        <v>420</v>
      </c>
      <c r="E169" s="429" t="s">
        <v>2194</v>
      </c>
      <c r="F169" s="436">
        <v>3.2099999999999997E-2</v>
      </c>
      <c r="G169" s="436">
        <v>0.16700000000000001</v>
      </c>
      <c r="H169" s="436">
        <v>0.1411</v>
      </c>
      <c r="J169" s="196"/>
      <c r="K169" s="235"/>
      <c r="M169" t="s">
        <v>421</v>
      </c>
      <c r="N169" t="s">
        <v>420</v>
      </c>
      <c r="O169" t="s">
        <v>1345</v>
      </c>
      <c r="P169" s="539">
        <v>3.2099999999999997E-2</v>
      </c>
      <c r="Q169" s="539">
        <v>0.16700000000000001</v>
      </c>
      <c r="S169" s="537">
        <f t="shared" si="4"/>
        <v>0</v>
      </c>
      <c r="T169" s="537">
        <f t="shared" si="5"/>
        <v>0</v>
      </c>
    </row>
    <row r="170" spans="1:20" ht="15">
      <c r="A170" s="431">
        <v>164</v>
      </c>
      <c r="B170" s="431">
        <v>328</v>
      </c>
      <c r="C170" s="66" t="s">
        <v>2470</v>
      </c>
      <c r="D170" s="66" t="s">
        <v>737</v>
      </c>
      <c r="E170" s="429" t="s">
        <v>2355</v>
      </c>
      <c r="F170" s="436">
        <v>5.3900000000000003E-2</v>
      </c>
      <c r="G170" s="436">
        <v>0.19220000000000001</v>
      </c>
      <c r="H170" s="436">
        <v>0.17419999999999999</v>
      </c>
      <c r="J170" s="196"/>
      <c r="K170" s="235"/>
      <c r="M170" t="s">
        <v>738</v>
      </c>
      <c r="N170" t="s">
        <v>737</v>
      </c>
      <c r="O170" t="s">
        <v>1346</v>
      </c>
      <c r="P170" s="539">
        <v>5.3900000000000003E-2</v>
      </c>
      <c r="Q170" s="539">
        <v>0.19220000000000001</v>
      </c>
      <c r="S170" s="537">
        <f t="shared" si="4"/>
        <v>0</v>
      </c>
      <c r="T170" s="537">
        <f t="shared" si="5"/>
        <v>0</v>
      </c>
    </row>
    <row r="171" spans="1:20" ht="15">
      <c r="A171" s="431">
        <v>165</v>
      </c>
      <c r="B171" s="431">
        <v>298</v>
      </c>
      <c r="C171" s="66" t="s">
        <v>2472</v>
      </c>
      <c r="D171" s="66" t="s">
        <v>683</v>
      </c>
      <c r="E171" s="429" t="s">
        <v>2330</v>
      </c>
      <c r="F171" s="436">
        <v>3.6600000000000001E-2</v>
      </c>
      <c r="G171" s="436">
        <v>0.1678</v>
      </c>
      <c r="H171" s="436">
        <v>0.1774</v>
      </c>
      <c r="J171" s="196"/>
      <c r="K171" s="235"/>
      <c r="M171" t="s">
        <v>684</v>
      </c>
      <c r="N171" t="s">
        <v>683</v>
      </c>
      <c r="O171" t="s">
        <v>1347</v>
      </c>
      <c r="P171" s="539">
        <v>3.6600000000000001E-2</v>
      </c>
      <c r="Q171" s="539">
        <v>0.1678</v>
      </c>
      <c r="S171" s="537">
        <f t="shared" si="4"/>
        <v>0</v>
      </c>
      <c r="T171" s="537">
        <f t="shared" si="5"/>
        <v>0</v>
      </c>
    </row>
    <row r="172" spans="1:20" ht="15">
      <c r="A172" s="431">
        <v>166</v>
      </c>
      <c r="B172" s="431">
        <v>227</v>
      </c>
      <c r="C172" s="66" t="s">
        <v>2469</v>
      </c>
      <c r="D172" s="66" t="s">
        <v>558</v>
      </c>
      <c r="E172" s="429" t="s">
        <v>2383</v>
      </c>
      <c r="F172" s="436">
        <v>4.7E-2</v>
      </c>
      <c r="G172" s="436">
        <v>0.28070000000000001</v>
      </c>
      <c r="H172" s="436">
        <v>0.25290000000000001</v>
      </c>
      <c r="J172" s="196"/>
      <c r="K172" s="235"/>
      <c r="M172" t="s">
        <v>559</v>
      </c>
      <c r="N172" t="s">
        <v>558</v>
      </c>
      <c r="O172" t="s">
        <v>1348</v>
      </c>
      <c r="P172" s="539">
        <v>4.7E-2</v>
      </c>
      <c r="Q172" s="539">
        <v>0.28070000000000001</v>
      </c>
      <c r="S172" s="537">
        <f t="shared" si="4"/>
        <v>0</v>
      </c>
      <c r="T172" s="537">
        <f t="shared" si="5"/>
        <v>0</v>
      </c>
    </row>
    <row r="173" spans="1:20" ht="15">
      <c r="A173" s="431">
        <v>167</v>
      </c>
      <c r="B173" s="431">
        <v>224</v>
      </c>
      <c r="C173" s="66" t="s">
        <v>2472</v>
      </c>
      <c r="D173" s="66" t="s">
        <v>554</v>
      </c>
      <c r="E173" s="429" t="s">
        <v>2262</v>
      </c>
      <c r="F173" s="436">
        <v>2.7699999999999999E-2</v>
      </c>
      <c r="G173" s="436">
        <v>0.1242</v>
      </c>
      <c r="H173" s="436">
        <v>0.12989999999999999</v>
      </c>
      <c r="J173" s="196"/>
      <c r="K173" s="235"/>
      <c r="M173" t="s">
        <v>555</v>
      </c>
      <c r="N173" t="s">
        <v>554</v>
      </c>
      <c r="O173" t="s">
        <v>2543</v>
      </c>
      <c r="P173" s="539">
        <v>2.7699999999999999E-2</v>
      </c>
      <c r="Q173" s="539">
        <v>0.1242</v>
      </c>
      <c r="S173" s="537">
        <f t="shared" si="4"/>
        <v>0</v>
      </c>
      <c r="T173" s="537">
        <f t="shared" si="5"/>
        <v>0</v>
      </c>
    </row>
    <row r="174" spans="1:20" ht="15">
      <c r="A174" s="431">
        <v>168</v>
      </c>
      <c r="B174" s="431">
        <v>118</v>
      </c>
      <c r="C174" s="66" t="s">
        <v>2467</v>
      </c>
      <c r="D174" s="66" t="s">
        <v>1177</v>
      </c>
      <c r="E174" s="429" t="s">
        <v>2374</v>
      </c>
      <c r="F174" s="436">
        <v>3.5000000000000003E-2</v>
      </c>
      <c r="G174" s="436">
        <v>0.14979999999999999</v>
      </c>
      <c r="H174" s="436">
        <v>0.1464</v>
      </c>
      <c r="J174" s="196"/>
      <c r="K174" s="235"/>
      <c r="M174" t="s">
        <v>1689</v>
      </c>
      <c r="N174" t="s">
        <v>1177</v>
      </c>
      <c r="O174" t="s">
        <v>2544</v>
      </c>
      <c r="P174" s="539">
        <v>3.5000000000000003E-2</v>
      </c>
      <c r="Q174" s="539">
        <v>0.14979999999999999</v>
      </c>
      <c r="S174" s="537">
        <f t="shared" si="4"/>
        <v>0</v>
      </c>
      <c r="T174" s="537">
        <f t="shared" si="5"/>
        <v>0</v>
      </c>
    </row>
    <row r="175" spans="1:20" ht="15">
      <c r="A175" s="431">
        <v>169</v>
      </c>
      <c r="B175" s="431">
        <v>232</v>
      </c>
      <c r="C175" s="66" t="s">
        <v>2472</v>
      </c>
      <c r="D175" s="66" t="s">
        <v>568</v>
      </c>
      <c r="E175" s="429" t="s">
        <v>2268</v>
      </c>
      <c r="F175" s="436">
        <v>4.2599999999999999E-2</v>
      </c>
      <c r="G175" s="436">
        <v>0.1191</v>
      </c>
      <c r="H175" s="436">
        <v>0.1012</v>
      </c>
      <c r="J175" s="196"/>
      <c r="K175" s="235"/>
      <c r="M175" t="s">
        <v>569</v>
      </c>
      <c r="N175" t="s">
        <v>568</v>
      </c>
      <c r="O175" t="s">
        <v>1351</v>
      </c>
      <c r="P175" s="539">
        <v>4.2599999999999999E-2</v>
      </c>
      <c r="Q175" s="539">
        <v>0.1191</v>
      </c>
      <c r="S175" s="537">
        <f t="shared" si="4"/>
        <v>0</v>
      </c>
      <c r="T175" s="537">
        <f t="shared" si="5"/>
        <v>0</v>
      </c>
    </row>
    <row r="176" spans="1:20" ht="15">
      <c r="A176" s="431">
        <v>170</v>
      </c>
      <c r="B176" s="431">
        <v>315</v>
      </c>
      <c r="C176" s="66" t="s">
        <v>2470</v>
      </c>
      <c r="D176" s="66" t="s">
        <v>713</v>
      </c>
      <c r="E176" s="429" t="s">
        <v>2342</v>
      </c>
      <c r="F176" s="436">
        <v>4.7600000000000003E-2</v>
      </c>
      <c r="G176" s="436">
        <v>0.2223</v>
      </c>
      <c r="H176" s="436">
        <v>0.19020000000000001</v>
      </c>
      <c r="J176" s="196"/>
      <c r="K176" s="235"/>
      <c r="M176" t="s">
        <v>714</v>
      </c>
      <c r="N176" t="s">
        <v>713</v>
      </c>
      <c r="O176" t="s">
        <v>1352</v>
      </c>
      <c r="P176" s="539">
        <v>4.7600000000000003E-2</v>
      </c>
      <c r="Q176" s="539">
        <v>0.2223</v>
      </c>
      <c r="S176" s="537">
        <f t="shared" si="4"/>
        <v>0</v>
      </c>
      <c r="T176" s="537">
        <f t="shared" si="5"/>
        <v>0</v>
      </c>
    </row>
    <row r="177" spans="1:20" ht="15">
      <c r="A177" s="431">
        <v>171</v>
      </c>
      <c r="B177" s="431">
        <v>150</v>
      </c>
      <c r="C177" s="66" t="s">
        <v>2471</v>
      </c>
      <c r="D177" s="66" t="s">
        <v>416</v>
      </c>
      <c r="E177" s="429" t="s">
        <v>2193</v>
      </c>
      <c r="F177" s="436">
        <v>3.4799999999999998E-2</v>
      </c>
      <c r="G177" s="436">
        <v>0.1895</v>
      </c>
      <c r="H177" s="436">
        <v>0.18229999999999999</v>
      </c>
      <c r="J177" s="196"/>
      <c r="K177" s="235"/>
      <c r="M177" t="s">
        <v>417</v>
      </c>
      <c r="N177" t="s">
        <v>416</v>
      </c>
      <c r="O177" t="s">
        <v>1353</v>
      </c>
      <c r="P177" s="539">
        <v>3.4799999999999998E-2</v>
      </c>
      <c r="Q177" s="539">
        <v>0.1895</v>
      </c>
      <c r="S177" s="537">
        <f t="shared" si="4"/>
        <v>0</v>
      </c>
      <c r="T177" s="537">
        <f t="shared" si="5"/>
        <v>0</v>
      </c>
    </row>
    <row r="178" spans="1:20" ht="15">
      <c r="A178" s="431">
        <v>172</v>
      </c>
      <c r="B178" s="431">
        <v>190</v>
      </c>
      <c r="C178" s="66" t="s">
        <v>2469</v>
      </c>
      <c r="D178" s="66" t="s">
        <v>494</v>
      </c>
      <c r="E178" s="429" t="s">
        <v>2231</v>
      </c>
      <c r="F178" s="436">
        <v>1.89E-2</v>
      </c>
      <c r="G178" s="436">
        <v>0.20419999999999999</v>
      </c>
      <c r="H178" s="436">
        <v>0.28029999999999999</v>
      </c>
      <c r="J178" s="196"/>
      <c r="K178" s="235"/>
      <c r="M178" t="s">
        <v>976</v>
      </c>
      <c r="N178" t="s">
        <v>494</v>
      </c>
      <c r="O178" t="s">
        <v>2545</v>
      </c>
      <c r="P178" s="539">
        <v>1.89E-2</v>
      </c>
      <c r="Q178" s="539">
        <v>0.20419999999999999</v>
      </c>
      <c r="S178" s="537">
        <f t="shared" si="4"/>
        <v>0</v>
      </c>
      <c r="T178" s="537">
        <f t="shared" si="5"/>
        <v>0</v>
      </c>
    </row>
    <row r="179" spans="1:20" ht="15">
      <c r="A179" s="431">
        <v>173</v>
      </c>
      <c r="B179" s="431">
        <v>178</v>
      </c>
      <c r="C179" s="66" t="s">
        <v>2466</v>
      </c>
      <c r="D179" s="66" t="s">
        <v>472</v>
      </c>
      <c r="E179" s="429" t="s">
        <v>2220</v>
      </c>
      <c r="F179" s="436">
        <v>6.8500000000000005E-2</v>
      </c>
      <c r="G179" s="436">
        <v>0.27229999999999999</v>
      </c>
      <c r="H179" s="436">
        <v>0.2681</v>
      </c>
      <c r="J179" s="196"/>
      <c r="K179" s="235"/>
      <c r="M179" t="s">
        <v>473</v>
      </c>
      <c r="N179" t="s">
        <v>472</v>
      </c>
      <c r="O179" t="s">
        <v>1355</v>
      </c>
      <c r="P179" s="539">
        <v>6.8500000000000005E-2</v>
      </c>
      <c r="Q179" s="539">
        <v>0.27229999999999999</v>
      </c>
      <c r="S179" s="537">
        <f t="shared" si="4"/>
        <v>0</v>
      </c>
      <c r="T179" s="537">
        <f t="shared" si="5"/>
        <v>0</v>
      </c>
    </row>
    <row r="180" spans="1:20" ht="15">
      <c r="A180" s="431">
        <v>174</v>
      </c>
      <c r="B180" s="431">
        <v>193</v>
      </c>
      <c r="C180" s="66" t="s">
        <v>2464</v>
      </c>
      <c r="D180" s="66" t="s">
        <v>499</v>
      </c>
      <c r="E180" s="429" t="s">
        <v>2234</v>
      </c>
      <c r="F180" s="436">
        <v>2.1999999999999999E-2</v>
      </c>
      <c r="G180" s="436">
        <v>0.1782</v>
      </c>
      <c r="H180" s="436">
        <v>0.192</v>
      </c>
      <c r="J180" s="196"/>
      <c r="K180" s="235"/>
      <c r="M180" t="s">
        <v>500</v>
      </c>
      <c r="N180" t="s">
        <v>499</v>
      </c>
      <c r="O180" t="s">
        <v>1356</v>
      </c>
      <c r="P180" s="539">
        <v>2.1999999999999999E-2</v>
      </c>
      <c r="Q180" s="539">
        <v>0.1782</v>
      </c>
      <c r="S180" s="537">
        <f t="shared" si="4"/>
        <v>0</v>
      </c>
      <c r="T180" s="537">
        <f t="shared" si="5"/>
        <v>0</v>
      </c>
    </row>
    <row r="181" spans="1:20" ht="15">
      <c r="A181" s="431">
        <v>175</v>
      </c>
      <c r="B181" s="431">
        <v>247</v>
      </c>
      <c r="C181" s="66" t="s">
        <v>2464</v>
      </c>
      <c r="D181" s="66" t="s">
        <v>598</v>
      </c>
      <c r="E181" s="429" t="s">
        <v>2282</v>
      </c>
      <c r="F181" s="436">
        <v>2.86E-2</v>
      </c>
      <c r="G181" s="436">
        <v>0.19700000000000001</v>
      </c>
      <c r="H181" s="436">
        <v>0.16220000000000001</v>
      </c>
      <c r="J181" s="196"/>
      <c r="K181" s="235"/>
      <c r="M181" t="s">
        <v>599</v>
      </c>
      <c r="N181" t="s">
        <v>598</v>
      </c>
      <c r="O181" t="s">
        <v>1357</v>
      </c>
      <c r="P181" s="539">
        <v>2.86E-2</v>
      </c>
      <c r="Q181" s="539">
        <v>0.19700000000000001</v>
      </c>
      <c r="S181" s="537">
        <f t="shared" si="4"/>
        <v>0</v>
      </c>
      <c r="T181" s="537">
        <f t="shared" si="5"/>
        <v>0</v>
      </c>
    </row>
    <row r="182" spans="1:20" ht="15">
      <c r="A182" s="431">
        <v>176</v>
      </c>
      <c r="B182" s="431">
        <v>297</v>
      </c>
      <c r="C182" s="66" t="s">
        <v>2472</v>
      </c>
      <c r="D182" s="66" t="s">
        <v>681</v>
      </c>
      <c r="E182" s="429" t="s">
        <v>2329</v>
      </c>
      <c r="F182" s="436">
        <v>2.12E-2</v>
      </c>
      <c r="G182" s="436">
        <v>0.1452</v>
      </c>
      <c r="H182" s="436">
        <v>0.14630000000000001</v>
      </c>
      <c r="J182" s="196"/>
      <c r="K182" s="235"/>
      <c r="M182" t="s">
        <v>682</v>
      </c>
      <c r="N182" t="s">
        <v>681</v>
      </c>
      <c r="O182" t="s">
        <v>1358</v>
      </c>
      <c r="P182" s="539">
        <v>2.12E-2</v>
      </c>
      <c r="Q182" s="539">
        <v>0.1452</v>
      </c>
      <c r="S182" s="537">
        <f t="shared" si="4"/>
        <v>0</v>
      </c>
      <c r="T182" s="537">
        <f t="shared" si="5"/>
        <v>0</v>
      </c>
    </row>
    <row r="183" spans="1:20" ht="15">
      <c r="A183" s="431">
        <v>177</v>
      </c>
      <c r="B183" s="431">
        <v>78</v>
      </c>
      <c r="C183" s="66" t="s">
        <v>2471</v>
      </c>
      <c r="D183" s="66" t="s">
        <v>301</v>
      </c>
      <c r="E183" s="429" t="s">
        <v>2135</v>
      </c>
      <c r="F183" s="436">
        <v>2.8500000000000001E-2</v>
      </c>
      <c r="G183" s="436">
        <v>0.23350000000000001</v>
      </c>
      <c r="H183" s="436">
        <v>0.17560000000000001</v>
      </c>
      <c r="J183" s="196"/>
      <c r="K183" s="235"/>
      <c r="M183" t="s">
        <v>302</v>
      </c>
      <c r="N183" t="s">
        <v>301</v>
      </c>
      <c r="O183" t="s">
        <v>1359</v>
      </c>
      <c r="P183" s="539">
        <v>2.8500000000000001E-2</v>
      </c>
      <c r="Q183" s="539">
        <v>0.23350000000000001</v>
      </c>
      <c r="S183" s="537">
        <f t="shared" si="4"/>
        <v>0</v>
      </c>
      <c r="T183" s="537">
        <f t="shared" si="5"/>
        <v>0</v>
      </c>
    </row>
    <row r="184" spans="1:20" ht="15">
      <c r="A184" s="431">
        <v>178</v>
      </c>
      <c r="B184" s="431">
        <v>61</v>
      </c>
      <c r="C184" s="66" t="s">
        <v>2465</v>
      </c>
      <c r="D184" s="66" t="s">
        <v>269</v>
      </c>
      <c r="E184" s="429" t="s">
        <v>2120</v>
      </c>
      <c r="F184" s="436">
        <v>1.4800000000000001E-2</v>
      </c>
      <c r="G184" s="436">
        <v>0.14960000000000001</v>
      </c>
      <c r="H184" s="436">
        <v>0.1258</v>
      </c>
      <c r="J184" s="196"/>
      <c r="K184" s="235"/>
      <c r="M184" t="s">
        <v>270</v>
      </c>
      <c r="N184" t="s">
        <v>269</v>
      </c>
      <c r="O184" t="s">
        <v>1360</v>
      </c>
      <c r="P184" s="539">
        <v>1.4800000000000001E-2</v>
      </c>
      <c r="Q184" s="539">
        <v>0.14960000000000001</v>
      </c>
      <c r="S184" s="537">
        <f t="shared" si="4"/>
        <v>0</v>
      </c>
      <c r="T184" s="537">
        <f t="shared" si="5"/>
        <v>0</v>
      </c>
    </row>
    <row r="185" spans="1:20" ht="15">
      <c r="A185" s="431">
        <v>179</v>
      </c>
      <c r="B185" s="431">
        <v>128</v>
      </c>
      <c r="C185" s="66" t="s">
        <v>2468</v>
      </c>
      <c r="D185" s="66" t="s">
        <v>378</v>
      </c>
      <c r="E185" s="429" t="s">
        <v>2178</v>
      </c>
      <c r="F185" s="436">
        <v>3.8100000000000002E-2</v>
      </c>
      <c r="G185" s="436">
        <v>0.20169999999999999</v>
      </c>
      <c r="H185" s="436">
        <v>0.19980000000000001</v>
      </c>
      <c r="J185" s="196"/>
      <c r="K185" s="235"/>
      <c r="M185" t="s">
        <v>379</v>
      </c>
      <c r="N185" t="s">
        <v>378</v>
      </c>
      <c r="O185" t="s">
        <v>1361</v>
      </c>
      <c r="P185" s="539">
        <v>3.8100000000000002E-2</v>
      </c>
      <c r="Q185" s="539">
        <v>0.20169999999999999</v>
      </c>
      <c r="S185" s="537">
        <f t="shared" si="4"/>
        <v>0</v>
      </c>
      <c r="T185" s="537">
        <f t="shared" si="5"/>
        <v>0</v>
      </c>
    </row>
    <row r="186" spans="1:20" ht="15">
      <c r="A186" s="431">
        <v>180</v>
      </c>
      <c r="B186" s="431">
        <v>176</v>
      </c>
      <c r="C186" s="66" t="s">
        <v>2468</v>
      </c>
      <c r="D186" s="66" t="s">
        <v>468</v>
      </c>
      <c r="E186" s="429" t="s">
        <v>2218</v>
      </c>
      <c r="F186" s="436">
        <v>7.3800000000000004E-2</v>
      </c>
      <c r="G186" s="436">
        <v>0.1764</v>
      </c>
      <c r="H186" s="436">
        <v>0.1547</v>
      </c>
      <c r="J186" s="196"/>
      <c r="K186" s="235"/>
      <c r="M186" t="s">
        <v>469</v>
      </c>
      <c r="N186" t="s">
        <v>468</v>
      </c>
      <c r="O186" t="s">
        <v>1362</v>
      </c>
      <c r="P186" s="539">
        <v>7.3800000000000004E-2</v>
      </c>
      <c r="Q186" s="539">
        <v>0.1764</v>
      </c>
      <c r="S186" s="537">
        <f t="shared" si="4"/>
        <v>0</v>
      </c>
      <c r="T186" s="537">
        <f t="shared" si="5"/>
        <v>0</v>
      </c>
    </row>
    <row r="187" spans="1:20" ht="15">
      <c r="A187" s="431">
        <v>181</v>
      </c>
      <c r="B187" s="431">
        <v>192</v>
      </c>
      <c r="C187" s="66" t="s">
        <v>2471</v>
      </c>
      <c r="D187" s="66" t="s">
        <v>497</v>
      </c>
      <c r="E187" s="429" t="s">
        <v>2233</v>
      </c>
      <c r="F187" s="436">
        <v>0</v>
      </c>
      <c r="G187" s="436">
        <v>0.26850000000000002</v>
      </c>
      <c r="H187" s="436">
        <v>0.2009</v>
      </c>
      <c r="J187" s="196"/>
      <c r="K187" s="235"/>
      <c r="M187" t="s">
        <v>498</v>
      </c>
      <c r="N187" t="s">
        <v>497</v>
      </c>
      <c r="O187" t="s">
        <v>1363</v>
      </c>
      <c r="P187" s="539">
        <v>0</v>
      </c>
      <c r="Q187" s="539">
        <v>0.26850000000000002</v>
      </c>
      <c r="S187" s="537">
        <f t="shared" si="4"/>
        <v>0</v>
      </c>
      <c r="T187" s="537">
        <f t="shared" si="5"/>
        <v>0</v>
      </c>
    </row>
    <row r="188" spans="1:20" ht="15">
      <c r="A188" s="431">
        <v>182</v>
      </c>
      <c r="B188" s="431">
        <v>275</v>
      </c>
      <c r="C188" s="66" t="s">
        <v>2471</v>
      </c>
      <c r="D188" s="66" t="s">
        <v>642</v>
      </c>
      <c r="E188" s="429" t="s">
        <v>2308</v>
      </c>
      <c r="F188" s="436">
        <v>4.0899999999999999E-2</v>
      </c>
      <c r="G188" s="436">
        <v>0.127</v>
      </c>
      <c r="H188" s="436">
        <v>0.1207</v>
      </c>
      <c r="J188" s="196"/>
      <c r="K188" s="235"/>
      <c r="M188" t="s">
        <v>643</v>
      </c>
      <c r="N188" t="s">
        <v>642</v>
      </c>
      <c r="O188" t="s">
        <v>2546</v>
      </c>
      <c r="P188" s="539">
        <v>4.0899999999999999E-2</v>
      </c>
      <c r="Q188" s="539">
        <v>0.127</v>
      </c>
      <c r="S188" s="537">
        <f t="shared" si="4"/>
        <v>0</v>
      </c>
      <c r="T188" s="537">
        <f t="shared" si="5"/>
        <v>0</v>
      </c>
    </row>
    <row r="189" spans="1:20" ht="15">
      <c r="A189" s="431">
        <v>183</v>
      </c>
      <c r="B189" s="431">
        <v>272</v>
      </c>
      <c r="C189" s="66" t="s">
        <v>2464</v>
      </c>
      <c r="D189" s="66" t="s">
        <v>636</v>
      </c>
      <c r="E189" s="429" t="s">
        <v>2305</v>
      </c>
      <c r="F189" s="436">
        <v>8.72E-2</v>
      </c>
      <c r="G189" s="436">
        <v>0.25380000000000003</v>
      </c>
      <c r="H189" s="436">
        <v>0.33389999999999997</v>
      </c>
      <c r="J189" s="196"/>
      <c r="K189" s="235"/>
      <c r="M189" t="s">
        <v>637</v>
      </c>
      <c r="N189" t="s">
        <v>636</v>
      </c>
      <c r="O189" t="s">
        <v>1365</v>
      </c>
      <c r="P189" s="539">
        <v>8.72E-2</v>
      </c>
      <c r="Q189" s="539">
        <v>0.25380000000000003</v>
      </c>
      <c r="S189" s="537">
        <f t="shared" si="4"/>
        <v>0</v>
      </c>
      <c r="T189" s="537">
        <f t="shared" si="5"/>
        <v>0</v>
      </c>
    </row>
    <row r="190" spans="1:20" ht="15">
      <c r="A190" s="431">
        <v>184</v>
      </c>
      <c r="B190" s="431">
        <v>115</v>
      </c>
      <c r="C190" s="66" t="s">
        <v>2473</v>
      </c>
      <c r="D190" s="66" t="s">
        <v>372</v>
      </c>
      <c r="E190" s="429" t="s">
        <v>2172</v>
      </c>
      <c r="F190" s="436">
        <v>3.44E-2</v>
      </c>
      <c r="G190" s="436">
        <v>0.1206</v>
      </c>
      <c r="H190" s="436">
        <v>0.12</v>
      </c>
      <c r="J190" s="196"/>
      <c r="K190" s="235"/>
      <c r="M190" t="s">
        <v>373</v>
      </c>
      <c r="N190" t="s">
        <v>372</v>
      </c>
      <c r="O190" t="s">
        <v>1366</v>
      </c>
      <c r="P190" s="539">
        <v>3.44E-2</v>
      </c>
      <c r="Q190" s="539">
        <v>0.1206</v>
      </c>
      <c r="S190" s="537">
        <f t="shared" si="4"/>
        <v>0</v>
      </c>
      <c r="T190" s="537">
        <f t="shared" si="5"/>
        <v>0</v>
      </c>
    </row>
    <row r="191" spans="1:20" ht="15">
      <c r="A191" s="431">
        <v>185</v>
      </c>
      <c r="B191" s="431">
        <v>89</v>
      </c>
      <c r="C191" s="66" t="s">
        <v>2472</v>
      </c>
      <c r="D191" s="66" t="s">
        <v>322</v>
      </c>
      <c r="E191" s="429" t="s">
        <v>2146</v>
      </c>
      <c r="F191" s="436">
        <v>3.39E-2</v>
      </c>
      <c r="G191" s="436">
        <v>0.1363</v>
      </c>
      <c r="H191" s="436">
        <v>0.13009999999999999</v>
      </c>
      <c r="J191" s="196"/>
      <c r="K191" s="235"/>
      <c r="M191" t="s">
        <v>323</v>
      </c>
      <c r="N191" t="s">
        <v>322</v>
      </c>
      <c r="O191" t="s">
        <v>1367</v>
      </c>
      <c r="P191" s="539">
        <v>3.39E-2</v>
      </c>
      <c r="Q191" s="539">
        <v>0.1363</v>
      </c>
      <c r="S191" s="537">
        <f t="shared" si="4"/>
        <v>0</v>
      </c>
      <c r="T191" s="537">
        <f t="shared" si="5"/>
        <v>0</v>
      </c>
    </row>
    <row r="192" spans="1:20" ht="15">
      <c r="A192" s="431">
        <v>186</v>
      </c>
      <c r="B192" s="431">
        <v>313</v>
      </c>
      <c r="C192" s="66" t="s">
        <v>2464</v>
      </c>
      <c r="D192" s="66" t="s">
        <v>709</v>
      </c>
      <c r="E192" s="429" t="s">
        <v>2387</v>
      </c>
      <c r="F192" s="436">
        <v>4.9599999999999998E-2</v>
      </c>
      <c r="G192" s="436">
        <v>0.26569999999999999</v>
      </c>
      <c r="H192" s="436">
        <v>0.26290000000000002</v>
      </c>
      <c r="J192" s="196"/>
      <c r="K192" s="235"/>
      <c r="M192" t="s">
        <v>710</v>
      </c>
      <c r="N192" t="s">
        <v>709</v>
      </c>
      <c r="O192" t="s">
        <v>1368</v>
      </c>
      <c r="P192" s="539">
        <v>4.9599999999999998E-2</v>
      </c>
      <c r="Q192" s="539">
        <v>0.26569999999999999</v>
      </c>
      <c r="S192" s="537">
        <f t="shared" si="4"/>
        <v>0</v>
      </c>
      <c r="T192" s="537">
        <f t="shared" si="5"/>
        <v>0</v>
      </c>
    </row>
    <row r="193" spans="1:20" ht="15">
      <c r="A193" s="431">
        <v>187</v>
      </c>
      <c r="B193" s="431">
        <v>88</v>
      </c>
      <c r="C193" s="66" t="s">
        <v>2471</v>
      </c>
      <c r="D193" s="66" t="s">
        <v>320</v>
      </c>
      <c r="E193" s="429" t="s">
        <v>2145</v>
      </c>
      <c r="F193" s="436">
        <v>0</v>
      </c>
      <c r="G193" s="436">
        <v>0.2429</v>
      </c>
      <c r="H193" s="436">
        <v>0.18629999999999999</v>
      </c>
      <c r="J193" s="196"/>
      <c r="K193" s="235"/>
      <c r="M193" t="s">
        <v>321</v>
      </c>
      <c r="N193" t="s">
        <v>320</v>
      </c>
      <c r="O193" t="s">
        <v>1369</v>
      </c>
      <c r="P193" s="539">
        <v>0</v>
      </c>
      <c r="Q193" s="539">
        <v>0.2429</v>
      </c>
      <c r="S193" s="537">
        <f t="shared" si="4"/>
        <v>0</v>
      </c>
      <c r="T193" s="537">
        <f t="shared" si="5"/>
        <v>0</v>
      </c>
    </row>
    <row r="194" spans="1:20" ht="15">
      <c r="A194" s="431">
        <v>188</v>
      </c>
      <c r="B194" s="431">
        <v>187</v>
      </c>
      <c r="C194" s="66" t="s">
        <v>2469</v>
      </c>
      <c r="D194" s="66" t="s">
        <v>488</v>
      </c>
      <c r="E194" s="429" t="s">
        <v>2228</v>
      </c>
      <c r="F194" s="436">
        <v>2.46E-2</v>
      </c>
      <c r="G194" s="436">
        <v>0.16239999999999999</v>
      </c>
      <c r="H194" s="436">
        <v>0.1167</v>
      </c>
      <c r="J194" s="196"/>
      <c r="K194" s="235"/>
      <c r="M194" t="s">
        <v>489</v>
      </c>
      <c r="N194" t="s">
        <v>488</v>
      </c>
      <c r="O194" t="s">
        <v>1370</v>
      </c>
      <c r="P194" s="539">
        <v>2.46E-2</v>
      </c>
      <c r="Q194" s="539">
        <v>0.16239999999999999</v>
      </c>
      <c r="S194" s="537">
        <f t="shared" si="4"/>
        <v>0</v>
      </c>
      <c r="T194" s="537">
        <f t="shared" si="5"/>
        <v>0</v>
      </c>
    </row>
    <row r="195" spans="1:20" ht="15">
      <c r="A195" s="431">
        <v>189</v>
      </c>
      <c r="B195" s="431">
        <v>87</v>
      </c>
      <c r="C195" s="66" t="s">
        <v>2471</v>
      </c>
      <c r="D195" s="66" t="s">
        <v>318</v>
      </c>
      <c r="E195" s="429" t="s">
        <v>2144</v>
      </c>
      <c r="F195" s="436">
        <v>2.7199999999999998E-2</v>
      </c>
      <c r="G195" s="436">
        <v>0.24479999999999999</v>
      </c>
      <c r="H195" s="436">
        <v>0.32069999999999999</v>
      </c>
      <c r="J195" s="196"/>
      <c r="K195" s="235"/>
      <c r="M195" t="s">
        <v>319</v>
      </c>
      <c r="N195" t="s">
        <v>318</v>
      </c>
      <c r="O195" t="s">
        <v>1371</v>
      </c>
      <c r="P195" s="539">
        <v>2.7199999999999998E-2</v>
      </c>
      <c r="Q195" s="539">
        <v>0.24479999999999999</v>
      </c>
      <c r="S195" s="537">
        <f t="shared" si="4"/>
        <v>0</v>
      </c>
      <c r="T195" s="537">
        <f t="shared" si="5"/>
        <v>0</v>
      </c>
    </row>
    <row r="196" spans="1:20" ht="15">
      <c r="A196" s="431">
        <v>190</v>
      </c>
      <c r="B196" s="431">
        <v>167</v>
      </c>
      <c r="C196" s="66" t="s">
        <v>2464</v>
      </c>
      <c r="D196" s="66" t="s">
        <v>450</v>
      </c>
      <c r="E196" s="429" t="s">
        <v>2209</v>
      </c>
      <c r="F196" s="436">
        <v>2.9700000000000001E-2</v>
      </c>
      <c r="G196" s="436">
        <v>0.22009999999999999</v>
      </c>
      <c r="H196" s="436">
        <v>0.2293</v>
      </c>
      <c r="J196" s="196"/>
      <c r="K196" s="235"/>
      <c r="M196" t="s">
        <v>451</v>
      </c>
      <c r="N196" t="s">
        <v>450</v>
      </c>
      <c r="O196" t="s">
        <v>1372</v>
      </c>
      <c r="P196" s="539">
        <v>2.9700000000000001E-2</v>
      </c>
      <c r="Q196" s="539">
        <v>0.22009999999999999</v>
      </c>
      <c r="S196" s="537">
        <f t="shared" si="4"/>
        <v>0</v>
      </c>
      <c r="T196" s="537">
        <f t="shared" si="5"/>
        <v>0</v>
      </c>
    </row>
    <row r="197" spans="1:20" ht="15">
      <c r="A197" s="431">
        <v>191</v>
      </c>
      <c r="B197" s="431">
        <v>180</v>
      </c>
      <c r="C197" s="66" t="s">
        <v>2466</v>
      </c>
      <c r="D197" s="66" t="s">
        <v>476</v>
      </c>
      <c r="E197" s="429" t="s">
        <v>2222</v>
      </c>
      <c r="F197" s="436">
        <v>1.83E-2</v>
      </c>
      <c r="G197" s="436">
        <v>0.18240000000000001</v>
      </c>
      <c r="H197" s="436">
        <v>0.14910000000000001</v>
      </c>
      <c r="J197" s="196"/>
      <c r="K197" s="235"/>
      <c r="M197" t="s">
        <v>477</v>
      </c>
      <c r="N197" t="s">
        <v>476</v>
      </c>
      <c r="O197" t="s">
        <v>1373</v>
      </c>
      <c r="P197" s="539">
        <v>1.83E-2</v>
      </c>
      <c r="Q197" s="539">
        <v>0.18240000000000001</v>
      </c>
      <c r="S197" s="537">
        <f t="shared" si="4"/>
        <v>0</v>
      </c>
      <c r="T197" s="537">
        <f t="shared" si="5"/>
        <v>0</v>
      </c>
    </row>
    <row r="198" spans="1:20" ht="15">
      <c r="A198" s="431">
        <v>192</v>
      </c>
      <c r="B198" s="431">
        <v>277</v>
      </c>
      <c r="C198" s="66" t="s">
        <v>2471</v>
      </c>
      <c r="D198" s="66" t="s">
        <v>646</v>
      </c>
      <c r="E198" s="429" t="s">
        <v>2310</v>
      </c>
      <c r="F198" s="436">
        <v>3.8199999999999998E-2</v>
      </c>
      <c r="G198" s="436">
        <v>0.1542</v>
      </c>
      <c r="H198" s="436">
        <v>0.17319999999999999</v>
      </c>
      <c r="J198" s="196"/>
      <c r="K198" s="235"/>
      <c r="M198" t="s">
        <v>647</v>
      </c>
      <c r="N198" t="s">
        <v>646</v>
      </c>
      <c r="O198" t="s">
        <v>1374</v>
      </c>
      <c r="P198" s="539">
        <v>3.8199999999999998E-2</v>
      </c>
      <c r="Q198" s="539">
        <v>0.1542</v>
      </c>
      <c r="S198" s="537">
        <f t="shared" si="4"/>
        <v>0</v>
      </c>
      <c r="T198" s="537">
        <f t="shared" si="5"/>
        <v>0</v>
      </c>
    </row>
    <row r="199" spans="1:20" ht="15">
      <c r="A199" s="431">
        <v>193</v>
      </c>
      <c r="B199" s="431">
        <v>179</v>
      </c>
      <c r="C199" s="66" t="s">
        <v>2466</v>
      </c>
      <c r="D199" s="66" t="s">
        <v>474</v>
      </c>
      <c r="E199" s="429" t="s">
        <v>2221</v>
      </c>
      <c r="F199" s="436">
        <v>5.16E-2</v>
      </c>
      <c r="G199" s="436">
        <v>0.1178</v>
      </c>
      <c r="H199" s="436">
        <v>0.14410000000000001</v>
      </c>
      <c r="J199" s="196"/>
      <c r="K199" s="235"/>
      <c r="M199" t="s">
        <v>475</v>
      </c>
      <c r="N199" t="s">
        <v>474</v>
      </c>
      <c r="O199" t="s">
        <v>1375</v>
      </c>
      <c r="P199" s="539">
        <v>5.16E-2</v>
      </c>
      <c r="Q199" s="539">
        <v>0.1178</v>
      </c>
      <c r="S199" s="537">
        <f t="shared" si="4"/>
        <v>0</v>
      </c>
      <c r="T199" s="537">
        <f t="shared" si="5"/>
        <v>0</v>
      </c>
    </row>
    <row r="200" spans="1:20" ht="15">
      <c r="A200" s="431">
        <v>194</v>
      </c>
      <c r="B200" s="431">
        <v>158</v>
      </c>
      <c r="C200" s="66" t="s">
        <v>2471</v>
      </c>
      <c r="D200" s="66" t="s">
        <v>432</v>
      </c>
      <c r="E200" s="429" t="s">
        <v>2200</v>
      </c>
      <c r="F200" s="436">
        <v>4.41E-2</v>
      </c>
      <c r="G200" s="436">
        <v>0.19389999999999999</v>
      </c>
      <c r="H200" s="436">
        <v>0.18090000000000001</v>
      </c>
      <c r="J200" s="196"/>
      <c r="K200" s="235"/>
      <c r="M200" t="s">
        <v>433</v>
      </c>
      <c r="N200" t="s">
        <v>432</v>
      </c>
      <c r="O200" t="s">
        <v>1376</v>
      </c>
      <c r="P200" s="539">
        <v>4.41E-2</v>
      </c>
      <c r="Q200" s="539">
        <v>0.19389999999999999</v>
      </c>
      <c r="S200" s="537">
        <f t="shared" ref="S200:S263" si="6">+F200-P200</f>
        <v>0</v>
      </c>
      <c r="T200" s="537">
        <f t="shared" ref="T200:T263" si="7">+G200-Q200</f>
        <v>0</v>
      </c>
    </row>
    <row r="201" spans="1:20" ht="15">
      <c r="A201" s="431">
        <v>195</v>
      </c>
      <c r="B201" s="431">
        <v>262</v>
      </c>
      <c r="C201" s="66" t="s">
        <v>2464</v>
      </c>
      <c r="D201" s="66" t="s">
        <v>618</v>
      </c>
      <c r="E201" s="429" t="s">
        <v>2295</v>
      </c>
      <c r="F201" s="436">
        <v>6.6799999999999998E-2</v>
      </c>
      <c r="G201" s="436">
        <v>0.2223</v>
      </c>
      <c r="H201" s="436">
        <v>0.26590000000000003</v>
      </c>
      <c r="J201" s="196"/>
      <c r="K201" s="235"/>
      <c r="M201" t="s">
        <v>619</v>
      </c>
      <c r="N201" t="s">
        <v>618</v>
      </c>
      <c r="O201" t="s">
        <v>1377</v>
      </c>
      <c r="P201" s="539">
        <v>6.6799999999999998E-2</v>
      </c>
      <c r="Q201" s="539">
        <v>0.2223</v>
      </c>
      <c r="S201" s="537">
        <f t="shared" si="6"/>
        <v>0</v>
      </c>
      <c r="T201" s="537">
        <f t="shared" si="7"/>
        <v>0</v>
      </c>
    </row>
    <row r="202" spans="1:20" ht="15">
      <c r="A202" s="431">
        <v>196</v>
      </c>
      <c r="B202" s="431">
        <v>215</v>
      </c>
      <c r="C202" s="66" t="s">
        <v>2472</v>
      </c>
      <c r="D202" s="66" t="s">
        <v>537</v>
      </c>
      <c r="E202" s="429" t="s">
        <v>2253</v>
      </c>
      <c r="F202" s="436">
        <v>0.1123</v>
      </c>
      <c r="G202" s="436">
        <v>0.2611</v>
      </c>
      <c r="H202" s="436">
        <v>0.28570000000000001</v>
      </c>
      <c r="J202" s="196"/>
      <c r="K202" s="235"/>
      <c r="M202" t="s">
        <v>538</v>
      </c>
      <c r="N202" t="s">
        <v>537</v>
      </c>
      <c r="O202" t="s">
        <v>2547</v>
      </c>
      <c r="P202" s="539">
        <v>0.1123</v>
      </c>
      <c r="Q202" s="539">
        <v>0.2611</v>
      </c>
      <c r="S202" s="537">
        <f t="shared" si="6"/>
        <v>0</v>
      </c>
      <c r="T202" s="537">
        <f t="shared" si="7"/>
        <v>0</v>
      </c>
    </row>
    <row r="203" spans="1:20" ht="15">
      <c r="A203" s="431">
        <v>197</v>
      </c>
      <c r="B203" s="431">
        <v>245</v>
      </c>
      <c r="C203" s="66" t="s">
        <v>2464</v>
      </c>
      <c r="D203" s="66" t="s">
        <v>594</v>
      </c>
      <c r="E203" s="429" t="s">
        <v>2384</v>
      </c>
      <c r="F203" s="436">
        <v>3.0599999999999999E-2</v>
      </c>
      <c r="G203" s="436">
        <v>0.2918</v>
      </c>
      <c r="H203" s="436">
        <v>0.23400000000000001</v>
      </c>
      <c r="J203" s="196"/>
      <c r="K203" s="235"/>
      <c r="M203" t="s">
        <v>595</v>
      </c>
      <c r="N203" t="s">
        <v>594</v>
      </c>
      <c r="O203" t="s">
        <v>1379</v>
      </c>
      <c r="P203" s="539">
        <v>3.0599999999999999E-2</v>
      </c>
      <c r="Q203" s="539">
        <v>0.2918</v>
      </c>
      <c r="S203" s="537">
        <f t="shared" si="6"/>
        <v>0</v>
      </c>
      <c r="T203" s="537">
        <f t="shared" si="7"/>
        <v>0</v>
      </c>
    </row>
    <row r="204" spans="1:20" ht="15">
      <c r="A204" s="431">
        <v>198</v>
      </c>
      <c r="B204" s="431">
        <v>57</v>
      </c>
      <c r="C204" s="66" t="s">
        <v>2464</v>
      </c>
      <c r="D204" s="66" t="s">
        <v>261</v>
      </c>
      <c r="E204" s="429" t="s">
        <v>2116</v>
      </c>
      <c r="F204" s="436">
        <v>4.0300000000000002E-2</v>
      </c>
      <c r="G204" s="436">
        <v>0.24210000000000001</v>
      </c>
      <c r="H204" s="436">
        <v>0.34150000000000003</v>
      </c>
      <c r="J204" s="196"/>
      <c r="K204" s="235"/>
      <c r="M204" t="s">
        <v>262</v>
      </c>
      <c r="N204" t="s">
        <v>261</v>
      </c>
      <c r="O204" t="s">
        <v>1380</v>
      </c>
      <c r="P204" s="539">
        <v>4.0300000000000002E-2</v>
      </c>
      <c r="Q204" s="539">
        <v>0.24210000000000001</v>
      </c>
      <c r="S204" s="537">
        <f t="shared" si="6"/>
        <v>0</v>
      </c>
      <c r="T204" s="537">
        <f t="shared" si="7"/>
        <v>0</v>
      </c>
    </row>
    <row r="205" spans="1:20" ht="15">
      <c r="A205" s="431">
        <v>199</v>
      </c>
      <c r="B205" s="431">
        <v>49</v>
      </c>
      <c r="C205" s="66" t="s">
        <v>2466</v>
      </c>
      <c r="D205" s="66" t="s">
        <v>245</v>
      </c>
      <c r="E205" s="429" t="s">
        <v>2108</v>
      </c>
      <c r="F205" s="436">
        <v>0.14829999999999999</v>
      </c>
      <c r="G205" s="436">
        <v>0.27489999999999998</v>
      </c>
      <c r="H205" s="436">
        <v>0.34110000000000001</v>
      </c>
      <c r="J205" s="196"/>
      <c r="K205" s="235"/>
      <c r="M205" t="s">
        <v>246</v>
      </c>
      <c r="N205" t="s">
        <v>245</v>
      </c>
      <c r="O205" t="s">
        <v>1381</v>
      </c>
      <c r="P205" s="539">
        <v>0.14829999999999999</v>
      </c>
      <c r="Q205" s="539">
        <v>0.27489999999999998</v>
      </c>
      <c r="S205" s="537">
        <f t="shared" si="6"/>
        <v>0</v>
      </c>
      <c r="T205" s="537">
        <f t="shared" si="7"/>
        <v>0</v>
      </c>
    </row>
    <row r="206" spans="1:20" ht="15">
      <c r="A206" s="431">
        <v>200</v>
      </c>
      <c r="B206" s="431">
        <v>185</v>
      </c>
      <c r="C206" s="66" t="s">
        <v>2466</v>
      </c>
      <c r="D206" s="66" t="s">
        <v>486</v>
      </c>
      <c r="E206" s="429" t="s">
        <v>2227</v>
      </c>
      <c r="F206" s="436">
        <v>3.39E-2</v>
      </c>
      <c r="G206" s="436">
        <v>0.32400000000000001</v>
      </c>
      <c r="H206" s="436">
        <v>0.36470000000000002</v>
      </c>
      <c r="J206" s="196"/>
      <c r="K206" s="235"/>
      <c r="M206" t="s">
        <v>487</v>
      </c>
      <c r="N206" t="s">
        <v>486</v>
      </c>
      <c r="O206" t="s">
        <v>1382</v>
      </c>
      <c r="P206" s="539">
        <v>3.39E-2</v>
      </c>
      <c r="Q206" s="539">
        <v>0.32400000000000001</v>
      </c>
      <c r="S206" s="537">
        <f t="shared" si="6"/>
        <v>0</v>
      </c>
      <c r="T206" s="537">
        <f t="shared" si="7"/>
        <v>0</v>
      </c>
    </row>
    <row r="207" spans="1:20" ht="15">
      <c r="A207" s="431">
        <v>201</v>
      </c>
      <c r="B207" s="431">
        <v>203</v>
      </c>
      <c r="C207" s="66" t="s">
        <v>2473</v>
      </c>
      <c r="D207" s="66" t="s">
        <v>519</v>
      </c>
      <c r="E207" s="429" t="s">
        <v>2244</v>
      </c>
      <c r="F207" s="436">
        <v>5.9400000000000001E-2</v>
      </c>
      <c r="G207" s="436">
        <v>0.19</v>
      </c>
      <c r="H207" s="436">
        <v>0.16969999999999999</v>
      </c>
      <c r="J207" s="196"/>
      <c r="K207" s="235"/>
      <c r="M207" t="s">
        <v>520</v>
      </c>
      <c r="N207" t="s">
        <v>519</v>
      </c>
      <c r="O207" t="s">
        <v>1383</v>
      </c>
      <c r="P207" s="539">
        <v>5.9400000000000001E-2</v>
      </c>
      <c r="Q207" s="539">
        <v>0.19</v>
      </c>
      <c r="S207" s="537">
        <f t="shared" si="6"/>
        <v>0</v>
      </c>
      <c r="T207" s="537">
        <f t="shared" si="7"/>
        <v>0</v>
      </c>
    </row>
    <row r="208" spans="1:20" ht="15">
      <c r="A208" s="431">
        <v>202</v>
      </c>
      <c r="B208" s="431">
        <v>3</v>
      </c>
      <c r="C208" s="66" t="s">
        <v>2465</v>
      </c>
      <c r="D208" s="66" t="s">
        <v>167</v>
      </c>
      <c r="E208" s="429" t="s">
        <v>2069</v>
      </c>
      <c r="F208" s="436">
        <v>4.1300000000000003E-2</v>
      </c>
      <c r="G208" s="436">
        <v>0.14860000000000001</v>
      </c>
      <c r="H208" s="436">
        <v>0.1394</v>
      </c>
      <c r="J208" s="196"/>
      <c r="K208" s="235"/>
      <c r="M208" t="s">
        <v>168</v>
      </c>
      <c r="N208" t="s">
        <v>167</v>
      </c>
      <c r="O208" t="s">
        <v>1384</v>
      </c>
      <c r="P208" s="539">
        <v>4.1300000000000003E-2</v>
      </c>
      <c r="Q208" s="539">
        <v>0.14860000000000001</v>
      </c>
      <c r="S208" s="537">
        <f t="shared" si="6"/>
        <v>0</v>
      </c>
      <c r="T208" s="537">
        <f t="shared" si="7"/>
        <v>0</v>
      </c>
    </row>
    <row r="209" spans="1:20" ht="15">
      <c r="A209" s="431">
        <v>203</v>
      </c>
      <c r="B209" s="431">
        <v>51</v>
      </c>
      <c r="C209" s="66" t="s">
        <v>2466</v>
      </c>
      <c r="D209" s="66" t="s">
        <v>249</v>
      </c>
      <c r="E209" s="429" t="s">
        <v>2110</v>
      </c>
      <c r="F209" s="436">
        <v>0.1046</v>
      </c>
      <c r="G209" s="436">
        <v>0.48349999999999999</v>
      </c>
      <c r="H209" s="436">
        <v>0.50680000000000003</v>
      </c>
      <c r="J209" s="196"/>
      <c r="K209" s="235"/>
      <c r="M209" t="s">
        <v>250</v>
      </c>
      <c r="N209" t="s">
        <v>249</v>
      </c>
      <c r="O209" t="s">
        <v>1385</v>
      </c>
      <c r="P209" s="539">
        <v>0.1046</v>
      </c>
      <c r="Q209" s="539">
        <v>0.48349999999999999</v>
      </c>
      <c r="S209" s="537">
        <f t="shared" si="6"/>
        <v>0</v>
      </c>
      <c r="T209" s="537">
        <f t="shared" si="7"/>
        <v>0</v>
      </c>
    </row>
    <row r="210" spans="1:20" ht="15">
      <c r="A210" s="431">
        <v>204</v>
      </c>
      <c r="B210" s="431">
        <v>306</v>
      </c>
      <c r="C210" s="66" t="s">
        <v>2464</v>
      </c>
      <c r="D210" s="66" t="s">
        <v>695</v>
      </c>
      <c r="E210" s="429" t="s">
        <v>2335</v>
      </c>
      <c r="F210" s="436">
        <v>3.6400000000000002E-2</v>
      </c>
      <c r="G210" s="436">
        <v>0.2311</v>
      </c>
      <c r="H210" s="436">
        <v>0.22750000000000001</v>
      </c>
      <c r="J210" s="196"/>
      <c r="K210" s="235"/>
      <c r="M210" t="s">
        <v>696</v>
      </c>
      <c r="N210" t="s">
        <v>695</v>
      </c>
      <c r="O210" t="s">
        <v>1386</v>
      </c>
      <c r="P210" s="539">
        <v>3.6400000000000002E-2</v>
      </c>
      <c r="Q210" s="539">
        <v>0.2311</v>
      </c>
      <c r="S210" s="537">
        <f t="shared" si="6"/>
        <v>0</v>
      </c>
      <c r="T210" s="537">
        <f t="shared" si="7"/>
        <v>0</v>
      </c>
    </row>
    <row r="211" spans="1:20" ht="15">
      <c r="A211" s="431">
        <v>205</v>
      </c>
      <c r="B211" s="431">
        <v>186</v>
      </c>
      <c r="C211" s="66" t="s">
        <v>2467</v>
      </c>
      <c r="D211" s="66" t="s">
        <v>2366</v>
      </c>
      <c r="E211" s="429" t="s">
        <v>2489</v>
      </c>
      <c r="F211" s="436">
        <v>3.5000000000000003E-2</v>
      </c>
      <c r="G211" s="436">
        <v>0.14979999999999999</v>
      </c>
      <c r="H211" s="436">
        <v>0.1464</v>
      </c>
      <c r="J211" s="196"/>
      <c r="K211" s="235"/>
      <c r="M211" t="s">
        <v>2365</v>
      </c>
      <c r="N211" t="s">
        <v>2366</v>
      </c>
      <c r="O211" t="s">
        <v>2394</v>
      </c>
      <c r="P211" s="539">
        <v>3.5000000000000003E-2</v>
      </c>
      <c r="Q211" s="539">
        <v>0.14979999999999999</v>
      </c>
      <c r="S211" s="537">
        <f t="shared" si="6"/>
        <v>0</v>
      </c>
      <c r="T211" s="537">
        <f t="shared" si="7"/>
        <v>0</v>
      </c>
    </row>
    <row r="212" spans="1:20" ht="15">
      <c r="A212" s="431">
        <v>206</v>
      </c>
      <c r="B212" s="431">
        <v>60</v>
      </c>
      <c r="C212" s="66" t="s">
        <v>2465</v>
      </c>
      <c r="D212" s="66" t="s">
        <v>267</v>
      </c>
      <c r="E212" s="429" t="s">
        <v>2119</v>
      </c>
      <c r="F212" s="436">
        <v>3.1899999999999998E-2</v>
      </c>
      <c r="G212" s="436">
        <v>0.1268</v>
      </c>
      <c r="H212" s="436">
        <v>0.1232</v>
      </c>
      <c r="J212" s="196"/>
      <c r="K212" s="235"/>
      <c r="M212" t="s">
        <v>268</v>
      </c>
      <c r="N212" t="s">
        <v>267</v>
      </c>
      <c r="O212" t="s">
        <v>1387</v>
      </c>
      <c r="P212" s="539">
        <v>3.1899999999999998E-2</v>
      </c>
      <c r="Q212" s="539">
        <v>0.1268</v>
      </c>
      <c r="S212" s="537">
        <f t="shared" si="6"/>
        <v>0</v>
      </c>
      <c r="T212" s="537">
        <f t="shared" si="7"/>
        <v>0</v>
      </c>
    </row>
    <row r="213" spans="1:20" ht="15">
      <c r="A213" s="431">
        <v>207</v>
      </c>
      <c r="B213" s="431">
        <v>182</v>
      </c>
      <c r="C213" s="66" t="s">
        <v>2466</v>
      </c>
      <c r="D213" s="66" t="s">
        <v>480</v>
      </c>
      <c r="E213" s="429" t="s">
        <v>2224</v>
      </c>
      <c r="F213" s="436">
        <v>0.1191</v>
      </c>
      <c r="G213" s="436">
        <v>0.30299999999999999</v>
      </c>
      <c r="H213" s="436">
        <v>0.36830000000000002</v>
      </c>
      <c r="J213" s="196"/>
      <c r="K213" s="235"/>
      <c r="M213" t="s">
        <v>481</v>
      </c>
      <c r="N213" t="s">
        <v>480</v>
      </c>
      <c r="O213" t="s">
        <v>1388</v>
      </c>
      <c r="P213" s="539">
        <v>0.1191</v>
      </c>
      <c r="Q213" s="539">
        <v>0.30299999999999999</v>
      </c>
      <c r="S213" s="537">
        <f t="shared" si="6"/>
        <v>0</v>
      </c>
      <c r="T213" s="537">
        <f t="shared" si="7"/>
        <v>0</v>
      </c>
    </row>
    <row r="214" spans="1:20" ht="15">
      <c r="A214" s="431">
        <v>208</v>
      </c>
      <c r="B214" s="431">
        <v>9</v>
      </c>
      <c r="C214" s="66" t="s">
        <v>2465</v>
      </c>
      <c r="D214" s="66" t="s">
        <v>179</v>
      </c>
      <c r="E214" s="429" t="s">
        <v>2075</v>
      </c>
      <c r="F214" s="436">
        <v>1.78E-2</v>
      </c>
      <c r="G214" s="436">
        <v>0.2505</v>
      </c>
      <c r="H214" s="436">
        <v>0.22220000000000001</v>
      </c>
      <c r="J214" s="196"/>
      <c r="K214" s="235"/>
      <c r="M214" t="s">
        <v>180</v>
      </c>
      <c r="N214" t="s">
        <v>179</v>
      </c>
      <c r="O214" t="s">
        <v>1389</v>
      </c>
      <c r="P214" s="539">
        <v>1.78E-2</v>
      </c>
      <c r="Q214" s="539">
        <v>0.2505</v>
      </c>
      <c r="S214" s="537">
        <f t="shared" si="6"/>
        <v>0</v>
      </c>
      <c r="T214" s="537">
        <f t="shared" si="7"/>
        <v>0</v>
      </c>
    </row>
    <row r="215" spans="1:20" ht="15">
      <c r="A215" s="431">
        <v>209</v>
      </c>
      <c r="B215" s="431">
        <v>159</v>
      </c>
      <c r="C215" s="66" t="s">
        <v>2471</v>
      </c>
      <c r="D215" s="66" t="s">
        <v>434</v>
      </c>
      <c r="E215" s="429" t="s">
        <v>2201</v>
      </c>
      <c r="F215" s="436">
        <v>3.7600000000000001E-2</v>
      </c>
      <c r="G215" s="436">
        <v>0.21310000000000001</v>
      </c>
      <c r="H215" s="436">
        <v>0.20699999999999999</v>
      </c>
      <c r="J215" s="196"/>
      <c r="K215" s="235"/>
      <c r="M215" t="s">
        <v>435</v>
      </c>
      <c r="N215" t="s">
        <v>434</v>
      </c>
      <c r="O215" t="s">
        <v>1390</v>
      </c>
      <c r="P215" s="539">
        <v>3.7600000000000001E-2</v>
      </c>
      <c r="Q215" s="539">
        <v>0.21310000000000001</v>
      </c>
      <c r="S215" s="537">
        <f t="shared" si="6"/>
        <v>0</v>
      </c>
      <c r="T215" s="537">
        <f t="shared" si="7"/>
        <v>0</v>
      </c>
    </row>
    <row r="216" spans="1:20" ht="15">
      <c r="A216" s="431">
        <v>210</v>
      </c>
      <c r="B216" s="431">
        <v>205</v>
      </c>
      <c r="C216" s="66" t="s">
        <v>2473</v>
      </c>
      <c r="D216" s="66" t="s">
        <v>523</v>
      </c>
      <c r="E216" s="429" t="s">
        <v>2246</v>
      </c>
      <c r="F216" s="436">
        <v>2.7000000000000001E-3</v>
      </c>
      <c r="G216" s="436">
        <v>0.14940000000000001</v>
      </c>
      <c r="H216" s="436">
        <v>0.13619999999999999</v>
      </c>
      <c r="J216" s="196"/>
      <c r="K216" s="235"/>
      <c r="M216" t="s">
        <v>524</v>
      </c>
      <c r="N216" t="s">
        <v>523</v>
      </c>
      <c r="O216" t="s">
        <v>1391</v>
      </c>
      <c r="P216" s="539">
        <v>2.7000000000000001E-3</v>
      </c>
      <c r="Q216" s="539">
        <v>0.14940000000000001</v>
      </c>
      <c r="S216" s="537">
        <f t="shared" si="6"/>
        <v>0</v>
      </c>
      <c r="T216" s="537">
        <f t="shared" si="7"/>
        <v>0</v>
      </c>
    </row>
    <row r="217" spans="1:20" ht="15">
      <c r="A217" s="431">
        <v>211</v>
      </c>
      <c r="B217" s="431">
        <v>22</v>
      </c>
      <c r="C217" s="66" t="s">
        <v>2467</v>
      </c>
      <c r="D217" s="66" t="s">
        <v>1709</v>
      </c>
      <c r="E217" s="429" t="s">
        <v>2086</v>
      </c>
      <c r="F217" s="436">
        <v>3.5000000000000003E-2</v>
      </c>
      <c r="G217" s="436">
        <v>0.14979999999999999</v>
      </c>
      <c r="H217" s="436">
        <v>0.1464</v>
      </c>
      <c r="J217" s="196"/>
      <c r="K217" s="235"/>
      <c r="M217" t="s">
        <v>1690</v>
      </c>
      <c r="N217" t="s">
        <v>1709</v>
      </c>
      <c r="O217" t="s">
        <v>1710</v>
      </c>
      <c r="P217" s="539">
        <v>3.5000000000000003E-2</v>
      </c>
      <c r="Q217" s="539">
        <v>0.14979999999999999</v>
      </c>
      <c r="S217" s="537">
        <f t="shared" si="6"/>
        <v>0</v>
      </c>
      <c r="T217" s="537">
        <f t="shared" si="7"/>
        <v>0</v>
      </c>
    </row>
    <row r="218" spans="1:20" ht="15">
      <c r="A218" s="431">
        <v>212</v>
      </c>
      <c r="B218" s="431">
        <v>175</v>
      </c>
      <c r="C218" s="66" t="s">
        <v>2471</v>
      </c>
      <c r="D218" s="66" t="s">
        <v>466</v>
      </c>
      <c r="E218" s="429" t="s">
        <v>2217</v>
      </c>
      <c r="F218" s="436">
        <v>6.1100000000000002E-2</v>
      </c>
      <c r="G218" s="436">
        <v>0.185</v>
      </c>
      <c r="H218" s="436">
        <v>0.22550000000000001</v>
      </c>
      <c r="J218" s="196"/>
      <c r="K218" s="235"/>
      <c r="M218" t="s">
        <v>467</v>
      </c>
      <c r="N218" t="s">
        <v>466</v>
      </c>
      <c r="O218" t="s">
        <v>1392</v>
      </c>
      <c r="P218" s="539">
        <v>6.1100000000000002E-2</v>
      </c>
      <c r="Q218" s="539">
        <v>0.185</v>
      </c>
      <c r="S218" s="537">
        <f t="shared" si="6"/>
        <v>0</v>
      </c>
      <c r="T218" s="537">
        <f t="shared" si="7"/>
        <v>0</v>
      </c>
    </row>
    <row r="219" spans="1:20" ht="15">
      <c r="A219" s="431">
        <v>213</v>
      </c>
      <c r="B219" s="431">
        <v>65</v>
      </c>
      <c r="C219" s="66" t="s">
        <v>2465</v>
      </c>
      <c r="D219" s="66" t="s">
        <v>275</v>
      </c>
      <c r="E219" s="429" t="s">
        <v>2122</v>
      </c>
      <c r="F219" s="436">
        <v>6.7699999999999996E-2</v>
      </c>
      <c r="G219" s="436">
        <v>0.25659999999999999</v>
      </c>
      <c r="H219" s="436">
        <v>0.24390000000000001</v>
      </c>
      <c r="J219" s="196"/>
      <c r="K219" s="235"/>
      <c r="M219" t="s">
        <v>276</v>
      </c>
      <c r="N219" t="s">
        <v>275</v>
      </c>
      <c r="O219" t="s">
        <v>1393</v>
      </c>
      <c r="P219" s="539">
        <v>6.7699999999999996E-2</v>
      </c>
      <c r="Q219" s="539">
        <v>0.25659999999999999</v>
      </c>
      <c r="S219" s="537">
        <f t="shared" si="6"/>
        <v>0</v>
      </c>
      <c r="T219" s="537">
        <f t="shared" si="7"/>
        <v>0</v>
      </c>
    </row>
    <row r="220" spans="1:20" ht="15">
      <c r="A220" s="431">
        <v>214</v>
      </c>
      <c r="B220" s="431">
        <v>23</v>
      </c>
      <c r="C220" s="66" t="s">
        <v>2468</v>
      </c>
      <c r="D220" s="66" t="s">
        <v>203</v>
      </c>
      <c r="E220" s="429" t="s">
        <v>2087</v>
      </c>
      <c r="F220" s="436">
        <v>6.3299999999999995E-2</v>
      </c>
      <c r="G220" s="436">
        <v>0.14099999999999999</v>
      </c>
      <c r="H220" s="436">
        <v>0.1275</v>
      </c>
      <c r="J220" s="196"/>
      <c r="K220" s="235"/>
      <c r="M220" t="s">
        <v>204</v>
      </c>
      <c r="N220" t="s">
        <v>203</v>
      </c>
      <c r="O220" t="s">
        <v>1394</v>
      </c>
      <c r="P220" s="539">
        <v>6.3299999999999995E-2</v>
      </c>
      <c r="Q220" s="539">
        <v>0.14099999999999999</v>
      </c>
      <c r="S220" s="537">
        <f t="shared" si="6"/>
        <v>0</v>
      </c>
      <c r="T220" s="537">
        <f t="shared" si="7"/>
        <v>0</v>
      </c>
    </row>
    <row r="221" spans="1:20" ht="15">
      <c r="A221" s="431">
        <v>215</v>
      </c>
      <c r="B221" s="431">
        <v>96</v>
      </c>
      <c r="C221" s="66" t="s">
        <v>2468</v>
      </c>
      <c r="D221" s="66" t="s">
        <v>336</v>
      </c>
      <c r="E221" s="429" t="s">
        <v>2153</v>
      </c>
      <c r="F221" s="436">
        <v>3.7100000000000001E-2</v>
      </c>
      <c r="G221" s="436">
        <v>0.2009</v>
      </c>
      <c r="H221" s="436">
        <v>0.16869999999999999</v>
      </c>
      <c r="J221" s="196"/>
      <c r="K221" s="235"/>
      <c r="M221" t="s">
        <v>337</v>
      </c>
      <c r="N221" t="s">
        <v>336</v>
      </c>
      <c r="O221" t="s">
        <v>1395</v>
      </c>
      <c r="P221" s="539">
        <v>3.7100000000000001E-2</v>
      </c>
      <c r="Q221" s="539">
        <v>0.2009</v>
      </c>
      <c r="S221" s="537">
        <f t="shared" si="6"/>
        <v>0</v>
      </c>
      <c r="T221" s="537">
        <f t="shared" si="7"/>
        <v>0</v>
      </c>
    </row>
    <row r="222" spans="1:20" ht="15">
      <c r="A222" s="431">
        <v>216</v>
      </c>
      <c r="B222" s="431">
        <v>291</v>
      </c>
      <c r="C222" s="66" t="s">
        <v>2465</v>
      </c>
      <c r="D222" s="66" t="s">
        <v>669</v>
      </c>
      <c r="E222" s="429" t="s">
        <v>2323</v>
      </c>
      <c r="F222" s="436">
        <v>3.0200000000000001E-2</v>
      </c>
      <c r="G222" s="436">
        <v>0.22439999999999999</v>
      </c>
      <c r="H222" s="436">
        <v>0.27379999999999999</v>
      </c>
      <c r="J222" s="196"/>
      <c r="K222" s="235"/>
      <c r="M222" t="s">
        <v>670</v>
      </c>
      <c r="N222" t="s">
        <v>669</v>
      </c>
      <c r="O222" t="s">
        <v>1396</v>
      </c>
      <c r="P222" s="539">
        <v>3.0200000000000001E-2</v>
      </c>
      <c r="Q222" s="539">
        <v>0.22439999999999999</v>
      </c>
      <c r="S222" s="537">
        <f t="shared" si="6"/>
        <v>0</v>
      </c>
      <c r="T222" s="537">
        <f t="shared" si="7"/>
        <v>0</v>
      </c>
    </row>
    <row r="223" spans="1:20" ht="15">
      <c r="A223" s="431">
        <v>217</v>
      </c>
      <c r="B223" s="431">
        <v>261</v>
      </c>
      <c r="C223" s="66" t="s">
        <v>2464</v>
      </c>
      <c r="D223" s="66" t="s">
        <v>1398</v>
      </c>
      <c r="E223" s="429" t="s">
        <v>1537</v>
      </c>
      <c r="F223" s="436">
        <v>9.5799999999999996E-2</v>
      </c>
      <c r="G223" s="436">
        <v>0.31690000000000002</v>
      </c>
      <c r="H223" s="436">
        <v>0.35170000000000001</v>
      </c>
      <c r="J223" s="196"/>
      <c r="K223" s="235"/>
      <c r="M223" t="s">
        <v>1643</v>
      </c>
      <c r="N223" t="s">
        <v>1398</v>
      </c>
      <c r="O223" t="s">
        <v>2548</v>
      </c>
      <c r="P223" s="539">
        <v>9.5799999999999996E-2</v>
      </c>
      <c r="Q223" s="539">
        <v>0.31690000000000002</v>
      </c>
      <c r="S223" s="537">
        <f t="shared" si="6"/>
        <v>0</v>
      </c>
      <c r="T223" s="537">
        <f t="shared" si="7"/>
        <v>0</v>
      </c>
    </row>
    <row r="224" spans="1:20" ht="15">
      <c r="A224" s="431">
        <v>218</v>
      </c>
      <c r="B224" s="431">
        <v>12</v>
      </c>
      <c r="C224" s="66" t="s">
        <v>2465</v>
      </c>
      <c r="D224" s="66" t="s">
        <v>185</v>
      </c>
      <c r="E224" s="429" t="s">
        <v>2078</v>
      </c>
      <c r="F224" s="436">
        <v>2.63E-2</v>
      </c>
      <c r="G224" s="436">
        <v>0.16089999999999999</v>
      </c>
      <c r="H224" s="436">
        <v>0.1681</v>
      </c>
      <c r="J224" s="196"/>
      <c r="K224" s="235"/>
      <c r="M224" t="s">
        <v>186</v>
      </c>
      <c r="N224" t="s">
        <v>185</v>
      </c>
      <c r="O224" t="s">
        <v>1400</v>
      </c>
      <c r="P224" s="539">
        <v>2.63E-2</v>
      </c>
      <c r="Q224" s="539">
        <v>0.16089999999999999</v>
      </c>
      <c r="S224" s="537">
        <f t="shared" si="6"/>
        <v>0</v>
      </c>
      <c r="T224" s="537">
        <f t="shared" si="7"/>
        <v>0</v>
      </c>
    </row>
    <row r="225" spans="1:20" ht="15">
      <c r="A225" s="431">
        <v>219</v>
      </c>
      <c r="B225" s="431">
        <v>304</v>
      </c>
      <c r="C225" s="66" t="s">
        <v>2464</v>
      </c>
      <c r="D225" s="66" t="s">
        <v>691</v>
      </c>
      <c r="E225" s="429" t="s">
        <v>2333</v>
      </c>
      <c r="F225" s="436">
        <v>4.8500000000000001E-2</v>
      </c>
      <c r="G225" s="436">
        <v>0.20660000000000001</v>
      </c>
      <c r="H225" s="436">
        <v>0.2243</v>
      </c>
      <c r="J225" s="196"/>
      <c r="K225" s="235"/>
      <c r="M225" t="s">
        <v>692</v>
      </c>
      <c r="N225" t="s">
        <v>691</v>
      </c>
      <c r="O225" t="s">
        <v>1401</v>
      </c>
      <c r="P225" s="539">
        <v>4.8500000000000001E-2</v>
      </c>
      <c r="Q225" s="539">
        <v>0.20660000000000001</v>
      </c>
      <c r="S225" s="537">
        <f t="shared" si="6"/>
        <v>0</v>
      </c>
      <c r="T225" s="537">
        <f t="shared" si="7"/>
        <v>0</v>
      </c>
    </row>
    <row r="226" spans="1:20" ht="15">
      <c r="A226" s="431">
        <v>220</v>
      </c>
      <c r="B226" s="431">
        <v>197</v>
      </c>
      <c r="C226" s="66" t="s">
        <v>2473</v>
      </c>
      <c r="D226" s="66" t="s">
        <v>507</v>
      </c>
      <c r="E226" s="429" t="s">
        <v>2238</v>
      </c>
      <c r="F226" s="436">
        <v>4.1099999999999998E-2</v>
      </c>
      <c r="G226" s="436">
        <v>0.1477</v>
      </c>
      <c r="H226" s="436">
        <v>0.1399</v>
      </c>
      <c r="J226" s="196"/>
      <c r="K226" s="235"/>
      <c r="M226" t="s">
        <v>508</v>
      </c>
      <c r="N226" t="s">
        <v>507</v>
      </c>
      <c r="O226" t="s">
        <v>1402</v>
      </c>
      <c r="P226" s="539">
        <v>4.1099999999999998E-2</v>
      </c>
      <c r="Q226" s="539">
        <v>0.1477</v>
      </c>
      <c r="S226" s="537">
        <f t="shared" si="6"/>
        <v>0</v>
      </c>
      <c r="T226" s="537">
        <f t="shared" si="7"/>
        <v>0</v>
      </c>
    </row>
    <row r="227" spans="1:20" ht="15">
      <c r="A227" s="431">
        <v>221</v>
      </c>
      <c r="B227" s="431">
        <v>92</v>
      </c>
      <c r="C227" s="66" t="s">
        <v>2468</v>
      </c>
      <c r="D227" s="66" t="s">
        <v>328</v>
      </c>
      <c r="E227" s="429" t="s">
        <v>2149</v>
      </c>
      <c r="F227" s="436">
        <v>8.6599999999999996E-2</v>
      </c>
      <c r="G227" s="436">
        <v>0.41639999999999999</v>
      </c>
      <c r="H227" s="436">
        <v>0.2203</v>
      </c>
      <c r="J227" s="196"/>
      <c r="K227" s="235"/>
      <c r="M227" t="s">
        <v>329</v>
      </c>
      <c r="N227" t="s">
        <v>328</v>
      </c>
      <c r="O227" t="s">
        <v>1403</v>
      </c>
      <c r="P227" s="539">
        <v>8.6599999999999996E-2</v>
      </c>
      <c r="Q227" s="539">
        <v>0.41639999999999999</v>
      </c>
      <c r="S227" s="537">
        <f t="shared" si="6"/>
        <v>0</v>
      </c>
      <c r="T227" s="537">
        <f t="shared" si="7"/>
        <v>0</v>
      </c>
    </row>
    <row r="228" spans="1:20" ht="15">
      <c r="A228" s="431">
        <v>222</v>
      </c>
      <c r="B228" s="431">
        <v>94</v>
      </c>
      <c r="C228" s="66" t="s">
        <v>2468</v>
      </c>
      <c r="D228" s="66" t="s">
        <v>332</v>
      </c>
      <c r="E228" s="429" t="s">
        <v>2151</v>
      </c>
      <c r="F228" s="436">
        <v>3.7100000000000001E-2</v>
      </c>
      <c r="G228" s="436">
        <v>0.2011</v>
      </c>
      <c r="H228" s="436">
        <v>0.22339999999999999</v>
      </c>
      <c r="J228" s="196"/>
      <c r="K228" s="235"/>
      <c r="M228" t="s">
        <v>333</v>
      </c>
      <c r="N228" t="s">
        <v>332</v>
      </c>
      <c r="O228" t="s">
        <v>1404</v>
      </c>
      <c r="P228" s="539">
        <v>3.7100000000000001E-2</v>
      </c>
      <c r="Q228" s="539">
        <v>0.2011</v>
      </c>
      <c r="S228" s="537">
        <f t="shared" si="6"/>
        <v>0</v>
      </c>
      <c r="T228" s="537">
        <f t="shared" si="7"/>
        <v>0</v>
      </c>
    </row>
    <row r="229" spans="1:20" ht="15">
      <c r="A229" s="431">
        <v>223</v>
      </c>
      <c r="B229" s="431">
        <v>28</v>
      </c>
      <c r="C229" s="66" t="s">
        <v>2467</v>
      </c>
      <c r="D229" s="66" t="s">
        <v>1520</v>
      </c>
      <c r="E229" s="429" t="s">
        <v>1533</v>
      </c>
      <c r="F229" s="436">
        <v>3.5000000000000003E-2</v>
      </c>
      <c r="G229" s="436">
        <v>0.14979999999999999</v>
      </c>
      <c r="H229" s="436">
        <v>0.1464</v>
      </c>
      <c r="J229" s="196"/>
      <c r="K229" s="235"/>
      <c r="M229" t="s">
        <v>1693</v>
      </c>
      <c r="N229" t="s">
        <v>1520</v>
      </c>
      <c r="O229" t="s">
        <v>2549</v>
      </c>
      <c r="P229" s="539">
        <v>3.5000000000000003E-2</v>
      </c>
      <c r="Q229" s="539">
        <v>0.14979999999999999</v>
      </c>
      <c r="S229" s="537">
        <f t="shared" si="6"/>
        <v>0</v>
      </c>
      <c r="T229" s="537">
        <f t="shared" si="7"/>
        <v>0</v>
      </c>
    </row>
    <row r="230" spans="1:20" ht="15">
      <c r="A230" s="431">
        <v>224</v>
      </c>
      <c r="B230" s="431">
        <v>27</v>
      </c>
      <c r="C230" s="66" t="s">
        <v>2468</v>
      </c>
      <c r="D230" s="66" t="s">
        <v>211</v>
      </c>
      <c r="E230" s="429" t="s">
        <v>2091</v>
      </c>
      <c r="F230" s="436">
        <v>1.8100000000000002E-2</v>
      </c>
      <c r="G230" s="436">
        <v>0.1016</v>
      </c>
      <c r="H230" s="436">
        <v>9.64E-2</v>
      </c>
      <c r="J230" s="196"/>
      <c r="K230" s="235"/>
      <c r="M230" t="s">
        <v>212</v>
      </c>
      <c r="N230" t="s">
        <v>211</v>
      </c>
      <c r="O230" t="s">
        <v>1405</v>
      </c>
      <c r="P230" s="539">
        <v>1.8100000000000002E-2</v>
      </c>
      <c r="Q230" s="539">
        <v>0.1016</v>
      </c>
      <c r="S230" s="537">
        <f t="shared" si="6"/>
        <v>0</v>
      </c>
      <c r="T230" s="537">
        <f t="shared" si="7"/>
        <v>0</v>
      </c>
    </row>
    <row r="231" spans="1:20" ht="15">
      <c r="A231" s="431">
        <v>225</v>
      </c>
      <c r="B231" s="431">
        <v>83</v>
      </c>
      <c r="C231" s="66" t="s">
        <v>2471</v>
      </c>
      <c r="D231" s="66" t="s">
        <v>311</v>
      </c>
      <c r="E231" s="429" t="s">
        <v>2140</v>
      </c>
      <c r="F231" s="436">
        <v>2.93E-2</v>
      </c>
      <c r="G231" s="436">
        <v>0.315</v>
      </c>
      <c r="H231" s="436">
        <v>0.18540000000000001</v>
      </c>
      <c r="J231" s="196"/>
      <c r="K231" s="235"/>
      <c r="M231" t="s">
        <v>1644</v>
      </c>
      <c r="N231" t="s">
        <v>311</v>
      </c>
      <c r="O231" t="s">
        <v>2550</v>
      </c>
      <c r="P231" s="539">
        <v>2.93E-2</v>
      </c>
      <c r="Q231" s="539">
        <v>0.315</v>
      </c>
      <c r="S231" s="537">
        <f t="shared" si="6"/>
        <v>0</v>
      </c>
      <c r="T231" s="537">
        <f t="shared" si="7"/>
        <v>0</v>
      </c>
    </row>
    <row r="232" spans="1:20" ht="15">
      <c r="A232" s="431">
        <v>226</v>
      </c>
      <c r="B232" s="431">
        <v>67</v>
      </c>
      <c r="C232" s="66" t="s">
        <v>2466</v>
      </c>
      <c r="D232" s="66" t="s">
        <v>279</v>
      </c>
      <c r="E232" s="429" t="s">
        <v>2124</v>
      </c>
      <c r="F232" s="436">
        <v>5.6899999999999999E-2</v>
      </c>
      <c r="G232" s="436">
        <v>0.1643</v>
      </c>
      <c r="H232" s="436">
        <v>0.17180000000000001</v>
      </c>
      <c r="J232" s="196"/>
      <c r="K232" s="235"/>
      <c r="M232" t="s">
        <v>280</v>
      </c>
      <c r="N232" t="s">
        <v>279</v>
      </c>
      <c r="O232" t="s">
        <v>1407</v>
      </c>
      <c r="P232" s="539">
        <v>5.6899999999999999E-2</v>
      </c>
      <c r="Q232" s="539">
        <v>0.1643</v>
      </c>
      <c r="S232" s="537">
        <f t="shared" si="6"/>
        <v>0</v>
      </c>
      <c r="T232" s="537">
        <f t="shared" si="7"/>
        <v>0</v>
      </c>
    </row>
    <row r="233" spans="1:20" ht="15">
      <c r="A233" s="431">
        <v>227</v>
      </c>
      <c r="B233" s="431">
        <v>278</v>
      </c>
      <c r="C233" s="66" t="s">
        <v>2471</v>
      </c>
      <c r="D233" s="66" t="s">
        <v>648</v>
      </c>
      <c r="E233" s="429" t="s">
        <v>2311</v>
      </c>
      <c r="F233" s="436">
        <v>3.1099999999999999E-2</v>
      </c>
      <c r="G233" s="436">
        <v>0.21340000000000001</v>
      </c>
      <c r="H233" s="436">
        <v>0.22289999999999999</v>
      </c>
      <c r="J233" s="196"/>
      <c r="K233" s="235"/>
      <c r="M233" t="s">
        <v>649</v>
      </c>
      <c r="N233" t="s">
        <v>648</v>
      </c>
      <c r="O233" t="s">
        <v>1408</v>
      </c>
      <c r="P233" s="539">
        <v>3.1099999999999999E-2</v>
      </c>
      <c r="Q233" s="539">
        <v>0.21340000000000001</v>
      </c>
      <c r="S233" s="537">
        <f t="shared" si="6"/>
        <v>0</v>
      </c>
      <c r="T233" s="537">
        <f t="shared" si="7"/>
        <v>0</v>
      </c>
    </row>
    <row r="234" spans="1:20" ht="15">
      <c r="A234" s="431">
        <v>228</v>
      </c>
      <c r="B234" s="431">
        <v>120</v>
      </c>
      <c r="C234" s="66" t="s">
        <v>2467</v>
      </c>
      <c r="D234" s="66" t="s">
        <v>1410</v>
      </c>
      <c r="E234" s="429" t="s">
        <v>1535</v>
      </c>
      <c r="F234" s="436">
        <v>3.0599999999999999E-2</v>
      </c>
      <c r="G234" s="436">
        <v>0.1633</v>
      </c>
      <c r="H234" s="436">
        <v>0.21609999999999999</v>
      </c>
      <c r="J234" s="196"/>
      <c r="K234" s="235"/>
      <c r="M234" t="s">
        <v>1645</v>
      </c>
      <c r="N234" t="s">
        <v>1410</v>
      </c>
      <c r="O234" t="s">
        <v>2551</v>
      </c>
      <c r="P234" s="539">
        <v>3.0599999999999999E-2</v>
      </c>
      <c r="Q234" s="539">
        <v>0.1633</v>
      </c>
      <c r="S234" s="537">
        <f t="shared" si="6"/>
        <v>0</v>
      </c>
      <c r="T234" s="537">
        <f t="shared" si="7"/>
        <v>0</v>
      </c>
    </row>
    <row r="235" spans="1:20" ht="15">
      <c r="A235" s="431">
        <v>229</v>
      </c>
      <c r="B235" s="431">
        <v>121</v>
      </c>
      <c r="C235" s="66" t="s">
        <v>2467</v>
      </c>
      <c r="D235" s="66" t="s">
        <v>1516</v>
      </c>
      <c r="E235" s="429" t="s">
        <v>2490</v>
      </c>
      <c r="F235" s="436">
        <v>0</v>
      </c>
      <c r="G235" s="436">
        <v>0.60409999999999997</v>
      </c>
      <c r="H235" s="436">
        <v>0.15060000000000001</v>
      </c>
      <c r="J235" s="196"/>
      <c r="K235" s="235"/>
      <c r="M235" t="s">
        <v>1639</v>
      </c>
      <c r="N235" t="s">
        <v>1516</v>
      </c>
      <c r="O235" t="s">
        <v>2552</v>
      </c>
      <c r="P235" s="539">
        <v>0</v>
      </c>
      <c r="Q235" s="539">
        <v>0.60409999999999997</v>
      </c>
      <c r="S235" s="537">
        <f t="shared" si="6"/>
        <v>0</v>
      </c>
      <c r="T235" s="537">
        <f t="shared" si="7"/>
        <v>0</v>
      </c>
    </row>
    <row r="236" spans="1:20" ht="15">
      <c r="A236" s="431">
        <v>230</v>
      </c>
      <c r="B236" s="431">
        <v>188</v>
      </c>
      <c r="C236" s="66" t="s">
        <v>2471</v>
      </c>
      <c r="D236" s="66" t="s">
        <v>490</v>
      </c>
      <c r="E236" s="429" t="s">
        <v>2229</v>
      </c>
      <c r="F236" s="436">
        <v>2.9600000000000001E-2</v>
      </c>
      <c r="G236" s="436">
        <v>0.19589999999999999</v>
      </c>
      <c r="H236" s="436">
        <v>0.26429999999999998</v>
      </c>
      <c r="J236" s="196"/>
      <c r="K236" s="235"/>
      <c r="M236" t="s">
        <v>491</v>
      </c>
      <c r="N236" t="s">
        <v>490</v>
      </c>
      <c r="O236" t="s">
        <v>1412</v>
      </c>
      <c r="P236" s="539">
        <v>2.9600000000000001E-2</v>
      </c>
      <c r="Q236" s="539">
        <v>0.19589999999999999</v>
      </c>
      <c r="S236" s="537">
        <f t="shared" si="6"/>
        <v>0</v>
      </c>
      <c r="T236" s="537">
        <f t="shared" si="7"/>
        <v>0</v>
      </c>
    </row>
    <row r="237" spans="1:20" ht="15">
      <c r="A237" s="431">
        <v>231</v>
      </c>
      <c r="B237" s="431">
        <v>164</v>
      </c>
      <c r="C237" s="66" t="s">
        <v>2464</v>
      </c>
      <c r="D237" s="66" t="s">
        <v>444</v>
      </c>
      <c r="E237" s="429" t="s">
        <v>2206</v>
      </c>
      <c r="F237" s="436">
        <v>4.6300000000000001E-2</v>
      </c>
      <c r="G237" s="436">
        <v>0.27910000000000001</v>
      </c>
      <c r="H237" s="436">
        <v>0.24729999999999999</v>
      </c>
      <c r="J237" s="196"/>
      <c r="K237" s="235"/>
      <c r="M237" t="s">
        <v>445</v>
      </c>
      <c r="N237" t="s">
        <v>444</v>
      </c>
      <c r="O237" t="s">
        <v>2553</v>
      </c>
      <c r="P237" s="539">
        <v>4.6300000000000001E-2</v>
      </c>
      <c r="Q237" s="539">
        <v>0.27910000000000001</v>
      </c>
      <c r="S237" s="537">
        <f t="shared" si="6"/>
        <v>0</v>
      </c>
      <c r="T237" s="537">
        <f t="shared" si="7"/>
        <v>0</v>
      </c>
    </row>
    <row r="238" spans="1:20" ht="15">
      <c r="A238" s="431">
        <v>232</v>
      </c>
      <c r="B238" s="431">
        <v>103</v>
      </c>
      <c r="C238" s="66" t="s">
        <v>2473</v>
      </c>
      <c r="D238" s="66" t="s">
        <v>350</v>
      </c>
      <c r="E238" s="429" t="s">
        <v>2160</v>
      </c>
      <c r="F238" s="436">
        <v>2.4799999999999999E-2</v>
      </c>
      <c r="G238" s="436">
        <v>0.13239999999999999</v>
      </c>
      <c r="H238" s="436">
        <v>0.12540000000000001</v>
      </c>
      <c r="J238" s="196"/>
      <c r="K238" s="235"/>
      <c r="M238" t="s">
        <v>351</v>
      </c>
      <c r="N238" t="s">
        <v>350</v>
      </c>
      <c r="O238" t="s">
        <v>1414</v>
      </c>
      <c r="P238" s="539">
        <v>2.4799999999999999E-2</v>
      </c>
      <c r="Q238" s="539">
        <v>0.13239999999999999</v>
      </c>
      <c r="S238" s="537">
        <f t="shared" si="6"/>
        <v>0</v>
      </c>
      <c r="T238" s="537">
        <f t="shared" si="7"/>
        <v>0</v>
      </c>
    </row>
    <row r="239" spans="1:20" ht="15">
      <c r="A239" s="431">
        <v>233</v>
      </c>
      <c r="B239" s="431">
        <v>59</v>
      </c>
      <c r="C239" s="66" t="s">
        <v>2464</v>
      </c>
      <c r="D239" s="66" t="s">
        <v>265</v>
      </c>
      <c r="E239" s="429" t="s">
        <v>2118</v>
      </c>
      <c r="F239" s="436">
        <v>7.5300000000000006E-2</v>
      </c>
      <c r="G239" s="436">
        <v>0.26219999999999999</v>
      </c>
      <c r="H239" s="436">
        <v>0.2898</v>
      </c>
      <c r="J239" s="196"/>
      <c r="K239" s="235"/>
      <c r="M239" t="s">
        <v>266</v>
      </c>
      <c r="N239" t="s">
        <v>265</v>
      </c>
      <c r="O239" t="s">
        <v>1415</v>
      </c>
      <c r="P239" s="539">
        <v>7.5300000000000006E-2</v>
      </c>
      <c r="Q239" s="539">
        <v>0.26219999999999999</v>
      </c>
      <c r="S239" s="537">
        <f t="shared" si="6"/>
        <v>0</v>
      </c>
      <c r="T239" s="537">
        <f t="shared" si="7"/>
        <v>0</v>
      </c>
    </row>
    <row r="240" spans="1:20" ht="15">
      <c r="A240" s="431">
        <v>234</v>
      </c>
      <c r="B240" s="431">
        <v>13</v>
      </c>
      <c r="C240" s="66" t="s">
        <v>2465</v>
      </c>
      <c r="D240" s="66" t="s">
        <v>187</v>
      </c>
      <c r="E240" s="429" t="s">
        <v>2079</v>
      </c>
      <c r="F240" s="436">
        <v>4.2099999999999999E-2</v>
      </c>
      <c r="G240" s="436">
        <v>0.14219999999999999</v>
      </c>
      <c r="H240" s="436">
        <v>0.14199999999999999</v>
      </c>
      <c r="J240" s="196"/>
      <c r="K240" s="235"/>
      <c r="M240" t="s">
        <v>188</v>
      </c>
      <c r="N240" t="s">
        <v>187</v>
      </c>
      <c r="O240" t="s">
        <v>1416</v>
      </c>
      <c r="P240" s="539">
        <v>4.2099999999999999E-2</v>
      </c>
      <c r="Q240" s="539">
        <v>0.14219999999999999</v>
      </c>
      <c r="S240" s="537">
        <f t="shared" si="6"/>
        <v>0</v>
      </c>
      <c r="T240" s="537">
        <f t="shared" si="7"/>
        <v>0</v>
      </c>
    </row>
    <row r="241" spans="1:20" ht="15">
      <c r="A241" s="431">
        <v>235</v>
      </c>
      <c r="B241" s="431">
        <v>37</v>
      </c>
      <c r="C241" s="66" t="s">
        <v>2469</v>
      </c>
      <c r="D241" s="66" t="s">
        <v>227</v>
      </c>
      <c r="E241" s="429" t="s">
        <v>2100</v>
      </c>
      <c r="F241" s="436">
        <v>5.8799999999999998E-2</v>
      </c>
      <c r="G241" s="436">
        <v>0.20250000000000001</v>
      </c>
      <c r="H241" s="436">
        <v>0.1699</v>
      </c>
      <c r="J241" s="196"/>
      <c r="K241" s="235"/>
      <c r="M241" t="s">
        <v>228</v>
      </c>
      <c r="N241" t="s">
        <v>227</v>
      </c>
      <c r="O241" t="s">
        <v>1417</v>
      </c>
      <c r="P241" s="539">
        <v>5.8799999999999998E-2</v>
      </c>
      <c r="Q241" s="539">
        <v>0.20250000000000001</v>
      </c>
      <c r="S241" s="537">
        <f t="shared" si="6"/>
        <v>0</v>
      </c>
      <c r="T241" s="537">
        <f t="shared" si="7"/>
        <v>0</v>
      </c>
    </row>
    <row r="242" spans="1:20" ht="15">
      <c r="A242" s="431">
        <v>236</v>
      </c>
      <c r="B242" s="431">
        <v>5</v>
      </c>
      <c r="C242" s="66" t="s">
        <v>2464</v>
      </c>
      <c r="D242" s="66" t="s">
        <v>171</v>
      </c>
      <c r="E242" s="429" t="s">
        <v>2071</v>
      </c>
      <c r="F242" s="436">
        <v>5.4399999999999997E-2</v>
      </c>
      <c r="G242" s="436">
        <v>0.2457</v>
      </c>
      <c r="H242" s="436">
        <v>0.29530000000000001</v>
      </c>
      <c r="J242" s="196"/>
      <c r="K242" s="235"/>
      <c r="M242" t="s">
        <v>172</v>
      </c>
      <c r="N242" t="s">
        <v>171</v>
      </c>
      <c r="O242" t="s">
        <v>1418</v>
      </c>
      <c r="P242" s="539">
        <v>5.4399999999999997E-2</v>
      </c>
      <c r="Q242" s="539">
        <v>0.2457</v>
      </c>
      <c r="S242" s="537">
        <f t="shared" si="6"/>
        <v>0</v>
      </c>
      <c r="T242" s="537">
        <f t="shared" si="7"/>
        <v>0</v>
      </c>
    </row>
    <row r="243" spans="1:20" ht="15">
      <c r="A243" s="431">
        <v>237</v>
      </c>
      <c r="B243" s="431">
        <v>257</v>
      </c>
      <c r="C243" s="66" t="s">
        <v>2464</v>
      </c>
      <c r="D243" s="66" t="s">
        <v>616</v>
      </c>
      <c r="E243" s="429" t="s">
        <v>2292</v>
      </c>
      <c r="F243" s="436">
        <v>4.3299999999999998E-2</v>
      </c>
      <c r="G243" s="436">
        <v>0.222</v>
      </c>
      <c r="H243" s="436">
        <v>0.22789999999999999</v>
      </c>
      <c r="J243" s="196"/>
      <c r="K243" s="235"/>
      <c r="M243" t="s">
        <v>617</v>
      </c>
      <c r="N243" t="s">
        <v>616</v>
      </c>
      <c r="O243" t="s">
        <v>1419</v>
      </c>
      <c r="P243" s="539">
        <v>4.3299999999999998E-2</v>
      </c>
      <c r="Q243" s="539">
        <v>0.222</v>
      </c>
      <c r="S243" s="537">
        <f t="shared" si="6"/>
        <v>0</v>
      </c>
      <c r="T243" s="537">
        <f t="shared" si="7"/>
        <v>0</v>
      </c>
    </row>
    <row r="244" spans="1:20" ht="15">
      <c r="A244" s="431">
        <v>238</v>
      </c>
      <c r="B244" s="431">
        <v>107</v>
      </c>
      <c r="C244" s="66" t="s">
        <v>2473</v>
      </c>
      <c r="D244" s="66" t="s">
        <v>358</v>
      </c>
      <c r="E244" s="429" t="s">
        <v>2164</v>
      </c>
      <c r="F244" s="436">
        <v>3.95E-2</v>
      </c>
      <c r="G244" s="436">
        <v>0.159</v>
      </c>
      <c r="H244" s="436">
        <v>0.1585</v>
      </c>
      <c r="J244" s="196"/>
      <c r="K244" s="235"/>
      <c r="M244" t="s">
        <v>359</v>
      </c>
      <c r="N244" t="s">
        <v>358</v>
      </c>
      <c r="O244" t="s">
        <v>1420</v>
      </c>
      <c r="P244" s="539">
        <v>3.95E-2</v>
      </c>
      <c r="Q244" s="539">
        <v>0.159</v>
      </c>
      <c r="S244" s="537">
        <f t="shared" si="6"/>
        <v>0</v>
      </c>
      <c r="T244" s="537">
        <f t="shared" si="7"/>
        <v>0</v>
      </c>
    </row>
    <row r="245" spans="1:20" ht="15">
      <c r="A245" s="431">
        <v>239</v>
      </c>
      <c r="B245" s="431">
        <v>280</v>
      </c>
      <c r="C245" s="66" t="s">
        <v>2471</v>
      </c>
      <c r="D245" s="66" t="s">
        <v>652</v>
      </c>
      <c r="E245" s="429" t="s">
        <v>2313</v>
      </c>
      <c r="F245" s="436">
        <v>1.9599999999999999E-2</v>
      </c>
      <c r="G245" s="436">
        <v>0.13120000000000001</v>
      </c>
      <c r="H245" s="436">
        <v>0.12759999999999999</v>
      </c>
      <c r="J245" s="196"/>
      <c r="K245" s="235"/>
      <c r="M245" t="s">
        <v>653</v>
      </c>
      <c r="N245" t="s">
        <v>652</v>
      </c>
      <c r="O245" t="s">
        <v>1421</v>
      </c>
      <c r="P245" s="539">
        <v>1.9599999999999999E-2</v>
      </c>
      <c r="Q245" s="539">
        <v>0.13120000000000001</v>
      </c>
      <c r="S245" s="537">
        <f t="shared" si="6"/>
        <v>0</v>
      </c>
      <c r="T245" s="537">
        <f t="shared" si="7"/>
        <v>0</v>
      </c>
    </row>
    <row r="246" spans="1:20" ht="15">
      <c r="A246" s="431">
        <v>240</v>
      </c>
      <c r="B246" s="431">
        <v>146</v>
      </c>
      <c r="C246" s="66" t="s">
        <v>2469</v>
      </c>
      <c r="D246" s="66" t="s">
        <v>408</v>
      </c>
      <c r="E246" s="429" t="s">
        <v>2378</v>
      </c>
      <c r="F246" s="436">
        <v>8.2600000000000007E-2</v>
      </c>
      <c r="G246" s="436">
        <v>0.21729999999999999</v>
      </c>
      <c r="H246" s="436">
        <v>0</v>
      </c>
      <c r="J246" s="196"/>
      <c r="K246" s="235"/>
      <c r="M246" t="s">
        <v>409</v>
      </c>
      <c r="N246" t="s">
        <v>408</v>
      </c>
      <c r="O246" t="s">
        <v>1422</v>
      </c>
      <c r="P246" s="539">
        <v>8.2600000000000007E-2</v>
      </c>
      <c r="Q246" s="539">
        <v>0.21729999999999999</v>
      </c>
      <c r="S246" s="537">
        <f t="shared" si="6"/>
        <v>0</v>
      </c>
      <c r="T246" s="537">
        <f t="shared" si="7"/>
        <v>0</v>
      </c>
    </row>
    <row r="247" spans="1:20" ht="15">
      <c r="A247" s="431">
        <v>241</v>
      </c>
      <c r="B247" s="431">
        <v>40</v>
      </c>
      <c r="C247" s="66" t="s">
        <v>2491</v>
      </c>
      <c r="D247" s="66" t="s">
        <v>2368</v>
      </c>
      <c r="E247" s="429" t="s">
        <v>2492</v>
      </c>
      <c r="F247" s="436">
        <v>3.5000000000000003E-2</v>
      </c>
      <c r="G247" s="436">
        <v>0.14979999999999999</v>
      </c>
      <c r="H247" s="436">
        <v>0.1464</v>
      </c>
      <c r="J247" s="196"/>
      <c r="K247" s="235"/>
      <c r="M247" t="s">
        <v>2367</v>
      </c>
      <c r="N247" t="s">
        <v>2368</v>
      </c>
      <c r="O247" t="s">
        <v>2395</v>
      </c>
      <c r="P247" s="539">
        <v>3.5000000000000003E-2</v>
      </c>
      <c r="Q247" s="539">
        <v>0.14979999999999999</v>
      </c>
      <c r="S247" s="537">
        <f t="shared" si="6"/>
        <v>0</v>
      </c>
      <c r="T247" s="537">
        <f t="shared" si="7"/>
        <v>0</v>
      </c>
    </row>
    <row r="248" spans="1:20" ht="15">
      <c r="A248" s="431">
        <v>242</v>
      </c>
      <c r="B248" s="431">
        <v>311</v>
      </c>
      <c r="C248" s="66" t="s">
        <v>2464</v>
      </c>
      <c r="D248" s="66" t="s">
        <v>705</v>
      </c>
      <c r="E248" s="429" t="s">
        <v>2339</v>
      </c>
      <c r="F248" s="436">
        <v>5.6000000000000001E-2</v>
      </c>
      <c r="G248" s="436">
        <v>0.23280000000000001</v>
      </c>
      <c r="H248" s="436">
        <v>0.27479999999999999</v>
      </c>
      <c r="J248" s="196"/>
      <c r="K248" s="235"/>
      <c r="M248" t="s">
        <v>706</v>
      </c>
      <c r="N248" t="s">
        <v>705</v>
      </c>
      <c r="O248" t="s">
        <v>1423</v>
      </c>
      <c r="P248" s="539">
        <v>5.6000000000000001E-2</v>
      </c>
      <c r="Q248" s="539">
        <v>0.23280000000000001</v>
      </c>
      <c r="S248" s="537">
        <f t="shared" si="6"/>
        <v>0</v>
      </c>
      <c r="T248" s="537">
        <f t="shared" si="7"/>
        <v>0</v>
      </c>
    </row>
    <row r="249" spans="1:20" ht="15">
      <c r="A249" s="431">
        <v>243</v>
      </c>
      <c r="B249" s="431">
        <v>71</v>
      </c>
      <c r="C249" s="66" t="s">
        <v>2470</v>
      </c>
      <c r="D249" s="66" t="s">
        <v>287</v>
      </c>
      <c r="E249" s="429" t="s">
        <v>2128</v>
      </c>
      <c r="F249" s="436">
        <v>4.6300000000000001E-2</v>
      </c>
      <c r="G249" s="436">
        <v>0.16189999999999999</v>
      </c>
      <c r="H249" s="436">
        <v>0.16239999999999999</v>
      </c>
      <c r="J249" s="196"/>
      <c r="K249" s="235"/>
      <c r="M249" t="s">
        <v>288</v>
      </c>
      <c r="N249" t="s">
        <v>287</v>
      </c>
      <c r="O249" t="s">
        <v>1424</v>
      </c>
      <c r="P249" s="539">
        <v>4.6300000000000001E-2</v>
      </c>
      <c r="Q249" s="539">
        <v>0.16189999999999999</v>
      </c>
      <c r="S249" s="537">
        <f t="shared" si="6"/>
        <v>0</v>
      </c>
      <c r="T249" s="537">
        <f t="shared" si="7"/>
        <v>0</v>
      </c>
    </row>
    <row r="250" spans="1:20" ht="15">
      <c r="A250" s="431">
        <v>244</v>
      </c>
      <c r="B250" s="431">
        <v>217</v>
      </c>
      <c r="C250" s="66" t="s">
        <v>2472</v>
      </c>
      <c r="D250" s="66" t="s">
        <v>541</v>
      </c>
      <c r="E250" s="429" t="s">
        <v>2255</v>
      </c>
      <c r="F250" s="436">
        <v>6.9099999999999995E-2</v>
      </c>
      <c r="G250" s="436">
        <v>0.20369999999999999</v>
      </c>
      <c r="H250" s="436">
        <v>0.21829999999999999</v>
      </c>
      <c r="J250" s="196"/>
      <c r="K250" s="235"/>
      <c r="M250" t="s">
        <v>542</v>
      </c>
      <c r="N250" t="s">
        <v>541</v>
      </c>
      <c r="O250" t="s">
        <v>2554</v>
      </c>
      <c r="P250" s="539">
        <v>6.9099999999999995E-2</v>
      </c>
      <c r="Q250" s="539">
        <v>0.20369999999999999</v>
      </c>
      <c r="S250" s="537">
        <f t="shared" si="6"/>
        <v>0</v>
      </c>
      <c r="T250" s="537">
        <f t="shared" si="7"/>
        <v>0</v>
      </c>
    </row>
    <row r="251" spans="1:20" ht="15">
      <c r="A251" s="431">
        <v>245</v>
      </c>
      <c r="B251" s="431">
        <v>85</v>
      </c>
      <c r="C251" s="66" t="s">
        <v>2471</v>
      </c>
      <c r="D251" s="66" t="s">
        <v>314</v>
      </c>
      <c r="E251" s="429" t="s">
        <v>2142</v>
      </c>
      <c r="F251" s="436">
        <v>7.3700000000000002E-2</v>
      </c>
      <c r="G251" s="436">
        <v>0.37119999999999997</v>
      </c>
      <c r="H251" s="436">
        <v>0.40670000000000001</v>
      </c>
      <c r="J251" s="196"/>
      <c r="K251" s="235"/>
      <c r="M251" t="s">
        <v>315</v>
      </c>
      <c r="N251" t="s">
        <v>314</v>
      </c>
      <c r="O251" t="s">
        <v>1426</v>
      </c>
      <c r="P251" s="539">
        <v>7.3700000000000002E-2</v>
      </c>
      <c r="Q251" s="539">
        <v>0.37119999999999997</v>
      </c>
      <c r="S251" s="537">
        <f t="shared" si="6"/>
        <v>0</v>
      </c>
      <c r="T251" s="537">
        <f t="shared" si="7"/>
        <v>0</v>
      </c>
    </row>
    <row r="252" spans="1:20" ht="15">
      <c r="A252" s="431">
        <v>246</v>
      </c>
      <c r="B252" s="431">
        <v>97</v>
      </c>
      <c r="C252" s="66" t="s">
        <v>2473</v>
      </c>
      <c r="D252" s="66" t="s">
        <v>338</v>
      </c>
      <c r="E252" s="429" t="s">
        <v>2154</v>
      </c>
      <c r="F252" s="436">
        <v>4.3400000000000001E-2</v>
      </c>
      <c r="G252" s="436">
        <v>0.15720000000000001</v>
      </c>
      <c r="H252" s="436">
        <v>0.17349999999999999</v>
      </c>
      <c r="J252" s="196"/>
      <c r="K252" s="235"/>
      <c r="M252" t="s">
        <v>339</v>
      </c>
      <c r="N252" t="s">
        <v>338</v>
      </c>
      <c r="O252" t="s">
        <v>2555</v>
      </c>
      <c r="P252" s="539">
        <v>4.3400000000000001E-2</v>
      </c>
      <c r="Q252" s="539">
        <v>0.15720000000000001</v>
      </c>
      <c r="S252" s="537">
        <f t="shared" si="6"/>
        <v>0</v>
      </c>
      <c r="T252" s="537">
        <f t="shared" si="7"/>
        <v>0</v>
      </c>
    </row>
    <row r="253" spans="1:20" ht="15">
      <c r="A253" s="431">
        <v>247</v>
      </c>
      <c r="B253" s="431">
        <v>220</v>
      </c>
      <c r="C253" s="66" t="s">
        <v>2472</v>
      </c>
      <c r="D253" s="66" t="s">
        <v>546</v>
      </c>
      <c r="E253" s="429" t="s">
        <v>2258</v>
      </c>
      <c r="F253" s="436">
        <v>2.8400000000000002E-2</v>
      </c>
      <c r="G253" s="436">
        <v>0.13719999999999999</v>
      </c>
      <c r="H253" s="436">
        <v>0.1447</v>
      </c>
      <c r="J253" s="196"/>
      <c r="K253" s="235"/>
      <c r="M253" t="s">
        <v>547</v>
      </c>
      <c r="N253" t="s">
        <v>546</v>
      </c>
      <c r="O253" t="s">
        <v>2556</v>
      </c>
      <c r="P253" s="539">
        <v>2.8400000000000002E-2</v>
      </c>
      <c r="Q253" s="539">
        <v>0.13719999999999999</v>
      </c>
      <c r="S253" s="537">
        <f t="shared" si="6"/>
        <v>0</v>
      </c>
      <c r="T253" s="537">
        <f t="shared" si="7"/>
        <v>0</v>
      </c>
    </row>
    <row r="254" spans="1:20" ht="15">
      <c r="A254" s="431">
        <v>248</v>
      </c>
      <c r="B254" s="431">
        <v>318</v>
      </c>
      <c r="C254" s="66" t="s">
        <v>2470</v>
      </c>
      <c r="D254" s="66" t="s">
        <v>718</v>
      </c>
      <c r="E254" s="429" t="s">
        <v>2345</v>
      </c>
      <c r="F254" s="436">
        <v>3.5999999999999997E-2</v>
      </c>
      <c r="G254" s="436">
        <v>0.14810000000000001</v>
      </c>
      <c r="H254" s="436">
        <v>0.1522</v>
      </c>
      <c r="J254" s="196"/>
      <c r="K254" s="235"/>
      <c r="M254" t="s">
        <v>719</v>
      </c>
      <c r="N254" t="s">
        <v>718</v>
      </c>
      <c r="O254" t="s">
        <v>1429</v>
      </c>
      <c r="P254" s="539">
        <v>3.5999999999999997E-2</v>
      </c>
      <c r="Q254" s="539">
        <v>0.14810000000000001</v>
      </c>
      <c r="S254" s="537">
        <f t="shared" si="6"/>
        <v>0</v>
      </c>
      <c r="T254" s="537">
        <f t="shared" si="7"/>
        <v>0</v>
      </c>
    </row>
    <row r="255" spans="1:20" ht="15">
      <c r="A255" s="431">
        <v>249</v>
      </c>
      <c r="B255" s="431">
        <v>195</v>
      </c>
      <c r="C255" s="66" t="s">
        <v>2464</v>
      </c>
      <c r="D255" s="66" t="s">
        <v>503</v>
      </c>
      <c r="E255" s="429" t="s">
        <v>2236</v>
      </c>
      <c r="F255" s="436">
        <v>6.5299999999999997E-2</v>
      </c>
      <c r="G255" s="436">
        <v>0.27460000000000001</v>
      </c>
      <c r="H255" s="436">
        <v>0.36820000000000003</v>
      </c>
      <c r="J255" s="196"/>
      <c r="K255" s="235"/>
      <c r="M255" t="s">
        <v>504</v>
      </c>
      <c r="N255" t="s">
        <v>503</v>
      </c>
      <c r="O255" t="s">
        <v>1430</v>
      </c>
      <c r="P255" s="539">
        <v>6.5299999999999997E-2</v>
      </c>
      <c r="Q255" s="539">
        <v>0.27460000000000001</v>
      </c>
      <c r="S255" s="537">
        <f t="shared" si="6"/>
        <v>0</v>
      </c>
      <c r="T255" s="537">
        <f t="shared" si="7"/>
        <v>0</v>
      </c>
    </row>
    <row r="256" spans="1:20" ht="15">
      <c r="A256" s="431">
        <v>250</v>
      </c>
      <c r="B256" s="431">
        <v>25</v>
      </c>
      <c r="C256" s="66" t="s">
        <v>2468</v>
      </c>
      <c r="D256" s="66" t="s">
        <v>207</v>
      </c>
      <c r="E256" s="429" t="s">
        <v>2089</v>
      </c>
      <c r="F256" s="436">
        <v>4.82E-2</v>
      </c>
      <c r="G256" s="436">
        <v>0.17710000000000001</v>
      </c>
      <c r="H256" s="436">
        <v>0.17530000000000001</v>
      </c>
      <c r="J256" s="196"/>
      <c r="K256" s="235"/>
      <c r="M256" t="s">
        <v>208</v>
      </c>
      <c r="N256" t="s">
        <v>207</v>
      </c>
      <c r="O256" t="s">
        <v>1431</v>
      </c>
      <c r="P256" s="539">
        <v>4.82E-2</v>
      </c>
      <c r="Q256" s="539">
        <v>0.17710000000000001</v>
      </c>
      <c r="S256" s="537">
        <f t="shared" si="6"/>
        <v>0</v>
      </c>
      <c r="T256" s="537">
        <f t="shared" si="7"/>
        <v>0</v>
      </c>
    </row>
    <row r="257" spans="1:20" ht="15">
      <c r="A257" s="431">
        <v>251</v>
      </c>
      <c r="B257" s="431">
        <v>214</v>
      </c>
      <c r="C257" s="66" t="s">
        <v>2472</v>
      </c>
      <c r="D257" s="66" t="s">
        <v>535</v>
      </c>
      <c r="E257" s="429" t="s">
        <v>2382</v>
      </c>
      <c r="F257" s="436">
        <v>0.16250000000000001</v>
      </c>
      <c r="G257" s="436">
        <v>0.56299999999999994</v>
      </c>
      <c r="H257" s="436">
        <v>0.52410000000000001</v>
      </c>
      <c r="J257" s="196"/>
      <c r="K257" s="235"/>
      <c r="M257" t="s">
        <v>536</v>
      </c>
      <c r="N257" t="s">
        <v>535</v>
      </c>
      <c r="O257" t="s">
        <v>2557</v>
      </c>
      <c r="P257" s="539">
        <v>0.16250000000000001</v>
      </c>
      <c r="Q257" s="539">
        <v>0.56299999999999994</v>
      </c>
      <c r="S257" s="537">
        <f t="shared" si="6"/>
        <v>0</v>
      </c>
      <c r="T257" s="537">
        <f t="shared" si="7"/>
        <v>0</v>
      </c>
    </row>
    <row r="258" spans="1:20" ht="15">
      <c r="A258" s="431">
        <v>252</v>
      </c>
      <c r="B258" s="431">
        <v>173</v>
      </c>
      <c r="C258" s="66" t="s">
        <v>2471</v>
      </c>
      <c r="D258" s="66" t="s">
        <v>462</v>
      </c>
      <c r="E258" s="429" t="s">
        <v>2215</v>
      </c>
      <c r="F258" s="436">
        <v>2.86E-2</v>
      </c>
      <c r="G258" s="436">
        <v>0.14119999999999999</v>
      </c>
      <c r="H258" s="436">
        <v>0.17080000000000001</v>
      </c>
      <c r="J258" s="196"/>
      <c r="K258" s="235"/>
      <c r="M258" t="s">
        <v>463</v>
      </c>
      <c r="N258" t="s">
        <v>462</v>
      </c>
      <c r="O258" t="s">
        <v>1433</v>
      </c>
      <c r="P258" s="539">
        <v>2.86E-2</v>
      </c>
      <c r="Q258" s="539">
        <v>0.14119999999999999</v>
      </c>
      <c r="S258" s="537">
        <f t="shared" si="6"/>
        <v>0</v>
      </c>
      <c r="T258" s="537">
        <f t="shared" si="7"/>
        <v>0</v>
      </c>
    </row>
    <row r="259" spans="1:20" ht="15">
      <c r="A259" s="431">
        <v>253</v>
      </c>
      <c r="B259" s="431">
        <v>112</v>
      </c>
      <c r="C259" s="66" t="s">
        <v>2473</v>
      </c>
      <c r="D259" s="66" t="s">
        <v>366</v>
      </c>
      <c r="E259" s="429" t="s">
        <v>2169</v>
      </c>
      <c r="F259" s="436">
        <v>3.2099999999999997E-2</v>
      </c>
      <c r="G259" s="436">
        <v>0.12470000000000001</v>
      </c>
      <c r="H259" s="436">
        <v>0.13550000000000001</v>
      </c>
      <c r="J259" s="196"/>
      <c r="K259" s="235"/>
      <c r="M259" t="s">
        <v>367</v>
      </c>
      <c r="N259" t="s">
        <v>366</v>
      </c>
      <c r="O259" t="s">
        <v>1434</v>
      </c>
      <c r="P259" s="539">
        <v>3.2099999999999997E-2</v>
      </c>
      <c r="Q259" s="539">
        <v>0.12470000000000001</v>
      </c>
      <c r="S259" s="537">
        <f t="shared" si="6"/>
        <v>0</v>
      </c>
      <c r="T259" s="537">
        <f t="shared" si="7"/>
        <v>0</v>
      </c>
    </row>
    <row r="260" spans="1:20" ht="15">
      <c r="A260" s="431">
        <v>254</v>
      </c>
      <c r="B260" s="431">
        <v>226</v>
      </c>
      <c r="C260" s="66" t="s">
        <v>2469</v>
      </c>
      <c r="D260" s="66" t="s">
        <v>556</v>
      </c>
      <c r="E260" s="429" t="s">
        <v>2263</v>
      </c>
      <c r="F260" s="436">
        <v>0.1573</v>
      </c>
      <c r="G260" s="436">
        <v>0.28739999999999999</v>
      </c>
      <c r="H260" s="436">
        <v>0.33689999999999998</v>
      </c>
      <c r="J260" s="196"/>
      <c r="K260" s="235"/>
      <c r="M260" t="s">
        <v>557</v>
      </c>
      <c r="N260" t="s">
        <v>556</v>
      </c>
      <c r="O260" t="s">
        <v>1435</v>
      </c>
      <c r="P260" s="539">
        <v>0.1573</v>
      </c>
      <c r="Q260" s="539">
        <v>0.28739999999999999</v>
      </c>
      <c r="S260" s="537">
        <f t="shared" si="6"/>
        <v>0</v>
      </c>
      <c r="T260" s="537">
        <f t="shared" si="7"/>
        <v>0</v>
      </c>
    </row>
    <row r="261" spans="1:20" ht="15">
      <c r="A261" s="431">
        <v>255</v>
      </c>
      <c r="B261" s="431">
        <v>104</v>
      </c>
      <c r="C261" s="66" t="s">
        <v>2473</v>
      </c>
      <c r="D261" s="66" t="s">
        <v>352</v>
      </c>
      <c r="E261" s="429" t="s">
        <v>2161</v>
      </c>
      <c r="F261" s="436">
        <v>7.4899999999999994E-2</v>
      </c>
      <c r="G261" s="436">
        <v>0.26919999999999999</v>
      </c>
      <c r="H261" s="436">
        <v>0.2195</v>
      </c>
      <c r="J261" s="196"/>
      <c r="K261" s="235"/>
      <c r="M261" t="s">
        <v>353</v>
      </c>
      <c r="N261" t="s">
        <v>352</v>
      </c>
      <c r="O261" t="s">
        <v>1436</v>
      </c>
      <c r="P261" s="539">
        <v>7.4899999999999994E-2</v>
      </c>
      <c r="Q261" s="539">
        <v>0.26919999999999999</v>
      </c>
      <c r="S261" s="537">
        <f t="shared" si="6"/>
        <v>0</v>
      </c>
      <c r="T261" s="537">
        <f t="shared" si="7"/>
        <v>0</v>
      </c>
    </row>
    <row r="262" spans="1:20" ht="15">
      <c r="A262" s="431">
        <v>256</v>
      </c>
      <c r="B262" s="431">
        <v>238</v>
      </c>
      <c r="C262" s="66" t="s">
        <v>2472</v>
      </c>
      <c r="D262" s="66" t="s">
        <v>580</v>
      </c>
      <c r="E262" s="429" t="s">
        <v>2274</v>
      </c>
      <c r="F262" s="436">
        <v>4.7699999999999999E-2</v>
      </c>
      <c r="G262" s="436">
        <v>0.1671</v>
      </c>
      <c r="H262" s="436">
        <v>0.14510000000000001</v>
      </c>
      <c r="J262" s="196"/>
      <c r="K262" s="235"/>
      <c r="M262" t="s">
        <v>581</v>
      </c>
      <c r="N262" t="s">
        <v>580</v>
      </c>
      <c r="O262" t="s">
        <v>1437</v>
      </c>
      <c r="P262" s="539">
        <v>4.7699999999999999E-2</v>
      </c>
      <c r="Q262" s="539">
        <v>0.1671</v>
      </c>
      <c r="S262" s="537">
        <f t="shared" si="6"/>
        <v>0</v>
      </c>
      <c r="T262" s="537">
        <f t="shared" si="7"/>
        <v>0</v>
      </c>
    </row>
    <row r="263" spans="1:20" ht="15">
      <c r="A263" s="431">
        <v>257</v>
      </c>
      <c r="B263" s="431">
        <v>110</v>
      </c>
      <c r="C263" s="66" t="s">
        <v>2473</v>
      </c>
      <c r="D263" s="66" t="s">
        <v>363</v>
      </c>
      <c r="E263" s="429" t="s">
        <v>2167</v>
      </c>
      <c r="F263" s="436">
        <v>4.0399999999999998E-2</v>
      </c>
      <c r="G263" s="436">
        <v>0.16500000000000001</v>
      </c>
      <c r="H263" s="436">
        <v>0.14680000000000001</v>
      </c>
      <c r="J263" s="196"/>
      <c r="K263" s="235"/>
      <c r="M263" t="s">
        <v>1135</v>
      </c>
      <c r="N263" t="s">
        <v>363</v>
      </c>
      <c r="O263" t="s">
        <v>1438</v>
      </c>
      <c r="P263" s="539">
        <v>4.0399999999999998E-2</v>
      </c>
      <c r="Q263" s="539">
        <v>0.16500000000000001</v>
      </c>
      <c r="S263" s="537">
        <f t="shared" si="6"/>
        <v>0</v>
      </c>
      <c r="T263" s="537">
        <f t="shared" si="7"/>
        <v>0</v>
      </c>
    </row>
    <row r="264" spans="1:20" ht="15">
      <c r="A264" s="431">
        <v>258</v>
      </c>
      <c r="B264" s="431">
        <v>70</v>
      </c>
      <c r="C264" s="66" t="s">
        <v>2466</v>
      </c>
      <c r="D264" s="66" t="s">
        <v>285</v>
      </c>
      <c r="E264" s="429" t="s">
        <v>2127</v>
      </c>
      <c r="F264" s="436">
        <v>4.1599999999999998E-2</v>
      </c>
      <c r="G264" s="436">
        <v>0.2243</v>
      </c>
      <c r="H264" s="436">
        <v>0.21379999999999999</v>
      </c>
      <c r="J264" s="196"/>
      <c r="K264" s="235"/>
      <c r="M264" t="s">
        <v>286</v>
      </c>
      <c r="N264" t="s">
        <v>285</v>
      </c>
      <c r="O264" t="s">
        <v>1439</v>
      </c>
      <c r="P264" s="539">
        <v>4.1599999999999998E-2</v>
      </c>
      <c r="Q264" s="539">
        <v>0.2243</v>
      </c>
      <c r="S264" s="537">
        <f t="shared" ref="S264:S327" si="8">+F264-P264</f>
        <v>0</v>
      </c>
      <c r="T264" s="537">
        <f t="shared" ref="T264:T327" si="9">+G264-Q264</f>
        <v>0</v>
      </c>
    </row>
    <row r="265" spans="1:20" ht="15">
      <c r="A265" s="431">
        <v>259</v>
      </c>
      <c r="B265" s="431">
        <v>189</v>
      </c>
      <c r="C265" s="66" t="s">
        <v>2471</v>
      </c>
      <c r="D265" s="66" t="s">
        <v>492</v>
      </c>
      <c r="E265" s="429" t="s">
        <v>2230</v>
      </c>
      <c r="F265" s="436">
        <v>2.1999999999999999E-2</v>
      </c>
      <c r="G265" s="436">
        <v>0.18970000000000001</v>
      </c>
      <c r="H265" s="436">
        <v>0.1517</v>
      </c>
      <c r="J265" s="196"/>
      <c r="K265" s="235"/>
      <c r="M265" t="s">
        <v>493</v>
      </c>
      <c r="N265" t="s">
        <v>492</v>
      </c>
      <c r="O265" t="s">
        <v>1440</v>
      </c>
      <c r="P265" s="539">
        <v>2.1999999999999999E-2</v>
      </c>
      <c r="Q265" s="539">
        <v>0.18970000000000001</v>
      </c>
      <c r="S265" s="537">
        <f t="shared" si="8"/>
        <v>0</v>
      </c>
      <c r="T265" s="537">
        <f t="shared" si="9"/>
        <v>0</v>
      </c>
    </row>
    <row r="266" spans="1:20" ht="15">
      <c r="A266" s="431">
        <v>260</v>
      </c>
      <c r="B266" s="431">
        <v>130</v>
      </c>
      <c r="C266" s="66" t="s">
        <v>2468</v>
      </c>
      <c r="D266" s="66" t="s">
        <v>382</v>
      </c>
      <c r="E266" s="429" t="s">
        <v>2180</v>
      </c>
      <c r="F266" s="436">
        <v>1.78E-2</v>
      </c>
      <c r="G266" s="436">
        <v>0.16969999999999999</v>
      </c>
      <c r="H266" s="436">
        <v>0.19800000000000001</v>
      </c>
      <c r="J266" s="196"/>
      <c r="K266" s="235"/>
      <c r="M266" t="s">
        <v>383</v>
      </c>
      <c r="N266" t="s">
        <v>382</v>
      </c>
      <c r="O266" t="s">
        <v>1441</v>
      </c>
      <c r="P266" s="539">
        <v>1.78E-2</v>
      </c>
      <c r="Q266" s="539">
        <v>0.16969999999999999</v>
      </c>
      <c r="S266" s="537">
        <f t="shared" si="8"/>
        <v>0</v>
      </c>
      <c r="T266" s="537">
        <f t="shared" si="9"/>
        <v>0</v>
      </c>
    </row>
    <row r="267" spans="1:20" ht="15">
      <c r="A267" s="431">
        <v>261</v>
      </c>
      <c r="B267" s="431">
        <v>91</v>
      </c>
      <c r="C267" s="66" t="s">
        <v>2472</v>
      </c>
      <c r="D267" s="66" t="s">
        <v>326</v>
      </c>
      <c r="E267" s="429" t="s">
        <v>2148</v>
      </c>
      <c r="F267" s="436">
        <v>3.3000000000000002E-2</v>
      </c>
      <c r="G267" s="436">
        <v>0.17330000000000001</v>
      </c>
      <c r="H267" s="436">
        <v>0.16400000000000001</v>
      </c>
      <c r="J267" s="196"/>
      <c r="K267" s="235"/>
      <c r="M267" t="s">
        <v>327</v>
      </c>
      <c r="N267" t="s">
        <v>326</v>
      </c>
      <c r="O267" t="s">
        <v>1442</v>
      </c>
      <c r="P267" s="539">
        <v>3.3000000000000002E-2</v>
      </c>
      <c r="Q267" s="539">
        <v>0.17330000000000001</v>
      </c>
      <c r="S267" s="537">
        <f t="shared" si="8"/>
        <v>0</v>
      </c>
      <c r="T267" s="537">
        <f t="shared" si="9"/>
        <v>0</v>
      </c>
    </row>
    <row r="268" spans="1:20" ht="15">
      <c r="A268" s="431">
        <v>262</v>
      </c>
      <c r="B268" s="431">
        <v>171</v>
      </c>
      <c r="C268" s="66" t="s">
        <v>2471</v>
      </c>
      <c r="D268" s="66" t="s">
        <v>458</v>
      </c>
      <c r="E268" s="429" t="s">
        <v>2213</v>
      </c>
      <c r="F268" s="436">
        <v>5.5599999999999997E-2</v>
      </c>
      <c r="G268" s="436">
        <v>0.27429999999999999</v>
      </c>
      <c r="H268" s="436">
        <v>0.30669999999999997</v>
      </c>
      <c r="J268" s="196"/>
      <c r="K268" s="235"/>
      <c r="M268" t="s">
        <v>459</v>
      </c>
      <c r="N268" t="s">
        <v>458</v>
      </c>
      <c r="O268" t="s">
        <v>1443</v>
      </c>
      <c r="P268" s="539">
        <v>5.5599999999999997E-2</v>
      </c>
      <c r="Q268" s="539">
        <v>0.27429999999999999</v>
      </c>
      <c r="S268" s="537">
        <f t="shared" si="8"/>
        <v>0</v>
      </c>
      <c r="T268" s="537">
        <f t="shared" si="9"/>
        <v>0</v>
      </c>
    </row>
    <row r="269" spans="1:20" ht="15">
      <c r="A269" s="431">
        <v>263</v>
      </c>
      <c r="B269" s="431">
        <v>244</v>
      </c>
      <c r="C269" s="66" t="s">
        <v>2464</v>
      </c>
      <c r="D269" s="66" t="s">
        <v>592</v>
      </c>
      <c r="E269" s="429" t="s">
        <v>2280</v>
      </c>
      <c r="F269" s="436">
        <v>1.7600000000000001E-2</v>
      </c>
      <c r="G269" s="436">
        <v>0.13569999999999999</v>
      </c>
      <c r="H269" s="436">
        <v>9.9299999999999999E-2</v>
      </c>
      <c r="J269" s="196"/>
      <c r="K269" s="235"/>
      <c r="M269" t="s">
        <v>593</v>
      </c>
      <c r="N269" t="s">
        <v>592</v>
      </c>
      <c r="O269" t="s">
        <v>1444</v>
      </c>
      <c r="P269" s="539">
        <v>1.7600000000000001E-2</v>
      </c>
      <c r="Q269" s="539">
        <v>0.13569999999999999</v>
      </c>
      <c r="S269" s="537">
        <f t="shared" si="8"/>
        <v>0</v>
      </c>
      <c r="T269" s="537">
        <f t="shared" si="9"/>
        <v>0</v>
      </c>
    </row>
    <row r="270" spans="1:20" ht="15">
      <c r="A270" s="431">
        <v>264</v>
      </c>
      <c r="B270" s="431">
        <v>259</v>
      </c>
      <c r="C270" s="66" t="s">
        <v>2464</v>
      </c>
      <c r="D270" s="66" t="s">
        <v>1446</v>
      </c>
      <c r="E270" s="429" t="s">
        <v>2293</v>
      </c>
      <c r="F270" s="436">
        <v>5.1299999999999998E-2</v>
      </c>
      <c r="G270" s="436">
        <v>0.34129999999999999</v>
      </c>
      <c r="H270" s="436">
        <v>0.30609999999999998</v>
      </c>
      <c r="J270" s="196"/>
      <c r="K270" s="235"/>
      <c r="M270" t="s">
        <v>1646</v>
      </c>
      <c r="N270" t="s">
        <v>1446</v>
      </c>
      <c r="O270" t="s">
        <v>2558</v>
      </c>
      <c r="P270" s="539">
        <v>5.1299999999999998E-2</v>
      </c>
      <c r="Q270" s="539">
        <v>0.34129999999999999</v>
      </c>
      <c r="S270" s="537">
        <f t="shared" si="8"/>
        <v>0</v>
      </c>
      <c r="T270" s="537">
        <f t="shared" si="9"/>
        <v>0</v>
      </c>
    </row>
    <row r="271" spans="1:20" ht="15">
      <c r="A271" s="431">
        <v>265</v>
      </c>
      <c r="B271" s="431">
        <v>163</v>
      </c>
      <c r="C271" s="66" t="s">
        <v>2464</v>
      </c>
      <c r="D271" s="66" t="s">
        <v>442</v>
      </c>
      <c r="E271" s="429" t="s">
        <v>2205</v>
      </c>
      <c r="F271" s="436">
        <v>6.4899999999999999E-2</v>
      </c>
      <c r="G271" s="436">
        <v>0.221</v>
      </c>
      <c r="H271" s="436">
        <v>0.19869999999999999</v>
      </c>
      <c r="J271" s="196"/>
      <c r="K271" s="235"/>
      <c r="M271" t="s">
        <v>443</v>
      </c>
      <c r="N271" t="s">
        <v>442</v>
      </c>
      <c r="O271" t="s">
        <v>1448</v>
      </c>
      <c r="P271" s="539">
        <v>6.4899999999999999E-2</v>
      </c>
      <c r="Q271" s="539">
        <v>0.221</v>
      </c>
      <c r="S271" s="537">
        <f t="shared" si="8"/>
        <v>0</v>
      </c>
      <c r="T271" s="537">
        <f t="shared" si="9"/>
        <v>0</v>
      </c>
    </row>
    <row r="272" spans="1:20" ht="15">
      <c r="A272" s="431">
        <v>266</v>
      </c>
      <c r="B272" s="431">
        <v>312</v>
      </c>
      <c r="C272" s="66" t="s">
        <v>2464</v>
      </c>
      <c r="D272" s="66" t="s">
        <v>707</v>
      </c>
      <c r="E272" s="429" t="s">
        <v>2340</v>
      </c>
      <c r="F272" s="436">
        <v>4.8399999999999999E-2</v>
      </c>
      <c r="G272" s="436">
        <v>0.23</v>
      </c>
      <c r="H272" s="436">
        <v>0.23449999999999999</v>
      </c>
      <c r="J272" s="196"/>
      <c r="K272" s="235"/>
      <c r="M272" t="s">
        <v>708</v>
      </c>
      <c r="N272" t="s">
        <v>707</v>
      </c>
      <c r="O272" t="s">
        <v>2559</v>
      </c>
      <c r="P272" s="539">
        <v>4.8399999999999999E-2</v>
      </c>
      <c r="Q272" s="539">
        <v>0.23</v>
      </c>
      <c r="S272" s="537">
        <f t="shared" si="8"/>
        <v>0</v>
      </c>
      <c r="T272" s="537">
        <f t="shared" si="9"/>
        <v>0</v>
      </c>
    </row>
    <row r="273" spans="1:20" ht="15">
      <c r="A273" s="431">
        <v>267</v>
      </c>
      <c r="B273" s="431">
        <v>243</v>
      </c>
      <c r="C273" s="66" t="s">
        <v>2472</v>
      </c>
      <c r="D273" s="66" t="s">
        <v>590</v>
      </c>
      <c r="E273" s="429" t="s">
        <v>2279</v>
      </c>
      <c r="F273" s="436">
        <v>4.87E-2</v>
      </c>
      <c r="G273" s="436">
        <v>0.14249999999999999</v>
      </c>
      <c r="H273" s="436">
        <v>0.12959999999999999</v>
      </c>
      <c r="J273" s="196"/>
      <c r="K273" s="235"/>
      <c r="M273" t="s">
        <v>591</v>
      </c>
      <c r="N273" t="s">
        <v>590</v>
      </c>
      <c r="O273" t="s">
        <v>2560</v>
      </c>
      <c r="P273" s="539">
        <v>4.87E-2</v>
      </c>
      <c r="Q273" s="539">
        <v>0.14249999999999999</v>
      </c>
      <c r="S273" s="537">
        <f t="shared" si="8"/>
        <v>0</v>
      </c>
      <c r="T273" s="537">
        <f t="shared" si="9"/>
        <v>0</v>
      </c>
    </row>
    <row r="274" spans="1:20" ht="15">
      <c r="A274" s="431">
        <v>268</v>
      </c>
      <c r="B274" s="431">
        <v>62</v>
      </c>
      <c r="C274" s="66" t="s">
        <v>2465</v>
      </c>
      <c r="D274" s="66" t="s">
        <v>271</v>
      </c>
      <c r="E274" s="429" t="s">
        <v>2373</v>
      </c>
      <c r="F274" s="436">
        <v>9.0399999999999994E-2</v>
      </c>
      <c r="G274" s="436">
        <v>0.32119999999999999</v>
      </c>
      <c r="H274" s="436">
        <v>0.32579999999999998</v>
      </c>
      <c r="J274" s="196"/>
      <c r="K274" s="235"/>
      <c r="M274" t="s">
        <v>272</v>
      </c>
      <c r="N274" t="s">
        <v>271</v>
      </c>
      <c r="O274" t="s">
        <v>2561</v>
      </c>
      <c r="P274" s="539">
        <v>9.0399999999999994E-2</v>
      </c>
      <c r="Q274" s="539">
        <v>0.32119999999999999</v>
      </c>
      <c r="S274" s="537">
        <f t="shared" si="8"/>
        <v>0</v>
      </c>
      <c r="T274" s="537">
        <f t="shared" si="9"/>
        <v>0</v>
      </c>
    </row>
    <row r="275" spans="1:20" ht="15">
      <c r="A275" s="431">
        <v>269</v>
      </c>
      <c r="B275" s="431">
        <v>42</v>
      </c>
      <c r="C275" s="66" t="s">
        <v>2465</v>
      </c>
      <c r="D275" s="66" t="s">
        <v>231</v>
      </c>
      <c r="E275" s="429" t="s">
        <v>2102</v>
      </c>
      <c r="F275" s="436">
        <v>0</v>
      </c>
      <c r="G275" s="436">
        <v>6.2799999999999995E-2</v>
      </c>
      <c r="H275" s="436">
        <v>0</v>
      </c>
      <c r="J275" s="196"/>
      <c r="K275" s="235"/>
      <c r="M275" t="s">
        <v>232</v>
      </c>
      <c r="N275" t="s">
        <v>231</v>
      </c>
      <c r="O275" t="s">
        <v>1452</v>
      </c>
      <c r="P275" s="539">
        <v>0</v>
      </c>
      <c r="Q275" s="539">
        <v>6.2799999999999995E-2</v>
      </c>
      <c r="S275" s="537">
        <f t="shared" si="8"/>
        <v>0</v>
      </c>
      <c r="T275" s="537">
        <f t="shared" si="9"/>
        <v>0</v>
      </c>
    </row>
    <row r="276" spans="1:20" ht="15">
      <c r="A276" s="431">
        <v>270</v>
      </c>
      <c r="B276" s="431">
        <v>15</v>
      </c>
      <c r="C276" s="66" t="s">
        <v>2466</v>
      </c>
      <c r="D276" s="66" t="s">
        <v>191</v>
      </c>
      <c r="E276" s="429" t="s">
        <v>2371</v>
      </c>
      <c r="F276" s="436">
        <v>0.27879999999999999</v>
      </c>
      <c r="G276" s="436">
        <v>0.71950000000000003</v>
      </c>
      <c r="H276" s="436">
        <v>0.59709999999999996</v>
      </c>
      <c r="J276" s="196"/>
      <c r="K276" s="235"/>
      <c r="M276" t="s">
        <v>192</v>
      </c>
      <c r="N276" t="s">
        <v>191</v>
      </c>
      <c r="O276" t="s">
        <v>1453</v>
      </c>
      <c r="P276" s="539">
        <v>0.27879999999999999</v>
      </c>
      <c r="Q276" s="539">
        <v>0.71950000000000003</v>
      </c>
      <c r="S276" s="537">
        <f t="shared" si="8"/>
        <v>0</v>
      </c>
      <c r="T276" s="537">
        <f t="shared" si="9"/>
        <v>0</v>
      </c>
    </row>
    <row r="277" spans="1:20" ht="15">
      <c r="A277" s="431">
        <v>271</v>
      </c>
      <c r="B277" s="431">
        <v>196</v>
      </c>
      <c r="C277" s="66" t="s">
        <v>2473</v>
      </c>
      <c r="D277" s="66" t="s">
        <v>505</v>
      </c>
      <c r="E277" s="429" t="s">
        <v>2237</v>
      </c>
      <c r="F277" s="436">
        <v>8.0500000000000002E-2</v>
      </c>
      <c r="G277" s="436">
        <v>0.18190000000000001</v>
      </c>
      <c r="H277" s="436">
        <v>0.15160000000000001</v>
      </c>
      <c r="J277" s="196"/>
      <c r="K277" s="235"/>
      <c r="M277" t="s">
        <v>506</v>
      </c>
      <c r="N277" t="s">
        <v>505</v>
      </c>
      <c r="O277" t="s">
        <v>1454</v>
      </c>
      <c r="P277" s="539">
        <v>8.0500000000000002E-2</v>
      </c>
      <c r="Q277" s="539">
        <v>0.18190000000000001</v>
      </c>
      <c r="S277" s="537">
        <f t="shared" si="8"/>
        <v>0</v>
      </c>
      <c r="T277" s="537">
        <f t="shared" si="9"/>
        <v>0</v>
      </c>
    </row>
    <row r="278" spans="1:20" ht="15">
      <c r="A278" s="431">
        <v>272</v>
      </c>
      <c r="B278" s="431">
        <v>308</v>
      </c>
      <c r="C278" s="66" t="s">
        <v>2464</v>
      </c>
      <c r="D278" s="66" t="s">
        <v>699</v>
      </c>
      <c r="E278" s="429" t="s">
        <v>2386</v>
      </c>
      <c r="F278" s="436">
        <v>8.72E-2</v>
      </c>
      <c r="G278" s="436">
        <v>0.29649999999999999</v>
      </c>
      <c r="H278" s="436">
        <v>0.33360000000000001</v>
      </c>
      <c r="J278" s="196"/>
      <c r="K278" s="235"/>
      <c r="M278" t="s">
        <v>700</v>
      </c>
      <c r="N278" t="s">
        <v>699</v>
      </c>
      <c r="O278" t="s">
        <v>1455</v>
      </c>
      <c r="P278" s="539">
        <v>8.72E-2</v>
      </c>
      <c r="Q278" s="539">
        <v>0.29649999999999999</v>
      </c>
      <c r="S278" s="537">
        <f t="shared" si="8"/>
        <v>0</v>
      </c>
      <c r="T278" s="537">
        <f t="shared" si="9"/>
        <v>0</v>
      </c>
    </row>
    <row r="279" spans="1:20" ht="15">
      <c r="A279" s="431">
        <v>273</v>
      </c>
      <c r="B279" s="431">
        <v>229</v>
      </c>
      <c r="C279" s="66" t="s">
        <v>2469</v>
      </c>
      <c r="D279" s="66" t="s">
        <v>562</v>
      </c>
      <c r="E279" s="429" t="s">
        <v>2265</v>
      </c>
      <c r="F279" s="436">
        <v>4.1399999999999999E-2</v>
      </c>
      <c r="G279" s="436">
        <v>0.20250000000000001</v>
      </c>
      <c r="H279" s="436">
        <v>0.21129999999999999</v>
      </c>
      <c r="J279" s="196"/>
      <c r="K279" s="235"/>
      <c r="M279" t="s">
        <v>563</v>
      </c>
      <c r="N279" t="s">
        <v>562</v>
      </c>
      <c r="O279" t="s">
        <v>1456</v>
      </c>
      <c r="P279" s="539">
        <v>4.1399999999999999E-2</v>
      </c>
      <c r="Q279" s="539">
        <v>0.20250000000000001</v>
      </c>
      <c r="S279" s="537">
        <f t="shared" si="8"/>
        <v>0</v>
      </c>
      <c r="T279" s="537">
        <f t="shared" si="9"/>
        <v>0</v>
      </c>
    </row>
    <row r="280" spans="1:20" ht="15">
      <c r="A280" s="431">
        <v>274</v>
      </c>
      <c r="B280" s="431">
        <v>240</v>
      </c>
      <c r="C280" s="66" t="s">
        <v>2472</v>
      </c>
      <c r="D280" s="66" t="s">
        <v>584</v>
      </c>
      <c r="E280" s="429" t="s">
        <v>2276</v>
      </c>
      <c r="F280" s="436">
        <v>1.8599999999999998E-2</v>
      </c>
      <c r="G280" s="436">
        <v>0.16839999999999999</v>
      </c>
      <c r="H280" s="436">
        <v>0.16259999999999999</v>
      </c>
      <c r="J280" s="196"/>
      <c r="K280" s="235"/>
      <c r="M280" t="s">
        <v>585</v>
      </c>
      <c r="N280" t="s">
        <v>584</v>
      </c>
      <c r="O280" t="s">
        <v>1457</v>
      </c>
      <c r="P280" s="539">
        <v>1.8599999999999998E-2</v>
      </c>
      <c r="Q280" s="539">
        <v>0.16839999999999999</v>
      </c>
      <c r="S280" s="537">
        <f t="shared" si="8"/>
        <v>0</v>
      </c>
      <c r="T280" s="537">
        <f t="shared" si="9"/>
        <v>0</v>
      </c>
    </row>
    <row r="281" spans="1:20" ht="15">
      <c r="A281" s="431">
        <v>275</v>
      </c>
      <c r="B281" s="431">
        <v>268</v>
      </c>
      <c r="C281" s="66" t="s">
        <v>2464</v>
      </c>
      <c r="D281" s="66" t="s">
        <v>630</v>
      </c>
      <c r="E281" s="429" t="s">
        <v>2301</v>
      </c>
      <c r="F281" s="436">
        <v>9.0300000000000005E-2</v>
      </c>
      <c r="G281" s="436">
        <v>0.24299999999999999</v>
      </c>
      <c r="H281" s="436">
        <v>0.15609999999999999</v>
      </c>
      <c r="J281" s="196"/>
      <c r="K281" s="235"/>
      <c r="M281" t="s">
        <v>631</v>
      </c>
      <c r="N281" t="s">
        <v>630</v>
      </c>
      <c r="O281" t="s">
        <v>1462</v>
      </c>
      <c r="P281" s="539">
        <v>9.0300000000000005E-2</v>
      </c>
      <c r="Q281" s="539">
        <v>0.24299999999999999</v>
      </c>
      <c r="S281" s="537">
        <f t="shared" si="8"/>
        <v>0</v>
      </c>
      <c r="T281" s="537">
        <f t="shared" si="9"/>
        <v>0</v>
      </c>
    </row>
    <row r="282" spans="1:20" ht="15">
      <c r="A282" s="431">
        <v>276</v>
      </c>
      <c r="B282" s="431">
        <v>119</v>
      </c>
      <c r="C282" s="66" t="s">
        <v>2467</v>
      </c>
      <c r="D282" s="66" t="s">
        <v>1515</v>
      </c>
      <c r="E282" s="429" t="s">
        <v>2173</v>
      </c>
      <c r="F282" s="436">
        <v>0.1767</v>
      </c>
      <c r="G282" s="436">
        <v>0.3518</v>
      </c>
      <c r="H282" s="436">
        <v>0.4128</v>
      </c>
      <c r="J282" s="196"/>
      <c r="K282" s="235"/>
      <c r="M282" t="s">
        <v>1518</v>
      </c>
      <c r="N282" t="s">
        <v>1515</v>
      </c>
      <c r="O282" t="s">
        <v>2562</v>
      </c>
      <c r="P282" s="539">
        <v>0.1767</v>
      </c>
      <c r="Q282" s="539">
        <v>0.3518</v>
      </c>
      <c r="S282" s="537">
        <f t="shared" si="8"/>
        <v>0</v>
      </c>
      <c r="T282" s="537">
        <f t="shared" si="9"/>
        <v>0</v>
      </c>
    </row>
    <row r="283" spans="1:20" ht="15">
      <c r="A283" s="431">
        <v>277</v>
      </c>
      <c r="B283" s="431">
        <v>213</v>
      </c>
      <c r="C283" s="66" t="s">
        <v>2467</v>
      </c>
      <c r="D283" s="66" t="s">
        <v>1458</v>
      </c>
      <c r="E283" s="429" t="s">
        <v>1536</v>
      </c>
      <c r="F283" s="436">
        <v>0.14069999999999999</v>
      </c>
      <c r="G283" s="436">
        <v>0.3523</v>
      </c>
      <c r="H283" s="436">
        <v>0.32490000000000002</v>
      </c>
      <c r="J283" s="196"/>
      <c r="K283" s="235"/>
      <c r="M283" t="s">
        <v>1647</v>
      </c>
      <c r="N283" t="s">
        <v>1458</v>
      </c>
      <c r="O283" t="s">
        <v>2563</v>
      </c>
      <c r="P283" s="539">
        <v>0.14069999999999999</v>
      </c>
      <c r="Q283" s="539">
        <v>0.3523</v>
      </c>
      <c r="S283" s="537">
        <f t="shared" si="8"/>
        <v>0</v>
      </c>
      <c r="T283" s="537">
        <f t="shared" si="9"/>
        <v>0</v>
      </c>
    </row>
    <row r="284" spans="1:20" ht="15">
      <c r="A284" s="431">
        <v>278</v>
      </c>
      <c r="B284" s="431">
        <v>117</v>
      </c>
      <c r="C284" s="66" t="s">
        <v>2467</v>
      </c>
      <c r="D284" s="66" t="s">
        <v>1460</v>
      </c>
      <c r="E284" s="429" t="s">
        <v>1534</v>
      </c>
      <c r="F284" s="436">
        <v>0.16220000000000001</v>
      </c>
      <c r="G284" s="436">
        <v>0.3982</v>
      </c>
      <c r="H284" s="436">
        <v>0.4667</v>
      </c>
      <c r="J284" s="196"/>
      <c r="K284" s="235"/>
      <c r="M284" t="s">
        <v>1648</v>
      </c>
      <c r="N284" t="s">
        <v>1460</v>
      </c>
      <c r="O284" t="s">
        <v>2564</v>
      </c>
      <c r="P284" s="539">
        <v>0.16220000000000001</v>
      </c>
      <c r="Q284" s="539">
        <v>0.3982</v>
      </c>
      <c r="S284" s="537">
        <f t="shared" si="8"/>
        <v>0</v>
      </c>
      <c r="T284" s="537">
        <f t="shared" si="9"/>
        <v>0</v>
      </c>
    </row>
    <row r="285" spans="1:20" ht="15">
      <c r="A285" s="431">
        <v>279</v>
      </c>
      <c r="B285" s="431">
        <v>201</v>
      </c>
      <c r="C285" s="66" t="s">
        <v>2473</v>
      </c>
      <c r="D285" s="66" t="s">
        <v>515</v>
      </c>
      <c r="E285" s="429" t="s">
        <v>2242</v>
      </c>
      <c r="F285" s="436">
        <v>4.5400000000000003E-2</v>
      </c>
      <c r="G285" s="436">
        <v>0.14299999999999999</v>
      </c>
      <c r="H285" s="436">
        <v>0.13689999999999999</v>
      </c>
      <c r="J285" s="196"/>
      <c r="K285" s="235"/>
      <c r="M285" t="s">
        <v>516</v>
      </c>
      <c r="N285" t="s">
        <v>515</v>
      </c>
      <c r="O285" t="s">
        <v>1463</v>
      </c>
      <c r="P285" s="539">
        <v>4.5400000000000003E-2</v>
      </c>
      <c r="Q285" s="539">
        <v>0.14299999999999999</v>
      </c>
      <c r="S285" s="537">
        <f t="shared" si="8"/>
        <v>0</v>
      </c>
      <c r="T285" s="537">
        <f t="shared" si="9"/>
        <v>0</v>
      </c>
    </row>
    <row r="286" spans="1:20" ht="15">
      <c r="A286" s="431">
        <v>280</v>
      </c>
      <c r="B286" s="431">
        <v>321</v>
      </c>
      <c r="C286" s="66" t="s">
        <v>2470</v>
      </c>
      <c r="D286" s="66" t="s">
        <v>724</v>
      </c>
      <c r="E286" s="429" t="s">
        <v>2348</v>
      </c>
      <c r="F286" s="436">
        <v>5.1799999999999999E-2</v>
      </c>
      <c r="G286" s="436">
        <v>0.16500000000000001</v>
      </c>
      <c r="H286" s="436">
        <v>0.1857</v>
      </c>
      <c r="J286" s="196"/>
      <c r="K286" s="235"/>
      <c r="M286" t="s">
        <v>725</v>
      </c>
      <c r="N286" t="s">
        <v>724</v>
      </c>
      <c r="O286" t="s">
        <v>1464</v>
      </c>
      <c r="P286" s="539">
        <v>5.1799999999999999E-2</v>
      </c>
      <c r="Q286" s="539">
        <v>0.16500000000000001</v>
      </c>
      <c r="S286" s="537">
        <f t="shared" si="8"/>
        <v>0</v>
      </c>
      <c r="T286" s="537">
        <f t="shared" si="9"/>
        <v>0</v>
      </c>
    </row>
    <row r="287" spans="1:20" ht="15">
      <c r="A287" s="431">
        <v>281</v>
      </c>
      <c r="B287" s="431">
        <v>133</v>
      </c>
      <c r="C287" s="66" t="s">
        <v>2467</v>
      </c>
      <c r="D287" s="66" t="s">
        <v>1178</v>
      </c>
      <c r="E287" s="429" t="s">
        <v>2493</v>
      </c>
      <c r="F287" s="436">
        <v>3.5000000000000003E-2</v>
      </c>
      <c r="G287" s="436">
        <v>0.14979999999999999</v>
      </c>
      <c r="H287" s="436">
        <v>0.1464</v>
      </c>
      <c r="J287" s="196"/>
      <c r="K287" s="235"/>
      <c r="M287" t="s">
        <v>1694</v>
      </c>
      <c r="N287" t="s">
        <v>1178</v>
      </c>
      <c r="O287" t="s">
        <v>2565</v>
      </c>
      <c r="P287" s="539">
        <v>3.5000000000000003E-2</v>
      </c>
      <c r="Q287" s="539">
        <v>0.14979999999999999</v>
      </c>
      <c r="S287" s="537">
        <f t="shared" si="8"/>
        <v>0</v>
      </c>
      <c r="T287" s="537">
        <f t="shared" si="9"/>
        <v>0</v>
      </c>
    </row>
    <row r="288" spans="1:20" ht="15">
      <c r="A288" s="431">
        <v>282</v>
      </c>
      <c r="B288" s="431">
        <v>198</v>
      </c>
      <c r="C288" s="66" t="s">
        <v>2473</v>
      </c>
      <c r="D288" s="66" t="s">
        <v>509</v>
      </c>
      <c r="E288" s="429" t="s">
        <v>2239</v>
      </c>
      <c r="F288" s="436">
        <v>3.04E-2</v>
      </c>
      <c r="G288" s="436">
        <v>0.1401</v>
      </c>
      <c r="H288" s="436">
        <v>0.15359999999999999</v>
      </c>
      <c r="J288" s="196"/>
      <c r="K288" s="235"/>
      <c r="M288" t="s">
        <v>510</v>
      </c>
      <c r="N288" t="s">
        <v>509</v>
      </c>
      <c r="O288" t="s">
        <v>1466</v>
      </c>
      <c r="P288" s="539">
        <v>3.04E-2</v>
      </c>
      <c r="Q288" s="539">
        <v>0.1401</v>
      </c>
      <c r="S288" s="537">
        <f t="shared" si="8"/>
        <v>0</v>
      </c>
      <c r="T288" s="537">
        <f t="shared" si="9"/>
        <v>0</v>
      </c>
    </row>
    <row r="289" spans="1:20" ht="15">
      <c r="A289" s="431">
        <v>283</v>
      </c>
      <c r="B289" s="431">
        <v>82</v>
      </c>
      <c r="C289" s="66" t="s">
        <v>2471</v>
      </c>
      <c r="D289" s="66" t="s">
        <v>309</v>
      </c>
      <c r="E289" s="429" t="s">
        <v>2139</v>
      </c>
      <c r="F289" s="436">
        <v>0.16239999999999999</v>
      </c>
      <c r="G289" s="436">
        <v>0.32740000000000002</v>
      </c>
      <c r="H289" s="436">
        <v>0.32519999999999999</v>
      </c>
      <c r="J289" s="196"/>
      <c r="K289" s="235"/>
      <c r="M289" t="s">
        <v>310</v>
      </c>
      <c r="N289" t="s">
        <v>309</v>
      </c>
      <c r="O289" t="s">
        <v>1467</v>
      </c>
      <c r="P289" s="539">
        <v>0.16239999999999999</v>
      </c>
      <c r="Q289" s="539">
        <v>0.32740000000000002</v>
      </c>
      <c r="S289" s="537">
        <f t="shared" si="8"/>
        <v>0</v>
      </c>
      <c r="T289" s="537">
        <f t="shared" si="9"/>
        <v>0</v>
      </c>
    </row>
    <row r="290" spans="1:20" ht="15">
      <c r="A290" s="431">
        <v>284</v>
      </c>
      <c r="B290" s="431">
        <v>109</v>
      </c>
      <c r="C290" s="66" t="s">
        <v>2473</v>
      </c>
      <c r="D290" s="66" t="s">
        <v>361</v>
      </c>
      <c r="E290" s="429" t="s">
        <v>2166</v>
      </c>
      <c r="F290" s="436">
        <v>2.9100000000000001E-2</v>
      </c>
      <c r="G290" s="436">
        <v>0.15160000000000001</v>
      </c>
      <c r="H290" s="436">
        <v>0.14630000000000001</v>
      </c>
      <c r="J290" s="196"/>
      <c r="K290" s="235"/>
      <c r="M290" t="s">
        <v>362</v>
      </c>
      <c r="N290" t="s">
        <v>361</v>
      </c>
      <c r="O290" t="s">
        <v>1468</v>
      </c>
      <c r="P290" s="539">
        <v>2.9100000000000001E-2</v>
      </c>
      <c r="Q290" s="539">
        <v>0.15160000000000001</v>
      </c>
      <c r="S290" s="537">
        <f t="shared" si="8"/>
        <v>0</v>
      </c>
      <c r="T290" s="537">
        <f t="shared" si="9"/>
        <v>0</v>
      </c>
    </row>
    <row r="291" spans="1:20" ht="15">
      <c r="A291" s="431">
        <v>285</v>
      </c>
      <c r="B291" s="431">
        <v>303</v>
      </c>
      <c r="C291" s="66" t="s">
        <v>2464</v>
      </c>
      <c r="D291" s="66" t="s">
        <v>689</v>
      </c>
      <c r="E291" s="429" t="s">
        <v>2332</v>
      </c>
      <c r="F291" s="436">
        <v>6.0400000000000002E-2</v>
      </c>
      <c r="G291" s="436">
        <v>0.2354</v>
      </c>
      <c r="H291" s="436">
        <v>0.26619999999999999</v>
      </c>
      <c r="J291" s="196"/>
      <c r="K291" s="235"/>
      <c r="M291" t="s">
        <v>690</v>
      </c>
      <c r="N291" t="s">
        <v>689</v>
      </c>
      <c r="O291" t="s">
        <v>1469</v>
      </c>
      <c r="P291" s="539">
        <v>6.0400000000000002E-2</v>
      </c>
      <c r="Q291" s="539">
        <v>0.2354</v>
      </c>
      <c r="S291" s="537">
        <f t="shared" si="8"/>
        <v>0</v>
      </c>
      <c r="T291" s="537">
        <f t="shared" si="9"/>
        <v>0</v>
      </c>
    </row>
    <row r="292" spans="1:20" ht="15">
      <c r="A292" s="431">
        <v>286</v>
      </c>
      <c r="B292" s="431">
        <v>281</v>
      </c>
      <c r="C292" s="66" t="s">
        <v>2471</v>
      </c>
      <c r="D292" s="66" t="s">
        <v>654</v>
      </c>
      <c r="E292" s="429" t="s">
        <v>2314</v>
      </c>
      <c r="F292" s="436">
        <v>1.6500000000000001E-2</v>
      </c>
      <c r="G292" s="436">
        <v>0.17050000000000001</v>
      </c>
      <c r="H292" s="436">
        <v>0.15939999999999999</v>
      </c>
      <c r="J292" s="196"/>
      <c r="K292" s="235"/>
      <c r="M292" t="s">
        <v>655</v>
      </c>
      <c r="N292" t="s">
        <v>654</v>
      </c>
      <c r="O292" t="s">
        <v>1470</v>
      </c>
      <c r="P292" s="539">
        <v>1.6500000000000001E-2</v>
      </c>
      <c r="Q292" s="539">
        <v>0.17050000000000001</v>
      </c>
      <c r="S292" s="537">
        <f t="shared" si="8"/>
        <v>0</v>
      </c>
      <c r="T292" s="537">
        <f t="shared" si="9"/>
        <v>0</v>
      </c>
    </row>
    <row r="293" spans="1:20" ht="15">
      <c r="A293" s="431">
        <v>287</v>
      </c>
      <c r="B293" s="431">
        <v>136</v>
      </c>
      <c r="C293" s="66" t="s">
        <v>2470</v>
      </c>
      <c r="D293" s="66" t="s">
        <v>388</v>
      </c>
      <c r="E293" s="429" t="s">
        <v>2183</v>
      </c>
      <c r="F293" s="436">
        <v>5.2200000000000003E-2</v>
      </c>
      <c r="G293" s="436">
        <v>0.27260000000000001</v>
      </c>
      <c r="H293" s="436">
        <v>0.24690000000000001</v>
      </c>
      <c r="J293" s="196"/>
      <c r="K293" s="235"/>
      <c r="M293" t="s">
        <v>389</v>
      </c>
      <c r="N293" t="s">
        <v>388</v>
      </c>
      <c r="O293" t="s">
        <v>1471</v>
      </c>
      <c r="P293" s="539">
        <v>5.2200000000000003E-2</v>
      </c>
      <c r="Q293" s="539">
        <v>0.27260000000000001</v>
      </c>
      <c r="S293" s="537">
        <f t="shared" si="8"/>
        <v>0</v>
      </c>
      <c r="T293" s="537">
        <f t="shared" si="9"/>
        <v>0</v>
      </c>
    </row>
    <row r="294" spans="1:20" ht="15">
      <c r="A294" s="431">
        <v>288</v>
      </c>
      <c r="B294" s="431">
        <v>157</v>
      </c>
      <c r="C294" s="66" t="s">
        <v>2471</v>
      </c>
      <c r="D294" s="66" t="s">
        <v>430</v>
      </c>
      <c r="E294" s="429" t="s">
        <v>2199</v>
      </c>
      <c r="F294" s="436">
        <v>6.7999999999999996E-3</v>
      </c>
      <c r="G294" s="436">
        <v>0.18279999999999999</v>
      </c>
      <c r="H294" s="436">
        <v>0.15740000000000001</v>
      </c>
      <c r="J294" s="196"/>
      <c r="K294" s="235"/>
      <c r="M294" t="s">
        <v>431</v>
      </c>
      <c r="N294" t="s">
        <v>430</v>
      </c>
      <c r="O294" t="s">
        <v>1472</v>
      </c>
      <c r="P294" s="539">
        <v>6.7999999999999996E-3</v>
      </c>
      <c r="Q294" s="539">
        <v>0.18279999999999999</v>
      </c>
      <c r="S294" s="537">
        <f t="shared" si="8"/>
        <v>0</v>
      </c>
      <c r="T294" s="537">
        <f t="shared" si="9"/>
        <v>0</v>
      </c>
    </row>
    <row r="295" spans="1:20" ht="15">
      <c r="A295" s="431">
        <v>289</v>
      </c>
      <c r="B295" s="431">
        <v>184</v>
      </c>
      <c r="C295" s="66" t="s">
        <v>2466</v>
      </c>
      <c r="D295" s="66" t="s">
        <v>484</v>
      </c>
      <c r="E295" s="429" t="s">
        <v>2226</v>
      </c>
      <c r="F295" s="436">
        <v>1.84E-2</v>
      </c>
      <c r="G295" s="436">
        <v>0.17960000000000001</v>
      </c>
      <c r="H295" s="436">
        <v>0.1673</v>
      </c>
      <c r="J295" s="196"/>
      <c r="K295" s="235"/>
      <c r="M295" t="s">
        <v>485</v>
      </c>
      <c r="N295" t="s">
        <v>484</v>
      </c>
      <c r="O295" t="s">
        <v>1473</v>
      </c>
      <c r="P295" s="539">
        <v>1.84E-2</v>
      </c>
      <c r="Q295" s="539">
        <v>0.17960000000000001</v>
      </c>
      <c r="S295" s="537">
        <f t="shared" si="8"/>
        <v>0</v>
      </c>
      <c r="T295" s="537">
        <f t="shared" si="9"/>
        <v>0</v>
      </c>
    </row>
    <row r="296" spans="1:20" ht="15">
      <c r="A296" s="431">
        <v>290</v>
      </c>
      <c r="B296" s="431">
        <v>322</v>
      </c>
      <c r="C296" s="66" t="s">
        <v>2470</v>
      </c>
      <c r="D296" s="66" t="s">
        <v>726</v>
      </c>
      <c r="E296" s="429" t="s">
        <v>2349</v>
      </c>
      <c r="F296" s="436">
        <v>6.2E-2</v>
      </c>
      <c r="G296" s="436">
        <v>0.187</v>
      </c>
      <c r="H296" s="436">
        <v>0.2051</v>
      </c>
      <c r="J296" s="196"/>
      <c r="K296" s="235"/>
      <c r="M296" t="s">
        <v>727</v>
      </c>
      <c r="N296" t="s">
        <v>726</v>
      </c>
      <c r="O296" t="s">
        <v>1474</v>
      </c>
      <c r="P296" s="539">
        <v>6.2E-2</v>
      </c>
      <c r="Q296" s="539">
        <v>0.187</v>
      </c>
      <c r="S296" s="537">
        <f t="shared" si="8"/>
        <v>0</v>
      </c>
      <c r="T296" s="537">
        <f t="shared" si="9"/>
        <v>0</v>
      </c>
    </row>
    <row r="297" spans="1:20" ht="15">
      <c r="A297" s="431">
        <v>291</v>
      </c>
      <c r="B297" s="431">
        <v>288</v>
      </c>
      <c r="C297" s="66" t="s">
        <v>2465</v>
      </c>
      <c r="D297" s="66" t="s">
        <v>664</v>
      </c>
      <c r="E297" s="429" t="s">
        <v>2320</v>
      </c>
      <c r="F297" s="436">
        <v>3.3399999999999999E-2</v>
      </c>
      <c r="G297" s="436">
        <v>0.31490000000000001</v>
      </c>
      <c r="H297" s="436">
        <v>0.29820000000000002</v>
      </c>
      <c r="J297" s="196"/>
      <c r="K297" s="235"/>
      <c r="M297" t="s">
        <v>665</v>
      </c>
      <c r="N297" t="s">
        <v>664</v>
      </c>
      <c r="O297" t="s">
        <v>1475</v>
      </c>
      <c r="P297" s="539">
        <v>3.3399999999999999E-2</v>
      </c>
      <c r="Q297" s="539">
        <v>0.31490000000000001</v>
      </c>
      <c r="S297" s="537">
        <f t="shared" si="8"/>
        <v>0</v>
      </c>
      <c r="T297" s="537">
        <f t="shared" si="9"/>
        <v>0</v>
      </c>
    </row>
    <row r="298" spans="1:20" ht="15">
      <c r="A298" s="431">
        <v>292</v>
      </c>
      <c r="B298" s="431">
        <v>44</v>
      </c>
      <c r="C298" s="66" t="s">
        <v>2469</v>
      </c>
      <c r="D298" s="66" t="s">
        <v>235</v>
      </c>
      <c r="E298" s="429" t="s">
        <v>2372</v>
      </c>
      <c r="F298" s="436">
        <v>1.95E-2</v>
      </c>
      <c r="G298" s="436">
        <v>0.19439999999999999</v>
      </c>
      <c r="H298" s="436">
        <v>0.19550000000000001</v>
      </c>
      <c r="J298" s="196"/>
      <c r="K298" s="235"/>
      <c r="M298" t="s">
        <v>236</v>
      </c>
      <c r="N298" t="s">
        <v>235</v>
      </c>
      <c r="O298" t="s">
        <v>1476</v>
      </c>
      <c r="P298" s="539">
        <v>1.95E-2</v>
      </c>
      <c r="Q298" s="539">
        <v>0.19439999999999999</v>
      </c>
      <c r="S298" s="537">
        <f t="shared" si="8"/>
        <v>0</v>
      </c>
      <c r="T298" s="537">
        <f t="shared" si="9"/>
        <v>0</v>
      </c>
    </row>
    <row r="299" spans="1:20" ht="15">
      <c r="A299" s="431">
        <v>293</v>
      </c>
      <c r="B299" s="431">
        <v>143</v>
      </c>
      <c r="C299" s="66" t="s">
        <v>2469</v>
      </c>
      <c r="D299" s="66" t="s">
        <v>402</v>
      </c>
      <c r="E299" s="429" t="s">
        <v>2377</v>
      </c>
      <c r="F299" s="436">
        <v>3.7699999999999997E-2</v>
      </c>
      <c r="G299" s="436">
        <v>0.2039</v>
      </c>
      <c r="H299" s="436">
        <v>9.5399999999999999E-2</v>
      </c>
      <c r="J299" s="196"/>
      <c r="K299" s="235"/>
      <c r="M299" t="s">
        <v>403</v>
      </c>
      <c r="N299" t="s">
        <v>402</v>
      </c>
      <c r="O299" t="s">
        <v>1477</v>
      </c>
      <c r="P299" s="539">
        <v>3.7699999999999997E-2</v>
      </c>
      <c r="Q299" s="539">
        <v>0.2039</v>
      </c>
      <c r="S299" s="537">
        <f t="shared" si="8"/>
        <v>0</v>
      </c>
      <c r="T299" s="537">
        <f t="shared" si="9"/>
        <v>0</v>
      </c>
    </row>
    <row r="300" spans="1:20" ht="15">
      <c r="A300" s="431">
        <v>294</v>
      </c>
      <c r="B300" s="431">
        <v>106</v>
      </c>
      <c r="C300" s="66" t="s">
        <v>2473</v>
      </c>
      <c r="D300" s="66" t="s">
        <v>356</v>
      </c>
      <c r="E300" s="429" t="s">
        <v>2163</v>
      </c>
      <c r="F300" s="436">
        <v>1.95E-2</v>
      </c>
      <c r="G300" s="436">
        <v>0.16850000000000001</v>
      </c>
      <c r="H300" s="436">
        <v>0.1323</v>
      </c>
      <c r="J300" s="196"/>
      <c r="K300" s="235"/>
      <c r="M300" t="s">
        <v>1197</v>
      </c>
      <c r="N300" t="s">
        <v>356</v>
      </c>
      <c r="O300" t="s">
        <v>1478</v>
      </c>
      <c r="P300" s="539">
        <v>1.95E-2</v>
      </c>
      <c r="Q300" s="539">
        <v>0.16850000000000001</v>
      </c>
      <c r="S300" s="537">
        <f t="shared" si="8"/>
        <v>0</v>
      </c>
      <c r="T300" s="537">
        <f t="shared" si="9"/>
        <v>0</v>
      </c>
    </row>
    <row r="301" spans="1:20" ht="15">
      <c r="A301" s="431">
        <v>295</v>
      </c>
      <c r="B301" s="431">
        <v>276</v>
      </c>
      <c r="C301" s="66" t="s">
        <v>2471</v>
      </c>
      <c r="D301" s="66" t="s">
        <v>644</v>
      </c>
      <c r="E301" s="429" t="s">
        <v>2309</v>
      </c>
      <c r="F301" s="436">
        <v>3.3799999999999997E-2</v>
      </c>
      <c r="G301" s="436">
        <v>0.14080000000000001</v>
      </c>
      <c r="H301" s="436">
        <v>0.13300000000000001</v>
      </c>
      <c r="J301" s="196"/>
      <c r="K301" s="235"/>
      <c r="M301" t="s">
        <v>645</v>
      </c>
      <c r="N301" t="s">
        <v>644</v>
      </c>
      <c r="O301" t="s">
        <v>1479</v>
      </c>
      <c r="P301" s="539">
        <v>3.3799999999999997E-2</v>
      </c>
      <c r="Q301" s="539">
        <v>0.14080000000000001</v>
      </c>
      <c r="S301" s="537">
        <f t="shared" si="8"/>
        <v>0</v>
      </c>
      <c r="T301" s="537">
        <f t="shared" si="9"/>
        <v>0</v>
      </c>
    </row>
    <row r="302" spans="1:20" ht="15">
      <c r="A302" s="431">
        <v>296</v>
      </c>
      <c r="B302" s="431">
        <v>314</v>
      </c>
      <c r="C302" s="66" t="s">
        <v>2470</v>
      </c>
      <c r="D302" s="66" t="s">
        <v>711</v>
      </c>
      <c r="E302" s="429" t="s">
        <v>2341</v>
      </c>
      <c r="F302" s="538">
        <v>2.5600000000000001E-2</v>
      </c>
      <c r="G302" s="436">
        <v>0.2089</v>
      </c>
      <c r="H302" s="436">
        <v>0.2117</v>
      </c>
      <c r="J302" s="196"/>
      <c r="K302" s="235"/>
      <c r="M302" t="s">
        <v>712</v>
      </c>
      <c r="N302" t="s">
        <v>711</v>
      </c>
      <c r="O302" t="s">
        <v>1480</v>
      </c>
      <c r="P302" s="538">
        <v>2.5600000000000001E-2</v>
      </c>
      <c r="Q302" s="539">
        <v>0.2089</v>
      </c>
      <c r="S302" s="537">
        <f t="shared" si="8"/>
        <v>0</v>
      </c>
      <c r="T302" s="537">
        <f t="shared" si="9"/>
        <v>0</v>
      </c>
    </row>
    <row r="303" spans="1:20" ht="15">
      <c r="A303" s="431">
        <v>297</v>
      </c>
      <c r="B303" s="431">
        <v>200</v>
      </c>
      <c r="C303" s="66" t="s">
        <v>2473</v>
      </c>
      <c r="D303" s="66" t="s">
        <v>513</v>
      </c>
      <c r="E303" s="429" t="s">
        <v>2241</v>
      </c>
      <c r="F303" s="436">
        <v>3.8199999999999998E-2</v>
      </c>
      <c r="G303" s="436">
        <v>0.15079999999999999</v>
      </c>
      <c r="H303" s="436">
        <v>0.153</v>
      </c>
      <c r="J303" s="196"/>
      <c r="K303" s="235"/>
      <c r="M303" t="s">
        <v>514</v>
      </c>
      <c r="N303" t="s">
        <v>513</v>
      </c>
      <c r="O303" t="s">
        <v>1481</v>
      </c>
      <c r="P303" s="539">
        <v>3.8199999999999998E-2</v>
      </c>
      <c r="Q303" s="539">
        <v>0.15079999999999999</v>
      </c>
      <c r="S303" s="537">
        <f t="shared" si="8"/>
        <v>0</v>
      </c>
      <c r="T303" s="537">
        <f t="shared" si="9"/>
        <v>0</v>
      </c>
    </row>
    <row r="304" spans="1:20" ht="15">
      <c r="A304" s="431">
        <v>298</v>
      </c>
      <c r="B304" s="431">
        <v>265</v>
      </c>
      <c r="C304" s="66" t="s">
        <v>2464</v>
      </c>
      <c r="D304" s="66" t="s">
        <v>624</v>
      </c>
      <c r="E304" s="429" t="s">
        <v>2298</v>
      </c>
      <c r="F304" s="436">
        <v>7.1300000000000002E-2</v>
      </c>
      <c r="G304" s="436">
        <v>0.22739999999999999</v>
      </c>
      <c r="H304" s="436">
        <v>0.23050000000000001</v>
      </c>
      <c r="J304" s="196"/>
      <c r="K304" s="235"/>
      <c r="M304" t="s">
        <v>625</v>
      </c>
      <c r="N304" t="s">
        <v>624</v>
      </c>
      <c r="O304" t="s">
        <v>1482</v>
      </c>
      <c r="P304" s="539">
        <v>7.1300000000000002E-2</v>
      </c>
      <c r="Q304" s="539">
        <v>0.22739999999999999</v>
      </c>
      <c r="S304" s="537">
        <f t="shared" si="8"/>
        <v>0</v>
      </c>
      <c r="T304" s="537">
        <f t="shared" si="9"/>
        <v>0</v>
      </c>
    </row>
    <row r="305" spans="1:20" ht="15">
      <c r="A305" s="431">
        <v>299</v>
      </c>
      <c r="B305" s="431">
        <v>29</v>
      </c>
      <c r="C305" s="66" t="s">
        <v>2469</v>
      </c>
      <c r="D305" s="66" t="s">
        <v>213</v>
      </c>
      <c r="E305" s="429" t="s">
        <v>2092</v>
      </c>
      <c r="F305" s="436">
        <v>4.3900000000000002E-2</v>
      </c>
      <c r="G305" s="436">
        <v>0.16650000000000001</v>
      </c>
      <c r="H305" s="436">
        <v>0.1527</v>
      </c>
      <c r="J305" s="196"/>
      <c r="K305" s="235"/>
      <c r="M305" t="s">
        <v>214</v>
      </c>
      <c r="N305" t="s">
        <v>213</v>
      </c>
      <c r="O305" t="s">
        <v>1483</v>
      </c>
      <c r="P305" s="539">
        <v>4.3900000000000002E-2</v>
      </c>
      <c r="Q305" s="539">
        <v>0.16650000000000001</v>
      </c>
      <c r="S305" s="537">
        <f t="shared" si="8"/>
        <v>0</v>
      </c>
      <c r="T305" s="537">
        <f t="shared" si="9"/>
        <v>0</v>
      </c>
    </row>
    <row r="306" spans="1:20" ht="15">
      <c r="A306" s="431">
        <v>300</v>
      </c>
      <c r="B306" s="431">
        <v>102</v>
      </c>
      <c r="C306" s="66" t="s">
        <v>2473</v>
      </c>
      <c r="D306" s="66" t="s">
        <v>348</v>
      </c>
      <c r="E306" s="429" t="s">
        <v>2159</v>
      </c>
      <c r="F306" s="436">
        <v>2.53E-2</v>
      </c>
      <c r="G306" s="436">
        <v>0.22850000000000001</v>
      </c>
      <c r="H306" s="436">
        <v>0.2555</v>
      </c>
      <c r="J306" s="196"/>
      <c r="K306" s="235"/>
      <c r="M306" t="s">
        <v>349</v>
      </c>
      <c r="N306" t="s">
        <v>348</v>
      </c>
      <c r="O306" t="s">
        <v>1484</v>
      </c>
      <c r="P306" s="539">
        <v>2.53E-2</v>
      </c>
      <c r="Q306" s="539">
        <v>0.22850000000000001</v>
      </c>
      <c r="S306" s="537">
        <f t="shared" si="8"/>
        <v>0</v>
      </c>
      <c r="T306" s="537">
        <f t="shared" si="9"/>
        <v>0</v>
      </c>
    </row>
    <row r="307" spans="1:20" ht="15">
      <c r="A307" s="431">
        <v>301</v>
      </c>
      <c r="B307" s="431">
        <v>283</v>
      </c>
      <c r="C307" s="66" t="s">
        <v>2467</v>
      </c>
      <c r="D307" s="66" t="s">
        <v>1547</v>
      </c>
      <c r="E307" s="429" t="s">
        <v>2315</v>
      </c>
      <c r="F307" s="436">
        <v>3.5000000000000003E-2</v>
      </c>
      <c r="G307" s="436">
        <v>0.14979999999999999</v>
      </c>
      <c r="H307" s="436">
        <v>0.1464</v>
      </c>
      <c r="J307" s="196"/>
      <c r="K307" s="235"/>
      <c r="M307" t="s">
        <v>1546</v>
      </c>
      <c r="N307" t="s">
        <v>1547</v>
      </c>
      <c r="O307" t="s">
        <v>2566</v>
      </c>
      <c r="P307" s="539">
        <v>3.5000000000000003E-2</v>
      </c>
      <c r="Q307" s="539">
        <v>0.14979999999999999</v>
      </c>
      <c r="S307" s="537">
        <f t="shared" si="8"/>
        <v>0</v>
      </c>
      <c r="T307" s="537">
        <f t="shared" si="9"/>
        <v>0</v>
      </c>
    </row>
    <row r="308" spans="1:20" ht="15">
      <c r="A308" s="431">
        <v>302</v>
      </c>
      <c r="B308" s="431">
        <v>284</v>
      </c>
      <c r="C308" s="66" t="s">
        <v>2469</v>
      </c>
      <c r="D308" s="66" t="s">
        <v>656</v>
      </c>
      <c r="E308" s="429" t="s">
        <v>2316</v>
      </c>
      <c r="F308" s="436">
        <v>0.112</v>
      </c>
      <c r="G308" s="436">
        <v>0.43559999999999999</v>
      </c>
      <c r="H308" s="436">
        <v>0.35010000000000002</v>
      </c>
      <c r="J308" s="196"/>
      <c r="K308" s="235"/>
      <c r="M308" t="s">
        <v>657</v>
      </c>
      <c r="N308" t="s">
        <v>656</v>
      </c>
      <c r="O308" t="s">
        <v>1485</v>
      </c>
      <c r="P308" s="539">
        <v>0.112</v>
      </c>
      <c r="Q308" s="539">
        <v>0.43559999999999999</v>
      </c>
      <c r="S308" s="537">
        <f t="shared" si="8"/>
        <v>0</v>
      </c>
      <c r="T308" s="537">
        <f t="shared" si="9"/>
        <v>0</v>
      </c>
    </row>
    <row r="309" spans="1:20" ht="15">
      <c r="A309" s="431">
        <v>303</v>
      </c>
      <c r="B309" s="431">
        <v>66</v>
      </c>
      <c r="C309" s="66" t="s">
        <v>2470</v>
      </c>
      <c r="D309" s="66" t="s">
        <v>277</v>
      </c>
      <c r="E309" s="429" t="s">
        <v>2123</v>
      </c>
      <c r="F309" s="436">
        <v>3.7999999999999999E-2</v>
      </c>
      <c r="G309" s="436">
        <v>0.14180000000000001</v>
      </c>
      <c r="H309" s="436">
        <v>0.12670000000000001</v>
      </c>
      <c r="J309" s="196"/>
      <c r="K309" s="235"/>
      <c r="M309" t="s">
        <v>278</v>
      </c>
      <c r="N309" t="s">
        <v>277</v>
      </c>
      <c r="O309" t="s">
        <v>1486</v>
      </c>
      <c r="P309" s="539">
        <v>3.7999999999999999E-2</v>
      </c>
      <c r="Q309" s="539">
        <v>0.14180000000000001</v>
      </c>
      <c r="S309" s="537">
        <f t="shared" si="8"/>
        <v>0</v>
      </c>
      <c r="T309" s="537">
        <f t="shared" si="9"/>
        <v>0</v>
      </c>
    </row>
    <row r="310" spans="1:20" ht="15">
      <c r="A310" s="431">
        <v>304</v>
      </c>
      <c r="B310" s="431">
        <v>290</v>
      </c>
      <c r="C310" s="66" t="s">
        <v>2465</v>
      </c>
      <c r="D310" s="66" t="s">
        <v>667</v>
      </c>
      <c r="E310" s="429" t="s">
        <v>2322</v>
      </c>
      <c r="F310" s="436">
        <v>6.5299999999999997E-2</v>
      </c>
      <c r="G310" s="436">
        <v>0.29049999999999998</v>
      </c>
      <c r="H310" s="436">
        <v>0.2001</v>
      </c>
      <c r="J310" s="196"/>
      <c r="K310" s="235"/>
      <c r="M310" t="s">
        <v>668</v>
      </c>
      <c r="N310" t="s">
        <v>667</v>
      </c>
      <c r="O310" t="s">
        <v>1487</v>
      </c>
      <c r="P310" s="539">
        <v>6.5299999999999997E-2</v>
      </c>
      <c r="Q310" s="539">
        <v>0.29049999999999998</v>
      </c>
      <c r="S310" s="537">
        <f t="shared" si="8"/>
        <v>0</v>
      </c>
      <c r="T310" s="537">
        <f t="shared" si="9"/>
        <v>0</v>
      </c>
    </row>
    <row r="311" spans="1:20" ht="15">
      <c r="A311" s="431">
        <v>305</v>
      </c>
      <c r="B311" s="431">
        <v>286</v>
      </c>
      <c r="C311" s="66" t="s">
        <v>2465</v>
      </c>
      <c r="D311" s="66" t="s">
        <v>660</v>
      </c>
      <c r="E311" s="429" t="s">
        <v>2318</v>
      </c>
      <c r="F311" s="436">
        <v>4.3499999999999997E-2</v>
      </c>
      <c r="G311" s="436">
        <v>0.1913</v>
      </c>
      <c r="H311" s="436">
        <v>0.19259999999999999</v>
      </c>
      <c r="J311" s="196"/>
      <c r="K311" s="235"/>
      <c r="M311" t="s">
        <v>661</v>
      </c>
      <c r="N311" t="s">
        <v>660</v>
      </c>
      <c r="O311" t="s">
        <v>2567</v>
      </c>
      <c r="P311" s="539">
        <v>4.3499999999999997E-2</v>
      </c>
      <c r="Q311" s="539">
        <v>0.1913</v>
      </c>
      <c r="S311" s="537">
        <f t="shared" si="8"/>
        <v>0</v>
      </c>
      <c r="T311" s="537">
        <f t="shared" si="9"/>
        <v>0</v>
      </c>
    </row>
    <row r="312" spans="1:20" ht="15">
      <c r="A312" s="431">
        <v>306</v>
      </c>
      <c r="B312" s="431">
        <v>326</v>
      </c>
      <c r="C312" s="66" t="s">
        <v>2470</v>
      </c>
      <c r="D312" s="66" t="s">
        <v>734</v>
      </c>
      <c r="E312" s="429" t="s">
        <v>2353</v>
      </c>
      <c r="F312" s="436">
        <v>3.3500000000000002E-2</v>
      </c>
      <c r="G312" s="436">
        <v>0.19239999999999999</v>
      </c>
      <c r="H312" s="436">
        <v>0.12770000000000001</v>
      </c>
      <c r="J312" s="196"/>
      <c r="K312" s="235"/>
      <c r="M312" t="s">
        <v>735</v>
      </c>
      <c r="N312" t="s">
        <v>734</v>
      </c>
      <c r="O312" t="s">
        <v>1489</v>
      </c>
      <c r="P312" s="539">
        <v>3.3500000000000002E-2</v>
      </c>
      <c r="Q312" s="539">
        <v>0.19239999999999999</v>
      </c>
      <c r="S312" s="537">
        <f t="shared" si="8"/>
        <v>0</v>
      </c>
      <c r="T312" s="537">
        <f t="shared" si="9"/>
        <v>0</v>
      </c>
    </row>
    <row r="313" spans="1:20" ht="15">
      <c r="A313" s="431">
        <v>307</v>
      </c>
      <c r="B313" s="431">
        <v>68</v>
      </c>
      <c r="C313" s="66" t="s">
        <v>2466</v>
      </c>
      <c r="D313" s="66" t="s">
        <v>281</v>
      </c>
      <c r="E313" s="429" t="s">
        <v>2125</v>
      </c>
      <c r="F313" s="436">
        <v>3.8100000000000002E-2</v>
      </c>
      <c r="G313" s="436">
        <v>0.1573</v>
      </c>
      <c r="H313" s="436">
        <v>0.1729</v>
      </c>
      <c r="J313" s="196"/>
      <c r="K313" s="235"/>
      <c r="M313" t="s">
        <v>282</v>
      </c>
      <c r="N313" t="s">
        <v>281</v>
      </c>
      <c r="O313" t="s">
        <v>1490</v>
      </c>
      <c r="P313" s="539">
        <v>3.8100000000000002E-2</v>
      </c>
      <c r="Q313" s="539">
        <v>0.1573</v>
      </c>
      <c r="S313" s="537">
        <f t="shared" si="8"/>
        <v>0</v>
      </c>
      <c r="T313" s="537">
        <f t="shared" si="9"/>
        <v>0</v>
      </c>
    </row>
    <row r="314" spans="1:20" ht="15">
      <c r="A314" s="431">
        <v>308</v>
      </c>
      <c r="B314" s="431">
        <v>33</v>
      </c>
      <c r="C314" s="66" t="s">
        <v>2469</v>
      </c>
      <c r="D314" s="66" t="s">
        <v>220</v>
      </c>
      <c r="E314" s="429" t="s">
        <v>2096</v>
      </c>
      <c r="F314" s="436">
        <v>2.2599999999999999E-2</v>
      </c>
      <c r="G314" s="436">
        <v>0.17460000000000001</v>
      </c>
      <c r="H314" s="436">
        <v>0.1714</v>
      </c>
      <c r="J314" s="196"/>
      <c r="K314" s="235"/>
      <c r="M314" t="s">
        <v>221</v>
      </c>
      <c r="N314" t="s">
        <v>220</v>
      </c>
      <c r="O314" t="s">
        <v>1491</v>
      </c>
      <c r="P314" s="539">
        <v>2.2599999999999999E-2</v>
      </c>
      <c r="Q314" s="539">
        <v>0.17460000000000001</v>
      </c>
      <c r="S314" s="537">
        <f t="shared" si="8"/>
        <v>0</v>
      </c>
      <c r="T314" s="537">
        <f t="shared" si="9"/>
        <v>0</v>
      </c>
    </row>
    <row r="315" spans="1:20" ht="15">
      <c r="A315" s="431">
        <v>309</v>
      </c>
      <c r="B315" s="431">
        <v>1</v>
      </c>
      <c r="C315" s="66" t="s">
        <v>2464</v>
      </c>
      <c r="D315" s="66" t="s">
        <v>163</v>
      </c>
      <c r="E315" s="429" t="s">
        <v>2068</v>
      </c>
      <c r="F315" s="436">
        <v>4.2900000000000001E-2</v>
      </c>
      <c r="G315" s="436">
        <v>0.28170000000000001</v>
      </c>
      <c r="H315" s="436">
        <v>0.27429999999999999</v>
      </c>
      <c r="J315" s="196"/>
      <c r="K315" s="235"/>
      <c r="M315" t="s">
        <v>164</v>
      </c>
      <c r="N315" t="s">
        <v>163</v>
      </c>
      <c r="O315" t="s">
        <v>1492</v>
      </c>
      <c r="P315" s="539">
        <v>4.2900000000000001E-2</v>
      </c>
      <c r="Q315" s="539">
        <v>0.28170000000000001</v>
      </c>
      <c r="S315" s="537">
        <f t="shared" si="8"/>
        <v>0</v>
      </c>
      <c r="T315" s="537">
        <f t="shared" si="9"/>
        <v>0</v>
      </c>
    </row>
    <row r="316" spans="1:20" ht="15">
      <c r="A316" s="431">
        <v>310</v>
      </c>
      <c r="B316" s="431">
        <v>54</v>
      </c>
      <c r="C316" s="66" t="s">
        <v>2466</v>
      </c>
      <c r="D316" s="66" t="s">
        <v>255</v>
      </c>
      <c r="E316" s="429" t="s">
        <v>2113</v>
      </c>
      <c r="F316" s="436">
        <v>7.5899999999999995E-2</v>
      </c>
      <c r="G316" s="436">
        <v>0.28549999999999998</v>
      </c>
      <c r="H316" s="436">
        <v>0.25009999999999999</v>
      </c>
      <c r="J316" s="196"/>
      <c r="K316" s="235"/>
      <c r="M316" t="s">
        <v>256</v>
      </c>
      <c r="N316" t="s">
        <v>255</v>
      </c>
      <c r="O316" t="s">
        <v>1493</v>
      </c>
      <c r="P316" s="539">
        <v>7.5899999999999995E-2</v>
      </c>
      <c r="Q316" s="539">
        <v>0.28549999999999998</v>
      </c>
      <c r="S316" s="537">
        <f t="shared" si="8"/>
        <v>0</v>
      </c>
      <c r="T316" s="537">
        <f t="shared" si="9"/>
        <v>0</v>
      </c>
    </row>
    <row r="317" spans="1:20" ht="15">
      <c r="A317" s="431">
        <v>311</v>
      </c>
      <c r="B317" s="431">
        <v>264</v>
      </c>
      <c r="C317" s="66" t="s">
        <v>2464</v>
      </c>
      <c r="D317" s="66" t="s">
        <v>622</v>
      </c>
      <c r="E317" s="429" t="s">
        <v>2297</v>
      </c>
      <c r="F317" s="436">
        <v>6.9800000000000001E-2</v>
      </c>
      <c r="G317" s="436">
        <v>0.34229999999999999</v>
      </c>
      <c r="H317" s="436">
        <v>0.35049999999999998</v>
      </c>
      <c r="J317" s="196"/>
      <c r="K317" s="235"/>
      <c r="M317" t="s">
        <v>623</v>
      </c>
      <c r="N317" t="s">
        <v>622</v>
      </c>
      <c r="O317" t="s">
        <v>1494</v>
      </c>
      <c r="P317" s="539">
        <v>6.9800000000000001E-2</v>
      </c>
      <c r="Q317" s="539">
        <v>0.34229999999999999</v>
      </c>
      <c r="S317" s="537">
        <f t="shared" si="8"/>
        <v>0</v>
      </c>
      <c r="T317" s="537">
        <f t="shared" si="9"/>
        <v>0</v>
      </c>
    </row>
    <row r="318" spans="1:20" ht="15">
      <c r="A318" s="431">
        <v>312</v>
      </c>
      <c r="B318" s="431">
        <v>20</v>
      </c>
      <c r="C318" s="66" t="s">
        <v>2466</v>
      </c>
      <c r="D318" s="66" t="s">
        <v>201</v>
      </c>
      <c r="E318" s="429" t="s">
        <v>2085</v>
      </c>
      <c r="F318" s="436">
        <v>3.1600000000000003E-2</v>
      </c>
      <c r="G318" s="436">
        <v>0.1231</v>
      </c>
      <c r="H318" s="436">
        <v>0.1244</v>
      </c>
      <c r="J318" s="196"/>
      <c r="K318" s="235"/>
      <c r="M318" t="s">
        <v>202</v>
      </c>
      <c r="N318" t="s">
        <v>201</v>
      </c>
      <c r="O318" t="s">
        <v>1495</v>
      </c>
      <c r="P318" s="539">
        <v>3.1600000000000003E-2</v>
      </c>
      <c r="Q318" s="539">
        <v>0.1231</v>
      </c>
      <c r="S318" s="537">
        <f t="shared" si="8"/>
        <v>0</v>
      </c>
      <c r="T318" s="537">
        <f t="shared" si="9"/>
        <v>0</v>
      </c>
    </row>
    <row r="319" spans="1:20" ht="15">
      <c r="A319" s="431">
        <v>313</v>
      </c>
      <c r="B319" s="431">
        <v>255</v>
      </c>
      <c r="C319" s="66" t="s">
        <v>2464</v>
      </c>
      <c r="D319" s="66" t="s">
        <v>613</v>
      </c>
      <c r="E319" s="429" t="s">
        <v>2290</v>
      </c>
      <c r="F319" s="436">
        <v>4.7399999999999998E-2</v>
      </c>
      <c r="G319" s="436">
        <v>0.1925</v>
      </c>
      <c r="H319" s="436">
        <v>0.18709999999999999</v>
      </c>
      <c r="J319" s="196"/>
      <c r="K319" s="235"/>
      <c r="M319" t="s">
        <v>803</v>
      </c>
      <c r="N319" t="s">
        <v>613</v>
      </c>
      <c r="O319" t="s">
        <v>2568</v>
      </c>
      <c r="P319" s="539">
        <v>4.7399999999999998E-2</v>
      </c>
      <c r="Q319" s="539">
        <v>0.1925</v>
      </c>
      <c r="S319" s="537">
        <f t="shared" si="8"/>
        <v>0</v>
      </c>
      <c r="T319" s="537">
        <f t="shared" si="9"/>
        <v>0</v>
      </c>
    </row>
    <row r="320" spans="1:20" ht="15">
      <c r="A320" s="431">
        <v>314</v>
      </c>
      <c r="B320" s="431">
        <v>327</v>
      </c>
      <c r="C320" s="66" t="s">
        <v>2470</v>
      </c>
      <c r="D320" s="66" t="s">
        <v>736</v>
      </c>
      <c r="E320" s="429" t="s">
        <v>2354</v>
      </c>
      <c r="F320" s="436">
        <v>6.2300000000000001E-2</v>
      </c>
      <c r="G320" s="436">
        <v>0.18890000000000001</v>
      </c>
      <c r="H320" s="436">
        <v>0.1903</v>
      </c>
      <c r="J320" s="196"/>
      <c r="K320" s="235"/>
      <c r="M320" t="s">
        <v>808</v>
      </c>
      <c r="N320" t="s">
        <v>736</v>
      </c>
      <c r="O320" t="s">
        <v>2569</v>
      </c>
      <c r="P320" s="539">
        <v>6.2300000000000001E-2</v>
      </c>
      <c r="Q320" s="539">
        <v>0.18890000000000001</v>
      </c>
      <c r="S320" s="537">
        <f t="shared" si="8"/>
        <v>0</v>
      </c>
      <c r="T320" s="537">
        <f t="shared" si="9"/>
        <v>0</v>
      </c>
    </row>
    <row r="321" spans="1:20" ht="15">
      <c r="A321" s="431">
        <v>315</v>
      </c>
      <c r="B321" s="431">
        <v>299</v>
      </c>
      <c r="C321" s="66" t="s">
        <v>2467</v>
      </c>
      <c r="D321" s="66" t="s">
        <v>1692</v>
      </c>
      <c r="E321" s="429" t="s">
        <v>2494</v>
      </c>
      <c r="F321" s="436">
        <v>3.5000000000000003E-2</v>
      </c>
      <c r="G321" s="436">
        <v>0.14979999999999999</v>
      </c>
      <c r="H321" s="436">
        <v>0.1464</v>
      </c>
      <c r="J321" s="196"/>
      <c r="K321" s="235"/>
      <c r="M321" t="s">
        <v>1695</v>
      </c>
      <c r="N321" t="s">
        <v>1692</v>
      </c>
      <c r="O321" t="s">
        <v>1711</v>
      </c>
      <c r="P321" s="539">
        <v>3.5000000000000003E-2</v>
      </c>
      <c r="Q321" s="539">
        <v>0.14979999999999999</v>
      </c>
      <c r="S321" s="537">
        <f t="shared" si="8"/>
        <v>0</v>
      </c>
      <c r="T321" s="537">
        <f t="shared" si="9"/>
        <v>0</v>
      </c>
    </row>
    <row r="322" spans="1:20" ht="15">
      <c r="A322" s="431">
        <v>316</v>
      </c>
      <c r="B322" s="431">
        <v>161</v>
      </c>
      <c r="C322" s="66" t="s">
        <v>2471</v>
      </c>
      <c r="D322" s="66" t="s">
        <v>438</v>
      </c>
      <c r="E322" s="429" t="s">
        <v>2203</v>
      </c>
      <c r="F322" s="436">
        <v>6.9000000000000006E-2</v>
      </c>
      <c r="G322" s="436">
        <v>0.21679999999999999</v>
      </c>
      <c r="H322" s="436">
        <v>0.26040000000000002</v>
      </c>
      <c r="J322" s="196"/>
      <c r="K322" s="235"/>
      <c r="M322" t="s">
        <v>439</v>
      </c>
      <c r="N322" t="s">
        <v>438</v>
      </c>
      <c r="O322" t="s">
        <v>1498</v>
      </c>
      <c r="P322" s="539">
        <v>6.9000000000000006E-2</v>
      </c>
      <c r="Q322" s="539">
        <v>0.21679999999999999</v>
      </c>
      <c r="S322" s="537">
        <f t="shared" si="8"/>
        <v>0</v>
      </c>
      <c r="T322" s="537">
        <f t="shared" si="9"/>
        <v>0</v>
      </c>
    </row>
    <row r="323" spans="1:20" ht="15">
      <c r="A323" s="431">
        <v>317</v>
      </c>
      <c r="B323" s="431">
        <v>209</v>
      </c>
      <c r="C323" s="66" t="s">
        <v>2473</v>
      </c>
      <c r="D323" s="66" t="s">
        <v>531</v>
      </c>
      <c r="E323" s="429" t="s">
        <v>2250</v>
      </c>
      <c r="F323" s="436">
        <v>4.4499999999999998E-2</v>
      </c>
      <c r="G323" s="436">
        <v>0.15890000000000001</v>
      </c>
      <c r="H323" s="436">
        <v>0.15720000000000001</v>
      </c>
      <c r="J323" s="196"/>
      <c r="K323" s="235"/>
      <c r="M323" t="s">
        <v>532</v>
      </c>
      <c r="N323" t="s">
        <v>531</v>
      </c>
      <c r="O323" t="s">
        <v>1499</v>
      </c>
      <c r="P323" s="539">
        <v>4.4499999999999998E-2</v>
      </c>
      <c r="Q323" s="539">
        <v>0.15890000000000001</v>
      </c>
      <c r="S323" s="537">
        <f t="shared" si="8"/>
        <v>0</v>
      </c>
      <c r="T323" s="537">
        <f t="shared" si="9"/>
        <v>0</v>
      </c>
    </row>
    <row r="324" spans="1:20" ht="15">
      <c r="A324" s="431">
        <v>318</v>
      </c>
      <c r="B324" s="431">
        <v>148</v>
      </c>
      <c r="C324" s="66" t="s">
        <v>2469</v>
      </c>
      <c r="D324" s="66" t="s">
        <v>412</v>
      </c>
      <c r="E324" s="429" t="s">
        <v>2192</v>
      </c>
      <c r="F324" s="436">
        <v>3.61E-2</v>
      </c>
      <c r="G324" s="436">
        <v>0.1852</v>
      </c>
      <c r="H324" s="436">
        <v>0.20930000000000001</v>
      </c>
      <c r="J324" s="196"/>
      <c r="K324" s="235"/>
      <c r="M324" t="s">
        <v>413</v>
      </c>
      <c r="N324" t="s">
        <v>412</v>
      </c>
      <c r="O324" t="s">
        <v>2570</v>
      </c>
      <c r="P324" s="539">
        <v>3.61E-2</v>
      </c>
      <c r="Q324" s="539">
        <v>0.1852</v>
      </c>
      <c r="S324" s="537">
        <f t="shared" si="8"/>
        <v>0</v>
      </c>
      <c r="T324" s="537">
        <f t="shared" si="9"/>
        <v>0</v>
      </c>
    </row>
    <row r="325" spans="1:20" ht="15">
      <c r="A325" s="431">
        <v>319</v>
      </c>
      <c r="B325" s="431">
        <v>124</v>
      </c>
      <c r="C325" s="66" t="s">
        <v>2467</v>
      </c>
      <c r="D325" s="66" t="s">
        <v>1696</v>
      </c>
      <c r="E325" s="429" t="s">
        <v>2175</v>
      </c>
      <c r="F325" s="436">
        <v>3.5000000000000003E-2</v>
      </c>
      <c r="G325" s="436">
        <v>0.14979999999999999</v>
      </c>
      <c r="H325" s="436">
        <v>0.1464</v>
      </c>
      <c r="J325" s="196"/>
      <c r="K325" s="235"/>
      <c r="M325" t="s">
        <v>1697</v>
      </c>
      <c r="N325" t="s">
        <v>1696</v>
      </c>
      <c r="O325" t="s">
        <v>1707</v>
      </c>
      <c r="P325" s="539">
        <v>3.5000000000000003E-2</v>
      </c>
      <c r="Q325" s="539">
        <v>0.14979999999999999</v>
      </c>
      <c r="S325" s="537">
        <f t="shared" si="8"/>
        <v>0</v>
      </c>
      <c r="T325" s="537">
        <f t="shared" si="9"/>
        <v>0</v>
      </c>
    </row>
    <row r="326" spans="1:20" ht="15">
      <c r="A326" s="431">
        <v>320</v>
      </c>
      <c r="B326" s="431">
        <v>168</v>
      </c>
      <c r="C326" s="66" t="s">
        <v>2464</v>
      </c>
      <c r="D326" s="66" t="s">
        <v>452</v>
      </c>
      <c r="E326" s="429" t="s">
        <v>2210</v>
      </c>
      <c r="F326" s="436">
        <v>2.7900000000000001E-2</v>
      </c>
      <c r="G326" s="436">
        <v>0.27300000000000002</v>
      </c>
      <c r="H326" s="436">
        <v>0.27179999999999999</v>
      </c>
      <c r="J326" s="196"/>
      <c r="K326" s="235"/>
      <c r="M326" t="s">
        <v>453</v>
      </c>
      <c r="N326" t="s">
        <v>452</v>
      </c>
      <c r="O326" t="s">
        <v>1501</v>
      </c>
      <c r="P326" s="539">
        <v>2.7900000000000001E-2</v>
      </c>
      <c r="Q326" s="539">
        <v>0.27300000000000002</v>
      </c>
      <c r="S326" s="537">
        <f t="shared" si="8"/>
        <v>0</v>
      </c>
      <c r="T326" s="537">
        <f t="shared" si="9"/>
        <v>0</v>
      </c>
    </row>
    <row r="327" spans="1:20" ht="15">
      <c r="A327" s="431">
        <v>321</v>
      </c>
      <c r="B327" s="431">
        <v>191</v>
      </c>
      <c r="C327" s="66" t="s">
        <v>2471</v>
      </c>
      <c r="D327" s="66" t="s">
        <v>495</v>
      </c>
      <c r="E327" s="429" t="s">
        <v>2232</v>
      </c>
      <c r="F327" s="436">
        <v>3.39E-2</v>
      </c>
      <c r="G327" s="436">
        <v>0.17119999999999999</v>
      </c>
      <c r="H327" s="436">
        <v>0.15939999999999999</v>
      </c>
      <c r="J327" s="196"/>
      <c r="K327" s="235"/>
      <c r="M327" t="s">
        <v>496</v>
      </c>
      <c r="N327" t="s">
        <v>495</v>
      </c>
      <c r="O327" t="s">
        <v>1502</v>
      </c>
      <c r="P327" s="539">
        <v>3.39E-2</v>
      </c>
      <c r="Q327" s="539">
        <v>0.17119999999999999</v>
      </c>
      <c r="S327" s="537">
        <f t="shared" si="8"/>
        <v>0</v>
      </c>
      <c r="T327" s="537">
        <f t="shared" si="9"/>
        <v>0</v>
      </c>
    </row>
    <row r="328" spans="1:20" ht="15">
      <c r="A328" s="431">
        <v>322</v>
      </c>
      <c r="B328" s="431">
        <v>74</v>
      </c>
      <c r="C328" s="66" t="s">
        <v>2466</v>
      </c>
      <c r="D328" s="66" t="s">
        <v>293</v>
      </c>
      <c r="E328" s="429" t="s">
        <v>2131</v>
      </c>
      <c r="F328" s="436">
        <v>2.0199999999999999E-2</v>
      </c>
      <c r="G328" s="436">
        <v>0.2601</v>
      </c>
      <c r="H328" s="436">
        <v>0.1638</v>
      </c>
      <c r="J328" s="196"/>
      <c r="K328" s="235"/>
      <c r="M328" t="s">
        <v>294</v>
      </c>
      <c r="N328" t="s">
        <v>293</v>
      </c>
      <c r="O328" t="s">
        <v>1503</v>
      </c>
      <c r="P328" s="539">
        <v>2.0199999999999999E-2</v>
      </c>
      <c r="Q328" s="539">
        <v>0.2601</v>
      </c>
      <c r="S328" s="537">
        <f t="shared" ref="S328:S336" si="10">+F328-P328</f>
        <v>0</v>
      </c>
      <c r="T328" s="537">
        <f t="shared" ref="T328:T336" si="11">+G328-Q328</f>
        <v>0</v>
      </c>
    </row>
    <row r="329" spans="1:20" ht="15">
      <c r="A329" s="431">
        <v>323</v>
      </c>
      <c r="B329" s="431">
        <v>155</v>
      </c>
      <c r="C329" s="66" t="s">
        <v>2471</v>
      </c>
      <c r="D329" s="66" t="s">
        <v>426</v>
      </c>
      <c r="E329" s="429" t="s">
        <v>2197</v>
      </c>
      <c r="F329" s="436">
        <v>6.3799999999999996E-2</v>
      </c>
      <c r="G329" s="436">
        <v>0.1467</v>
      </c>
      <c r="H329" s="436">
        <v>7.4899999999999994E-2</v>
      </c>
      <c r="J329" s="196"/>
      <c r="K329" s="235"/>
      <c r="M329" t="s">
        <v>427</v>
      </c>
      <c r="N329" t="s">
        <v>426</v>
      </c>
      <c r="O329" t="s">
        <v>1504</v>
      </c>
      <c r="P329" s="539">
        <v>6.3799999999999996E-2</v>
      </c>
      <c r="Q329" s="539">
        <v>0.1467</v>
      </c>
      <c r="S329" s="537">
        <f t="shared" si="10"/>
        <v>0</v>
      </c>
      <c r="T329" s="537">
        <f t="shared" si="11"/>
        <v>0</v>
      </c>
    </row>
    <row r="330" spans="1:20" ht="15">
      <c r="A330" s="431">
        <v>324</v>
      </c>
      <c r="B330" s="431">
        <v>86</v>
      </c>
      <c r="C330" s="66" t="s">
        <v>2471</v>
      </c>
      <c r="D330" s="66" t="s">
        <v>316</v>
      </c>
      <c r="E330" s="429" t="s">
        <v>2143</v>
      </c>
      <c r="F330" s="436">
        <v>7.8899999999999998E-2</v>
      </c>
      <c r="G330" s="436">
        <v>0.26469999999999999</v>
      </c>
      <c r="H330" s="436">
        <v>0.22739999999999999</v>
      </c>
      <c r="J330" s="196"/>
      <c r="K330" s="235"/>
      <c r="M330" t="s">
        <v>317</v>
      </c>
      <c r="N330" t="s">
        <v>316</v>
      </c>
      <c r="O330" t="s">
        <v>1505</v>
      </c>
      <c r="P330" s="539">
        <v>7.8899999999999998E-2</v>
      </c>
      <c r="Q330" s="539">
        <v>0.26469999999999999</v>
      </c>
      <c r="S330" s="537">
        <f t="shared" si="10"/>
        <v>0</v>
      </c>
      <c r="T330" s="537">
        <f t="shared" si="11"/>
        <v>0</v>
      </c>
    </row>
    <row r="331" spans="1:20" ht="15">
      <c r="A331" s="431">
        <v>325</v>
      </c>
      <c r="B331" s="431">
        <v>140</v>
      </c>
      <c r="C331" s="66" t="s">
        <v>2469</v>
      </c>
      <c r="D331" s="66" t="s">
        <v>396</v>
      </c>
      <c r="E331" s="429" t="s">
        <v>2187</v>
      </c>
      <c r="F331" s="436">
        <v>2.5499999999999998E-2</v>
      </c>
      <c r="G331" s="436">
        <v>0.28499999999999998</v>
      </c>
      <c r="H331" s="436">
        <v>0.22040000000000001</v>
      </c>
      <c r="J331" s="196"/>
      <c r="K331" s="235"/>
      <c r="M331" t="s">
        <v>397</v>
      </c>
      <c r="N331" t="s">
        <v>396</v>
      </c>
      <c r="O331" t="s">
        <v>1506</v>
      </c>
      <c r="P331" s="539">
        <v>2.5499999999999998E-2</v>
      </c>
      <c r="Q331" s="539">
        <v>0.28499999999999998</v>
      </c>
      <c r="S331" s="537">
        <f t="shared" si="10"/>
        <v>0</v>
      </c>
      <c r="T331" s="537">
        <f t="shared" si="11"/>
        <v>0</v>
      </c>
    </row>
    <row r="332" spans="1:20" ht="15">
      <c r="A332" s="431">
        <v>326</v>
      </c>
      <c r="B332" s="431">
        <v>47</v>
      </c>
      <c r="C332" s="66" t="s">
        <v>2469</v>
      </c>
      <c r="D332" s="66" t="s">
        <v>241</v>
      </c>
      <c r="E332" s="429" t="s">
        <v>2106</v>
      </c>
      <c r="F332" s="436">
        <v>9.7000000000000003E-3</v>
      </c>
      <c r="G332" s="436">
        <v>0.15049999999999999</v>
      </c>
      <c r="H332" s="436">
        <v>0.1313</v>
      </c>
      <c r="J332" s="196"/>
      <c r="K332" s="235"/>
      <c r="M332" t="s">
        <v>242</v>
      </c>
      <c r="N332" t="s">
        <v>241</v>
      </c>
      <c r="O332" t="s">
        <v>1507</v>
      </c>
      <c r="P332" s="539">
        <v>9.7000000000000003E-3</v>
      </c>
      <c r="Q332" s="539">
        <v>0.15049999999999999</v>
      </c>
      <c r="S332" s="537">
        <f t="shared" si="10"/>
        <v>0</v>
      </c>
      <c r="T332" s="537">
        <f t="shared" si="11"/>
        <v>0</v>
      </c>
    </row>
    <row r="333" spans="1:20" ht="15">
      <c r="A333" s="431">
        <v>327</v>
      </c>
      <c r="B333" s="431">
        <v>330</v>
      </c>
      <c r="C333" s="66" t="s">
        <v>2467</v>
      </c>
      <c r="D333" s="66" t="s">
        <v>1555</v>
      </c>
      <c r="E333" s="429" t="s">
        <v>2389</v>
      </c>
      <c r="F333" s="436">
        <v>3.5000000000000003E-2</v>
      </c>
      <c r="G333" s="436">
        <v>0.14979999999999999</v>
      </c>
      <c r="H333" s="436">
        <v>0.1464</v>
      </c>
      <c r="J333" s="196"/>
      <c r="K333" s="235"/>
      <c r="M333" t="s">
        <v>1649</v>
      </c>
      <c r="N333" t="s">
        <v>1555</v>
      </c>
      <c r="O333" t="s">
        <v>2571</v>
      </c>
      <c r="P333" s="539">
        <v>3.5000000000000003E-2</v>
      </c>
      <c r="Q333" s="539">
        <v>0.14979999999999999</v>
      </c>
      <c r="S333" s="537">
        <f t="shared" si="10"/>
        <v>0</v>
      </c>
      <c r="T333" s="537">
        <f t="shared" si="11"/>
        <v>0</v>
      </c>
    </row>
    <row r="334" spans="1:20" ht="15">
      <c r="A334" s="431">
        <v>328</v>
      </c>
      <c r="B334" s="431">
        <v>316</v>
      </c>
      <c r="C334" s="66" t="s">
        <v>2470</v>
      </c>
      <c r="D334" s="66" t="s">
        <v>715</v>
      </c>
      <c r="E334" s="429" t="s">
        <v>2343</v>
      </c>
      <c r="F334" s="436">
        <v>2.29E-2</v>
      </c>
      <c r="G334" s="436">
        <v>9.4799999999999995E-2</v>
      </c>
      <c r="H334" s="436">
        <v>5.1900000000000002E-2</v>
      </c>
      <c r="J334" s="196"/>
      <c r="K334" s="235"/>
      <c r="M334" t="s">
        <v>716</v>
      </c>
      <c r="N334" t="s">
        <v>715</v>
      </c>
      <c r="O334" t="s">
        <v>1508</v>
      </c>
      <c r="P334" s="539">
        <v>2.29E-2</v>
      </c>
      <c r="Q334" s="539">
        <v>9.4799999999999995E-2</v>
      </c>
      <c r="S334" s="537">
        <f t="shared" si="10"/>
        <v>0</v>
      </c>
      <c r="T334" s="537">
        <f t="shared" si="11"/>
        <v>0</v>
      </c>
    </row>
    <row r="335" spans="1:20" ht="15">
      <c r="A335" s="431">
        <v>329</v>
      </c>
      <c r="B335" s="431">
        <v>274</v>
      </c>
      <c r="C335" s="66" t="s">
        <v>2471</v>
      </c>
      <c r="D335" s="66" t="s">
        <v>640</v>
      </c>
      <c r="E335" s="429" t="s">
        <v>2307</v>
      </c>
      <c r="F335" s="436">
        <v>3.0099999999999998E-2</v>
      </c>
      <c r="G335" s="436">
        <v>0.14610000000000001</v>
      </c>
      <c r="H335" s="436">
        <v>0.154</v>
      </c>
      <c r="J335" s="196"/>
      <c r="K335" s="235"/>
      <c r="M335" t="s">
        <v>641</v>
      </c>
      <c r="N335" t="s">
        <v>640</v>
      </c>
      <c r="O335" t="s">
        <v>1509</v>
      </c>
      <c r="P335" s="539">
        <v>3.0099999999999998E-2</v>
      </c>
      <c r="Q335" s="539">
        <v>0.14610000000000001</v>
      </c>
      <c r="S335" s="537">
        <f t="shared" si="10"/>
        <v>0</v>
      </c>
      <c r="T335" s="537">
        <f t="shared" si="11"/>
        <v>0</v>
      </c>
    </row>
    <row r="336" spans="1:20" ht="15">
      <c r="A336" s="431">
        <v>330</v>
      </c>
      <c r="B336" s="431">
        <v>325</v>
      </c>
      <c r="C336" s="66" t="s">
        <v>2470</v>
      </c>
      <c r="D336" s="66" t="s">
        <v>732</v>
      </c>
      <c r="E336" s="429" t="s">
        <v>2352</v>
      </c>
      <c r="F336" s="436">
        <v>7.2300000000000003E-2</v>
      </c>
      <c r="G336" s="436">
        <v>0.18479999999999999</v>
      </c>
      <c r="H336" s="436">
        <v>0.18509999999999999</v>
      </c>
      <c r="J336" s="196"/>
      <c r="K336" s="235"/>
      <c r="M336" t="s">
        <v>733</v>
      </c>
      <c r="N336" t="s">
        <v>732</v>
      </c>
      <c r="O336" t="s">
        <v>1510</v>
      </c>
      <c r="P336" s="539">
        <v>7.2300000000000003E-2</v>
      </c>
      <c r="Q336" s="539">
        <v>0.18479999999999999</v>
      </c>
      <c r="S336" s="537">
        <f t="shared" si="10"/>
        <v>0</v>
      </c>
      <c r="T336" s="537">
        <f t="shared" si="11"/>
        <v>0</v>
      </c>
    </row>
    <row r="337" spans="4:11">
      <c r="D337" s="58"/>
      <c r="F337" s="12"/>
      <c r="G337" s="12"/>
      <c r="H337" s="12"/>
      <c r="K337" s="235"/>
    </row>
    <row r="338" spans="4:11">
      <c r="D338" t="s">
        <v>1691</v>
      </c>
      <c r="E338" s="11" t="s">
        <v>2388</v>
      </c>
      <c r="F338" s="440">
        <v>3.7100000000000001E-2</v>
      </c>
      <c r="G338" s="440">
        <v>0.14399999999999999</v>
      </c>
      <c r="H338" s="440">
        <v>0.14119999999999999</v>
      </c>
    </row>
    <row r="339" spans="4:11">
      <c r="D339" s="58"/>
      <c r="F339" s="12"/>
      <c r="G339" s="12"/>
      <c r="H339" s="12"/>
    </row>
    <row r="340" spans="4:11">
      <c r="D340" s="58"/>
      <c r="F340" s="12"/>
      <c r="G340" s="12"/>
      <c r="H340" s="12"/>
    </row>
    <row r="341" spans="4:11">
      <c r="D341" s="58"/>
      <c r="F341" s="12"/>
      <c r="G341" s="12"/>
      <c r="H341" s="12"/>
    </row>
    <row r="342" spans="4:11">
      <c r="D342" s="58"/>
      <c r="F342" s="12"/>
      <c r="G342" s="12"/>
      <c r="H342" s="12"/>
    </row>
    <row r="343" spans="4:11">
      <c r="D343" s="237"/>
      <c r="F343" s="12"/>
      <c r="G343" s="12"/>
      <c r="H343" s="12"/>
    </row>
    <row r="344" spans="4:11">
      <c r="D344" s="58"/>
      <c r="F344" s="12"/>
      <c r="G344" s="12"/>
      <c r="H344" s="12"/>
    </row>
    <row r="345" spans="4:11">
      <c r="D345" s="58"/>
      <c r="F345" s="12"/>
      <c r="G345" s="12"/>
      <c r="H345" s="12"/>
    </row>
    <row r="346" spans="4:11">
      <c r="D346" s="58"/>
      <c r="F346" s="12"/>
      <c r="G346" s="12"/>
      <c r="H346" s="12"/>
    </row>
    <row r="347" spans="4:11">
      <c r="D347" s="66"/>
    </row>
    <row r="348" spans="4:11">
      <c r="D348" s="6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O55"/>
  <sheetViews>
    <sheetView workbookViewId="0">
      <selection activeCell="B2" sqref="B2"/>
    </sheetView>
  </sheetViews>
  <sheetFormatPr defaultRowHeight="14.4"/>
  <cols>
    <col min="1" max="1" width="30.109375" bestFit="1" customWidth="1"/>
    <col min="2" max="2" width="18.33203125" customWidth="1"/>
    <col min="3" max="3" width="14.88671875" bestFit="1" customWidth="1"/>
    <col min="4" max="4" width="14" customWidth="1"/>
    <col min="5" max="5" width="17.44140625" customWidth="1"/>
    <col min="6" max="6" width="14.109375" bestFit="1" customWidth="1"/>
    <col min="7" max="7" width="10.88671875" bestFit="1" customWidth="1"/>
  </cols>
  <sheetData>
    <row r="1" spans="1:15">
      <c r="A1" s="679" t="s">
        <v>36</v>
      </c>
      <c r="B1" s="679"/>
      <c r="C1" s="679"/>
      <c r="D1" s="679"/>
      <c r="E1" s="679"/>
      <c r="F1" s="679"/>
      <c r="G1" s="679"/>
      <c r="I1" s="33"/>
      <c r="J1" s="33"/>
      <c r="K1" s="33"/>
      <c r="L1" s="33"/>
      <c r="M1" s="33"/>
      <c r="N1" s="33"/>
      <c r="O1" s="33"/>
    </row>
    <row r="2" spans="1:15">
      <c r="A2" s="6" t="s">
        <v>37</v>
      </c>
      <c r="I2" s="33"/>
      <c r="J2" s="33"/>
      <c r="K2" s="33"/>
      <c r="L2" s="33"/>
      <c r="M2" s="33"/>
      <c r="N2" s="33"/>
      <c r="O2" s="33"/>
    </row>
    <row r="3" spans="1:15">
      <c r="I3" s="33"/>
      <c r="J3" s="33"/>
      <c r="K3" s="33"/>
      <c r="L3" s="33"/>
      <c r="M3" s="33"/>
      <c r="N3" s="33"/>
      <c r="O3" s="33"/>
    </row>
    <row r="4" spans="1:15" ht="33.75" customHeight="1">
      <c r="B4" s="141" t="s">
        <v>51</v>
      </c>
      <c r="C4" s="141" t="s">
        <v>98</v>
      </c>
      <c r="D4" s="141" t="s">
        <v>99</v>
      </c>
      <c r="E4" s="141" t="s">
        <v>100</v>
      </c>
      <c r="F4" s="141" t="s">
        <v>101</v>
      </c>
      <c r="G4" s="141" t="s">
        <v>102</v>
      </c>
      <c r="I4" s="33"/>
      <c r="J4" s="33"/>
      <c r="K4" s="33"/>
      <c r="L4" s="33"/>
      <c r="M4" s="33"/>
      <c r="N4" s="33"/>
      <c r="O4" s="33"/>
    </row>
    <row r="5" spans="1:15">
      <c r="A5" t="s">
        <v>72</v>
      </c>
      <c r="B5" s="19">
        <f>SUM(B6:B55)</f>
        <v>0</v>
      </c>
      <c r="C5" s="19">
        <f t="shared" ref="C5:G5" si="0">SUM(C6:C55)</f>
        <v>0</v>
      </c>
      <c r="D5" s="19">
        <f t="shared" si="0"/>
        <v>0</v>
      </c>
      <c r="E5" s="19">
        <f t="shared" si="0"/>
        <v>0</v>
      </c>
      <c r="F5" s="19">
        <f t="shared" si="0"/>
        <v>0</v>
      </c>
      <c r="G5" s="19">
        <f t="shared" si="0"/>
        <v>0</v>
      </c>
    </row>
    <row r="6" spans="1:15">
      <c r="A6" s="11" t="s">
        <v>103</v>
      </c>
      <c r="B6" s="147">
        <v>0</v>
      </c>
      <c r="C6" s="147"/>
      <c r="D6" s="147"/>
      <c r="E6" s="147"/>
      <c r="F6" s="147"/>
      <c r="G6" s="147"/>
    </row>
    <row r="7" spans="1:15">
      <c r="A7" s="11" t="s">
        <v>103</v>
      </c>
      <c r="B7" s="147"/>
      <c r="C7" s="147"/>
      <c r="D7" s="147"/>
      <c r="E7" s="147"/>
      <c r="F7" s="147"/>
      <c r="G7" s="147"/>
    </row>
    <row r="8" spans="1:15">
      <c r="A8" s="11" t="s">
        <v>103</v>
      </c>
      <c r="B8" s="147"/>
      <c r="C8" s="147"/>
      <c r="D8" s="147"/>
      <c r="E8" s="147"/>
      <c r="F8" s="147"/>
      <c r="G8" s="147"/>
    </row>
    <row r="9" spans="1:15">
      <c r="A9" s="11" t="s">
        <v>103</v>
      </c>
      <c r="B9" s="147"/>
      <c r="C9" s="147"/>
      <c r="D9" s="147"/>
      <c r="E9" s="147"/>
      <c r="F9" s="147"/>
      <c r="G9" s="147"/>
    </row>
    <row r="10" spans="1:15">
      <c r="A10" s="11" t="s">
        <v>103</v>
      </c>
      <c r="B10" s="147"/>
      <c r="C10" s="147"/>
      <c r="D10" s="147"/>
      <c r="E10" s="147"/>
      <c r="F10" s="147"/>
      <c r="G10" s="147"/>
    </row>
    <row r="11" spans="1:15">
      <c r="A11" s="11" t="s">
        <v>103</v>
      </c>
      <c r="B11" s="147"/>
      <c r="C11" s="147"/>
      <c r="D11" s="147"/>
      <c r="E11" s="147"/>
      <c r="F11" s="147"/>
      <c r="G11" s="147"/>
    </row>
    <row r="12" spans="1:15">
      <c r="A12" s="11" t="s">
        <v>103</v>
      </c>
      <c r="B12" s="147"/>
      <c r="C12" s="147"/>
      <c r="D12" s="147"/>
      <c r="E12" s="147"/>
      <c r="F12" s="147"/>
      <c r="G12" s="147"/>
    </row>
    <row r="13" spans="1:15">
      <c r="A13" s="11" t="s">
        <v>103</v>
      </c>
      <c r="B13" s="147"/>
      <c r="C13" s="147"/>
      <c r="D13" s="147"/>
      <c r="E13" s="147"/>
      <c r="F13" s="147"/>
      <c r="G13" s="147"/>
    </row>
    <row r="14" spans="1:15">
      <c r="A14" s="11" t="s">
        <v>103</v>
      </c>
      <c r="B14" s="147"/>
      <c r="C14" s="147"/>
      <c r="D14" s="147"/>
      <c r="E14" s="147"/>
      <c r="F14" s="147"/>
      <c r="G14" s="147"/>
    </row>
    <row r="15" spans="1:15">
      <c r="A15" s="11" t="s">
        <v>103</v>
      </c>
      <c r="B15" s="147"/>
      <c r="C15" s="147"/>
      <c r="D15" s="147"/>
      <c r="E15" s="147"/>
      <c r="F15" s="147"/>
      <c r="G15" s="147"/>
    </row>
    <row r="16" spans="1:15">
      <c r="A16" s="11" t="s">
        <v>103</v>
      </c>
      <c r="B16" s="147"/>
      <c r="C16" s="147"/>
      <c r="D16" s="147"/>
      <c r="E16" s="147"/>
      <c r="F16" s="147"/>
      <c r="G16" s="147"/>
    </row>
    <row r="17" spans="1:7">
      <c r="A17" s="11" t="s">
        <v>103</v>
      </c>
      <c r="B17" s="147"/>
      <c r="C17" s="147"/>
      <c r="D17" s="147"/>
      <c r="E17" s="147"/>
      <c r="F17" s="147"/>
      <c r="G17" s="147"/>
    </row>
    <row r="18" spans="1:7">
      <c r="A18" s="11" t="s">
        <v>103</v>
      </c>
      <c r="B18" s="147"/>
      <c r="C18" s="147"/>
      <c r="D18" s="147"/>
      <c r="E18" s="147"/>
      <c r="F18" s="147"/>
      <c r="G18" s="147"/>
    </row>
    <row r="19" spans="1:7">
      <c r="A19" s="11" t="s">
        <v>103</v>
      </c>
      <c r="B19" s="147"/>
      <c r="C19" s="147"/>
      <c r="D19" s="147"/>
      <c r="E19" s="147"/>
      <c r="F19" s="147"/>
      <c r="G19" s="147"/>
    </row>
    <row r="20" spans="1:7">
      <c r="A20" s="11" t="s">
        <v>103</v>
      </c>
      <c r="B20" s="147"/>
      <c r="C20" s="147"/>
      <c r="D20" s="147"/>
      <c r="E20" s="147"/>
      <c r="F20" s="147"/>
      <c r="G20" s="147"/>
    </row>
    <row r="21" spans="1:7">
      <c r="A21" s="11" t="s">
        <v>103</v>
      </c>
      <c r="B21" s="147"/>
      <c r="C21" s="147"/>
      <c r="D21" s="147"/>
      <c r="E21" s="147"/>
      <c r="F21" s="147"/>
      <c r="G21" s="147"/>
    </row>
    <row r="22" spans="1:7">
      <c r="A22" s="11" t="s">
        <v>103</v>
      </c>
      <c r="B22" s="147"/>
      <c r="C22" s="147"/>
      <c r="D22" s="147"/>
      <c r="E22" s="147"/>
      <c r="F22" s="147"/>
      <c r="G22" s="147"/>
    </row>
    <row r="23" spans="1:7">
      <c r="A23" s="11" t="s">
        <v>103</v>
      </c>
      <c r="B23" s="147"/>
      <c r="C23" s="147"/>
      <c r="D23" s="147"/>
      <c r="E23" s="147"/>
      <c r="F23" s="147"/>
      <c r="G23" s="147"/>
    </row>
    <row r="24" spans="1:7">
      <c r="A24" s="11" t="s">
        <v>103</v>
      </c>
      <c r="B24" s="147"/>
      <c r="C24" s="147"/>
      <c r="D24" s="147"/>
      <c r="E24" s="147"/>
      <c r="F24" s="147"/>
      <c r="G24" s="147"/>
    </row>
    <row r="25" spans="1:7">
      <c r="A25" s="11" t="s">
        <v>103</v>
      </c>
      <c r="B25" s="147"/>
      <c r="C25" s="147"/>
      <c r="D25" s="147"/>
      <c r="E25" s="147"/>
      <c r="F25" s="147"/>
      <c r="G25" s="147"/>
    </row>
    <row r="26" spans="1:7">
      <c r="A26" s="11" t="s">
        <v>103</v>
      </c>
      <c r="B26" s="147"/>
      <c r="C26" s="147"/>
      <c r="D26" s="147"/>
      <c r="E26" s="147"/>
      <c r="F26" s="147"/>
      <c r="G26" s="147"/>
    </row>
    <row r="27" spans="1:7">
      <c r="A27" s="11" t="s">
        <v>103</v>
      </c>
      <c r="B27" s="147"/>
      <c r="C27" s="147"/>
      <c r="D27" s="147"/>
      <c r="E27" s="147"/>
      <c r="F27" s="147"/>
      <c r="G27" s="147"/>
    </row>
    <row r="28" spans="1:7">
      <c r="A28" s="11" t="s">
        <v>103</v>
      </c>
      <c r="B28" s="147"/>
      <c r="C28" s="147"/>
      <c r="D28" s="147"/>
      <c r="E28" s="147"/>
      <c r="F28" s="147"/>
      <c r="G28" s="147"/>
    </row>
    <row r="29" spans="1:7">
      <c r="A29" s="11" t="s">
        <v>103</v>
      </c>
      <c r="B29" s="147"/>
      <c r="C29" s="147"/>
      <c r="D29" s="147"/>
      <c r="E29" s="147"/>
      <c r="F29" s="147"/>
      <c r="G29" s="147"/>
    </row>
    <row r="30" spans="1:7">
      <c r="A30" s="11" t="s">
        <v>103</v>
      </c>
      <c r="B30" s="147"/>
      <c r="C30" s="147"/>
      <c r="D30" s="147"/>
      <c r="E30" s="147"/>
      <c r="F30" s="147"/>
      <c r="G30" s="147"/>
    </row>
    <row r="31" spans="1:7">
      <c r="A31" s="11" t="s">
        <v>103</v>
      </c>
      <c r="B31" s="147"/>
      <c r="C31" s="147"/>
      <c r="D31" s="147"/>
      <c r="E31" s="147"/>
      <c r="F31" s="147"/>
      <c r="G31" s="147"/>
    </row>
    <row r="32" spans="1:7">
      <c r="A32" s="11" t="s">
        <v>103</v>
      </c>
      <c r="B32" s="147"/>
      <c r="C32" s="147"/>
      <c r="D32" s="147"/>
      <c r="E32" s="147"/>
      <c r="F32" s="147"/>
      <c r="G32" s="147"/>
    </row>
    <row r="33" spans="1:7">
      <c r="A33" s="11" t="s">
        <v>103</v>
      </c>
      <c r="B33" s="147"/>
      <c r="C33" s="147"/>
      <c r="D33" s="147"/>
      <c r="E33" s="147"/>
      <c r="F33" s="147"/>
      <c r="G33" s="147"/>
    </row>
    <row r="34" spans="1:7">
      <c r="A34" s="11" t="s">
        <v>103</v>
      </c>
      <c r="B34" s="147"/>
      <c r="C34" s="147"/>
      <c r="D34" s="147"/>
      <c r="E34" s="147"/>
      <c r="F34" s="147"/>
      <c r="G34" s="147"/>
    </row>
    <row r="35" spans="1:7">
      <c r="A35" s="11" t="s">
        <v>103</v>
      </c>
      <c r="B35" s="147"/>
      <c r="C35" s="147"/>
      <c r="D35" s="147"/>
      <c r="E35" s="147"/>
      <c r="F35" s="147"/>
      <c r="G35" s="147"/>
    </row>
    <row r="36" spans="1:7">
      <c r="A36" s="11" t="s">
        <v>103</v>
      </c>
      <c r="B36" s="147"/>
      <c r="C36" s="147"/>
      <c r="D36" s="147"/>
      <c r="E36" s="147"/>
      <c r="F36" s="147"/>
      <c r="G36" s="147"/>
    </row>
    <row r="37" spans="1:7">
      <c r="A37" s="11" t="s">
        <v>103</v>
      </c>
      <c r="B37" s="147"/>
      <c r="C37" s="147"/>
      <c r="D37" s="147"/>
      <c r="E37" s="147"/>
      <c r="F37" s="147"/>
      <c r="G37" s="147"/>
    </row>
    <row r="38" spans="1:7">
      <c r="A38" s="11" t="s">
        <v>103</v>
      </c>
      <c r="B38" s="147"/>
      <c r="C38" s="147"/>
      <c r="D38" s="147"/>
      <c r="E38" s="147"/>
      <c r="F38" s="147"/>
      <c r="G38" s="147"/>
    </row>
    <row r="39" spans="1:7">
      <c r="A39" s="11" t="s">
        <v>103</v>
      </c>
      <c r="B39" s="147"/>
      <c r="C39" s="147"/>
      <c r="D39" s="147"/>
      <c r="E39" s="147"/>
      <c r="F39" s="147"/>
      <c r="G39" s="147"/>
    </row>
    <row r="40" spans="1:7">
      <c r="A40" s="11" t="s">
        <v>103</v>
      </c>
      <c r="B40" s="147"/>
      <c r="C40" s="147"/>
      <c r="D40" s="147"/>
      <c r="E40" s="147"/>
      <c r="F40" s="147"/>
      <c r="G40" s="147"/>
    </row>
    <row r="41" spans="1:7">
      <c r="A41" s="11" t="s">
        <v>103</v>
      </c>
      <c r="B41" s="147"/>
      <c r="C41" s="147"/>
      <c r="D41" s="147"/>
      <c r="E41" s="147"/>
      <c r="F41" s="147"/>
      <c r="G41" s="147"/>
    </row>
    <row r="42" spans="1:7">
      <c r="A42" s="11" t="s">
        <v>103</v>
      </c>
      <c r="B42" s="147"/>
      <c r="C42" s="147"/>
      <c r="D42" s="147"/>
      <c r="E42" s="147"/>
      <c r="F42" s="147"/>
      <c r="G42" s="147"/>
    </row>
    <row r="43" spans="1:7">
      <c r="A43" s="11" t="s">
        <v>103</v>
      </c>
      <c r="B43" s="147"/>
      <c r="C43" s="147"/>
      <c r="D43" s="147"/>
      <c r="E43" s="147"/>
      <c r="F43" s="147"/>
      <c r="G43" s="147"/>
    </row>
    <row r="44" spans="1:7">
      <c r="A44" s="11" t="s">
        <v>103</v>
      </c>
      <c r="B44" s="147"/>
      <c r="C44" s="147"/>
      <c r="D44" s="147"/>
      <c r="E44" s="147"/>
      <c r="F44" s="147"/>
      <c r="G44" s="147"/>
    </row>
    <row r="45" spans="1:7">
      <c r="A45" s="11" t="s">
        <v>103</v>
      </c>
      <c r="B45" s="147"/>
      <c r="C45" s="147"/>
      <c r="D45" s="147"/>
      <c r="E45" s="147"/>
      <c r="F45" s="147"/>
      <c r="G45" s="147"/>
    </row>
    <row r="46" spans="1:7">
      <c r="A46" s="11" t="s">
        <v>103</v>
      </c>
      <c r="B46" s="147"/>
      <c r="C46" s="147"/>
      <c r="D46" s="147"/>
      <c r="E46" s="147"/>
      <c r="F46" s="147"/>
      <c r="G46" s="147"/>
    </row>
    <row r="47" spans="1:7">
      <c r="A47" s="11" t="s">
        <v>103</v>
      </c>
      <c r="B47" s="147"/>
      <c r="C47" s="147"/>
      <c r="D47" s="147"/>
      <c r="E47" s="147"/>
      <c r="F47" s="147"/>
      <c r="G47" s="147"/>
    </row>
    <row r="48" spans="1:7">
      <c r="A48" s="11" t="s">
        <v>103</v>
      </c>
      <c r="B48" s="147"/>
      <c r="C48" s="147"/>
      <c r="D48" s="147"/>
      <c r="E48" s="147"/>
      <c r="F48" s="147"/>
      <c r="G48" s="147"/>
    </row>
    <row r="49" spans="1:7">
      <c r="A49" s="11" t="s">
        <v>103</v>
      </c>
      <c r="B49" s="147"/>
      <c r="C49" s="147"/>
      <c r="D49" s="147"/>
      <c r="E49" s="147"/>
      <c r="F49" s="147"/>
      <c r="G49" s="147"/>
    </row>
    <row r="50" spans="1:7">
      <c r="A50" s="11" t="s">
        <v>103</v>
      </c>
      <c r="B50" s="147"/>
      <c r="C50" s="147"/>
      <c r="D50" s="147"/>
      <c r="E50" s="147"/>
      <c r="F50" s="147"/>
      <c r="G50" s="147"/>
    </row>
    <row r="51" spans="1:7">
      <c r="A51" s="11" t="s">
        <v>103</v>
      </c>
      <c r="B51" s="147"/>
      <c r="C51" s="147"/>
      <c r="D51" s="147"/>
      <c r="E51" s="147"/>
      <c r="F51" s="147"/>
      <c r="G51" s="147"/>
    </row>
    <row r="52" spans="1:7">
      <c r="A52" s="11" t="s">
        <v>103</v>
      </c>
      <c r="B52" s="147"/>
      <c r="C52" s="147"/>
      <c r="D52" s="147"/>
      <c r="E52" s="147"/>
      <c r="F52" s="147"/>
      <c r="G52" s="147"/>
    </row>
    <row r="53" spans="1:7">
      <c r="A53" s="11" t="s">
        <v>103</v>
      </c>
      <c r="B53" s="147"/>
      <c r="C53" s="147"/>
      <c r="D53" s="147"/>
      <c r="E53" s="147"/>
      <c r="F53" s="147"/>
      <c r="G53" s="147"/>
    </row>
    <row r="54" spans="1:7">
      <c r="A54" s="11" t="s">
        <v>103</v>
      </c>
      <c r="B54" s="147"/>
      <c r="C54" s="147"/>
      <c r="D54" s="147"/>
      <c r="E54" s="147"/>
      <c r="F54" s="147"/>
      <c r="G54" s="147"/>
    </row>
    <row r="55" spans="1:7">
      <c r="A55" s="11" t="s">
        <v>103</v>
      </c>
      <c r="B55" s="147"/>
      <c r="C55" s="147"/>
      <c r="D55" s="147"/>
      <c r="E55" s="147"/>
      <c r="F55" s="147"/>
      <c r="G55" s="147"/>
    </row>
  </sheetData>
  <mergeCells count="1">
    <mergeCell ref="A1:G1"/>
  </mergeCells>
  <hyperlinks>
    <hyperlink ref="A2" location="'Fund Balance Summary'!A1" display="(Return to sheet)" xr:uid="{00000000-0004-0000-0400-00000000000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28"/>
  <sheetViews>
    <sheetView workbookViewId="0">
      <selection activeCell="B3" sqref="B3"/>
    </sheetView>
  </sheetViews>
  <sheetFormatPr defaultRowHeight="14.4"/>
  <cols>
    <col min="1" max="1" width="49.6640625" bestFit="1" customWidth="1"/>
    <col min="2" max="2" width="17.44140625" customWidth="1"/>
    <col min="3" max="3" width="19" customWidth="1"/>
  </cols>
  <sheetData>
    <row r="1" spans="1:4">
      <c r="A1" s="679" t="s">
        <v>38</v>
      </c>
      <c r="B1" s="679"/>
      <c r="C1" s="679"/>
      <c r="D1" s="7"/>
    </row>
    <row r="2" spans="1:4">
      <c r="A2" s="679" t="s">
        <v>2637</v>
      </c>
      <c r="B2" s="679"/>
      <c r="C2" s="679"/>
    </row>
    <row r="3" spans="1:4">
      <c r="A3" s="6" t="s">
        <v>39</v>
      </c>
    </row>
    <row r="5" spans="1:4">
      <c r="A5" t="s">
        <v>40</v>
      </c>
      <c r="B5" s="2"/>
      <c r="C5" s="1">
        <v>0</v>
      </c>
    </row>
    <row r="6" spans="1:4">
      <c r="A6" t="s">
        <v>41</v>
      </c>
      <c r="B6" s="2"/>
      <c r="C6" s="1">
        <v>0</v>
      </c>
    </row>
    <row r="7" spans="1:4">
      <c r="A7" t="s">
        <v>42</v>
      </c>
      <c r="B7" s="2"/>
      <c r="C7" s="9">
        <f>C5-C6</f>
        <v>0</v>
      </c>
    </row>
    <row r="8" spans="1:4">
      <c r="A8" t="s">
        <v>43</v>
      </c>
      <c r="B8" s="2"/>
      <c r="C8" s="2"/>
    </row>
    <row r="9" spans="1:4">
      <c r="A9" s="144" t="s">
        <v>44</v>
      </c>
      <c r="B9" s="1">
        <v>0</v>
      </c>
      <c r="C9" s="2"/>
    </row>
    <row r="10" spans="1:4">
      <c r="A10" s="145" t="s">
        <v>45</v>
      </c>
      <c r="B10" s="62">
        <v>0</v>
      </c>
      <c r="C10" s="2"/>
    </row>
    <row r="11" spans="1:4">
      <c r="A11" s="145" t="s">
        <v>46</v>
      </c>
      <c r="B11" s="62">
        <v>0</v>
      </c>
      <c r="C11" s="2"/>
    </row>
    <row r="12" spans="1:4">
      <c r="A12" s="144" t="s">
        <v>47</v>
      </c>
      <c r="B12" s="1">
        <v>0</v>
      </c>
      <c r="C12" s="2"/>
    </row>
    <row r="13" spans="1:4">
      <c r="A13" s="145" t="s">
        <v>48</v>
      </c>
      <c r="B13" s="62">
        <v>0</v>
      </c>
      <c r="C13" s="2"/>
    </row>
    <row r="14" spans="1:4" ht="16.2">
      <c r="A14" t="s">
        <v>49</v>
      </c>
      <c r="B14" s="2"/>
      <c r="C14" s="8">
        <f>SUM(B9:B13,C7)</f>
        <v>0</v>
      </c>
    </row>
    <row r="15" spans="1:4">
      <c r="B15" s="2"/>
    </row>
    <row r="16" spans="1:4">
      <c r="B16" s="2"/>
    </row>
    <row r="17" spans="2:2">
      <c r="B17" s="2"/>
    </row>
    <row r="18" spans="2:2">
      <c r="B18" s="2"/>
    </row>
    <row r="19" spans="2:2">
      <c r="B19" s="2"/>
    </row>
    <row r="20" spans="2:2">
      <c r="B20" s="2"/>
    </row>
    <row r="21" spans="2:2">
      <c r="B21" s="2"/>
    </row>
    <row r="22" spans="2:2">
      <c r="B22" s="2"/>
    </row>
    <row r="23" spans="2:2">
      <c r="B23" s="2"/>
    </row>
    <row r="24" spans="2:2">
      <c r="B24" s="2"/>
    </row>
    <row r="25" spans="2:2">
      <c r="B25" s="2"/>
    </row>
    <row r="26" spans="2:2">
      <c r="B26" s="2"/>
    </row>
    <row r="27" spans="2:2">
      <c r="B27" s="2"/>
    </row>
    <row r="28" spans="2:2">
      <c r="B28" s="2"/>
    </row>
  </sheetData>
  <mergeCells count="2">
    <mergeCell ref="A1:C1"/>
    <mergeCell ref="A2:C2"/>
  </mergeCells>
  <hyperlinks>
    <hyperlink ref="A3" location="'Fund Balance Summary'!A1" display="(Return to summary sheet)" xr:uid="{00000000-0004-0000-0500-000000000000}"/>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
  <sheetViews>
    <sheetView workbookViewId="0"/>
  </sheetViews>
  <sheetFormatPr defaultRowHeight="14.4"/>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U174"/>
  <sheetViews>
    <sheetView zoomScale="90" zoomScaleNormal="90" workbookViewId="0">
      <selection activeCell="D3" sqref="D3"/>
    </sheetView>
  </sheetViews>
  <sheetFormatPr defaultRowHeight="14.4"/>
  <cols>
    <col min="1" max="1" width="46" customWidth="1"/>
    <col min="2" max="2" width="16" bestFit="1" customWidth="1"/>
    <col min="3" max="3" width="16.88671875" style="2" bestFit="1" customWidth="1"/>
    <col min="4" max="4" width="15" bestFit="1" customWidth="1"/>
    <col min="5" max="5" width="4.33203125" customWidth="1"/>
    <col min="6" max="6" width="16" bestFit="1" customWidth="1"/>
    <col min="7" max="7" width="15" bestFit="1" customWidth="1"/>
    <col min="8" max="8" width="14.44140625" customWidth="1"/>
    <col min="9" max="11" width="13" customWidth="1"/>
    <col min="18" max="18" width="14.6640625" customWidth="1"/>
    <col min="19" max="20" width="12.88671875" bestFit="1" customWidth="1"/>
  </cols>
  <sheetData>
    <row r="1" spans="1:7">
      <c r="A1" s="679" t="s">
        <v>50</v>
      </c>
      <c r="B1" s="679"/>
      <c r="C1" s="679"/>
      <c r="F1" s="67" t="str">
        <f>'Fund Balance Summary'!$B$1</f>
        <v>14005</v>
      </c>
    </row>
    <row r="2" spans="1:7">
      <c r="A2" s="679" t="s">
        <v>51</v>
      </c>
      <c r="B2" s="679"/>
      <c r="C2" s="679"/>
    </row>
    <row r="3" spans="1:7">
      <c r="A3" s="6" t="s">
        <v>39</v>
      </c>
    </row>
    <row r="5" spans="1:7">
      <c r="A5" t="s">
        <v>54</v>
      </c>
      <c r="B5" s="26">
        <f>VLOOKUP($F$1,Indirects!$D$7:$I$342,4,FALSE)</f>
        <v>0.15</v>
      </c>
    </row>
    <row r="6" spans="1:7">
      <c r="A6" t="s">
        <v>66</v>
      </c>
      <c r="B6" s="26">
        <f>VLOOKUP($F$1,Indirects!$D$7:$I$342,3,FALSE)</f>
        <v>2.3900000000000001E-2</v>
      </c>
    </row>
    <row r="7" spans="1:7">
      <c r="A7" t="s">
        <v>67</v>
      </c>
      <c r="B7" s="26">
        <f>VLOOKUP($F$1,Indirects!$D$7:$I$342,5,FALSE)</f>
        <v>0.1588</v>
      </c>
    </row>
    <row r="8" spans="1:7">
      <c r="B8" s="12"/>
    </row>
    <row r="9" spans="1:7" ht="15" thickBot="1">
      <c r="B9" s="12"/>
    </row>
    <row r="10" spans="1:7" ht="17.25" customHeight="1">
      <c r="A10" s="162" t="s">
        <v>1589</v>
      </c>
      <c r="B10" s="62"/>
      <c r="C10" s="109"/>
      <c r="E10" s="685" t="s">
        <v>2044</v>
      </c>
      <c r="F10" s="686"/>
      <c r="G10" s="687"/>
    </row>
    <row r="11" spans="1:7">
      <c r="A11" t="s">
        <v>58</v>
      </c>
      <c r="B11" s="62"/>
      <c r="C11" s="28">
        <f>VLOOKUP($F$1,ALLOC!$B$7:$AR$338,42,FALSE)</f>
        <v>0</v>
      </c>
      <c r="E11" s="688"/>
      <c r="F11" s="689"/>
      <c r="G11" s="690"/>
    </row>
    <row r="12" spans="1:7">
      <c r="A12" t="s">
        <v>1617</v>
      </c>
      <c r="B12" s="62"/>
      <c r="C12" s="28">
        <f>VLOOKUP($F$1,ALLOC!$B$7:$AR$338,43,FALSE)</f>
        <v>353855.61</v>
      </c>
      <c r="D12" t="s">
        <v>2047</v>
      </c>
      <c r="E12" s="688"/>
      <c r="F12" s="689"/>
      <c r="G12" s="690"/>
    </row>
    <row r="13" spans="1:7" ht="16.2">
      <c r="A13" t="s">
        <v>56</v>
      </c>
      <c r="B13" s="62"/>
      <c r="C13" s="153">
        <f>+C11+C12</f>
        <v>353855.61</v>
      </c>
      <c r="E13" s="688"/>
      <c r="F13" s="689"/>
      <c r="G13" s="690"/>
    </row>
    <row r="14" spans="1:7" ht="16.2">
      <c r="B14" s="62"/>
      <c r="C14" s="109"/>
      <c r="E14" s="688"/>
      <c r="F14" s="689"/>
      <c r="G14" s="690"/>
    </row>
    <row r="15" spans="1:7">
      <c r="A15" t="s">
        <v>1622</v>
      </c>
      <c r="C15" s="1">
        <v>0</v>
      </c>
      <c r="E15" s="688"/>
      <c r="F15" s="689"/>
      <c r="G15" s="690"/>
    </row>
    <row r="16" spans="1:7" ht="16.2">
      <c r="A16" t="s">
        <v>64</v>
      </c>
      <c r="B16" s="62"/>
      <c r="C16" s="15">
        <f>IF(C15&gt;C13,0,MIN(C13*1,C13-C15))</f>
        <v>353855.61</v>
      </c>
      <c r="E16" s="688"/>
      <c r="F16" s="689"/>
      <c r="G16" s="690"/>
    </row>
    <row r="17" spans="1:7" ht="15" thickBot="1">
      <c r="B17" s="12"/>
      <c r="E17" s="691"/>
      <c r="F17" s="692"/>
      <c r="G17" s="693"/>
    </row>
    <row r="18" spans="1:7">
      <c r="A18" s="162" t="s">
        <v>52</v>
      </c>
    </row>
    <row r="19" spans="1:7">
      <c r="A19" t="s">
        <v>58</v>
      </c>
      <c r="B19" s="2"/>
      <c r="C19" s="28">
        <f>VLOOKUP($F$1,ALLOC!$B$7:$AR$338,3,FALSE)</f>
        <v>0</v>
      </c>
    </row>
    <row r="20" spans="1:7">
      <c r="A20" t="s">
        <v>55</v>
      </c>
      <c r="B20" s="2"/>
      <c r="C20" s="28">
        <f>VLOOKUP($F$1,ALLOC!$B$7:$AR$338,6,FALSE)</f>
        <v>6432304.9800000004</v>
      </c>
    </row>
    <row r="21" spans="1:7">
      <c r="A21" t="s">
        <v>56</v>
      </c>
      <c r="B21" s="2"/>
      <c r="C21" s="3">
        <f>+C19+C20</f>
        <v>6432304.9800000004</v>
      </c>
    </row>
    <row r="22" spans="1:7">
      <c r="A22" t="s">
        <v>57</v>
      </c>
      <c r="B22" s="2"/>
    </row>
    <row r="23" spans="1:7">
      <c r="A23" t="s">
        <v>53</v>
      </c>
      <c r="B23" s="1">
        <v>0</v>
      </c>
    </row>
    <row r="24" spans="1:7">
      <c r="A24" t="s">
        <v>59</v>
      </c>
      <c r="B24" s="28">
        <f>VLOOKUP($F$1,ALLOC!$B$7:$AR$338,7,FALSE)</f>
        <v>1319178.8799999999</v>
      </c>
    </row>
    <row r="25" spans="1:7">
      <c r="A25" t="s">
        <v>60</v>
      </c>
      <c r="B25" s="2">
        <f>(B23-B24)*(B5)</f>
        <v>-197876.83199999997</v>
      </c>
    </row>
    <row r="26" spans="1:7">
      <c r="A26" t="s">
        <v>61</v>
      </c>
      <c r="B26" s="2">
        <f>B23-B24+B25</f>
        <v>-1517055.7119999998</v>
      </c>
    </row>
    <row r="27" spans="1:7">
      <c r="A27" t="s">
        <v>62</v>
      </c>
      <c r="B27" s="1">
        <v>0</v>
      </c>
    </row>
    <row r="28" spans="1:7">
      <c r="A28" t="s">
        <v>63</v>
      </c>
      <c r="B28" s="2"/>
      <c r="C28" s="2">
        <f>B26-B27</f>
        <v>-1517055.7119999998</v>
      </c>
    </row>
    <row r="29" spans="1:7" ht="16.2">
      <c r="A29" t="s">
        <v>64</v>
      </c>
      <c r="B29" s="2"/>
      <c r="C29" s="15">
        <f>IF(C28&gt;C21,0,MIN(C20*0.1,C21-C28))</f>
        <v>643230.49800000014</v>
      </c>
    </row>
    <row r="30" spans="1:7" ht="16.2">
      <c r="A30" t="s">
        <v>775</v>
      </c>
      <c r="B30" s="2"/>
      <c r="C30" s="27">
        <f>MIN(C20,(C28-C19))+C29-C20</f>
        <v>-7306130.1940000001</v>
      </c>
    </row>
    <row r="31" spans="1:7">
      <c r="B31" s="2"/>
    </row>
    <row r="32" spans="1:7">
      <c r="A32" s="162" t="s">
        <v>70</v>
      </c>
      <c r="B32" s="2"/>
    </row>
    <row r="33" spans="1:10">
      <c r="A33" t="s">
        <v>58</v>
      </c>
      <c r="B33" s="2"/>
      <c r="C33" s="28">
        <f>VLOOKUP($F$1,ALLOC!$B$7:$AR$338,22,FALSE)</f>
        <v>0</v>
      </c>
    </row>
    <row r="34" spans="1:10">
      <c r="A34" t="s">
        <v>55</v>
      </c>
      <c r="B34" s="2"/>
      <c r="C34" s="28">
        <f>VLOOKUP($F$1,ALLOC!$B$7:$AR$338,21,FALSE)</f>
        <v>0</v>
      </c>
    </row>
    <row r="35" spans="1:10">
      <c r="A35" t="s">
        <v>56</v>
      </c>
      <c r="B35" s="2"/>
      <c r="C35" s="3">
        <f>+C33+C34</f>
        <v>0</v>
      </c>
    </row>
    <row r="36" spans="1:10">
      <c r="A36" t="s">
        <v>57</v>
      </c>
      <c r="B36" s="2"/>
    </row>
    <row r="37" spans="1:10">
      <c r="A37" t="s">
        <v>53</v>
      </c>
      <c r="B37" s="1">
        <v>0</v>
      </c>
    </row>
    <row r="38" spans="1:10">
      <c r="A38" t="s">
        <v>60</v>
      </c>
      <c r="B38" s="28">
        <f>VLOOKUP($F$1,ALLOC!$B$7:$AR$338,23,FALSE)</f>
        <v>0</v>
      </c>
      <c r="C38" s="2">
        <f>B37+B38</f>
        <v>0</v>
      </c>
    </row>
    <row r="39" spans="1:10" ht="16.2">
      <c r="A39" t="s">
        <v>64</v>
      </c>
      <c r="B39" s="2"/>
      <c r="C39" s="15">
        <f>IF(C38&gt;C35,0,MIN(C34*0.1,C35-C38))</f>
        <v>0</v>
      </c>
    </row>
    <row r="40" spans="1:10" ht="16.2">
      <c r="A40" t="s">
        <v>775</v>
      </c>
      <c r="B40" s="2"/>
      <c r="C40" s="27">
        <f>MIN(C34,C38-C33)+C39-C34</f>
        <v>0</v>
      </c>
    </row>
    <row r="41" spans="1:10" ht="16.2">
      <c r="B41" s="62"/>
      <c r="C41" s="109"/>
    </row>
    <row r="42" spans="1:10" ht="16.2" customHeight="1">
      <c r="A42" s="162" t="s">
        <v>1530</v>
      </c>
      <c r="B42" s="62"/>
      <c r="C42" s="109"/>
      <c r="F42" s="700" t="s">
        <v>2621</v>
      </c>
      <c r="G42" s="700"/>
      <c r="H42" s="700"/>
      <c r="I42" s="700"/>
      <c r="J42" s="700"/>
    </row>
    <row r="43" spans="1:10" ht="16.2">
      <c r="A43" t="s">
        <v>58</v>
      </c>
      <c r="B43" s="62"/>
      <c r="C43" s="111">
        <v>0</v>
      </c>
      <c r="F43" s="700"/>
      <c r="G43" s="700"/>
      <c r="H43" s="700"/>
      <c r="I43" s="700"/>
      <c r="J43" s="700"/>
    </row>
    <row r="44" spans="1:10" ht="16.2">
      <c r="A44" t="s">
        <v>1532</v>
      </c>
      <c r="B44" s="62"/>
      <c r="C44" s="111">
        <v>0</v>
      </c>
      <c r="F44" s="700"/>
      <c r="G44" s="700"/>
      <c r="H44" s="700"/>
      <c r="I44" s="700"/>
      <c r="J44" s="700"/>
    </row>
    <row r="45" spans="1:10">
      <c r="A45" t="s">
        <v>56</v>
      </c>
      <c r="B45" s="62"/>
      <c r="C45" s="3">
        <f>+C43+C44</f>
        <v>0</v>
      </c>
      <c r="F45" s="700"/>
      <c r="G45" s="700"/>
      <c r="H45" s="700"/>
      <c r="I45" s="700"/>
      <c r="J45" s="700"/>
    </row>
    <row r="46" spans="1:10" ht="16.2">
      <c r="A46" t="s">
        <v>1531</v>
      </c>
      <c r="B46" s="62"/>
      <c r="C46" s="109"/>
      <c r="F46" s="700"/>
      <c r="G46" s="700"/>
      <c r="H46" s="700"/>
      <c r="I46" s="700"/>
      <c r="J46" s="700"/>
    </row>
    <row r="47" spans="1:10">
      <c r="A47" t="s">
        <v>53</v>
      </c>
      <c r="C47" s="1">
        <v>0</v>
      </c>
      <c r="F47" s="700"/>
      <c r="G47" s="700"/>
      <c r="H47" s="700"/>
      <c r="I47" s="700"/>
      <c r="J47" s="700"/>
    </row>
    <row r="48" spans="1:10" ht="16.2">
      <c r="A48" t="s">
        <v>64</v>
      </c>
      <c r="B48" s="62"/>
      <c r="C48" s="15">
        <f>IF(C47&gt;C45,0,MIN(C45*1,C45-C47))</f>
        <v>0</v>
      </c>
      <c r="F48" s="700"/>
      <c r="G48" s="700"/>
      <c r="H48" s="700"/>
      <c r="I48" s="700"/>
      <c r="J48" s="700"/>
    </row>
    <row r="49" spans="1:21">
      <c r="B49" s="2"/>
    </row>
    <row r="50" spans="1:21" ht="17.399999999999999" customHeight="1">
      <c r="A50" s="10" t="s">
        <v>68</v>
      </c>
      <c r="B50" s="2"/>
      <c r="F50" s="694" t="s">
        <v>2618</v>
      </c>
      <c r="G50" s="695"/>
      <c r="H50" s="695"/>
      <c r="I50" s="695"/>
      <c r="J50" s="696"/>
      <c r="R50" s="591" t="s">
        <v>2462</v>
      </c>
      <c r="S50" s="592"/>
      <c r="T50" s="593"/>
    </row>
    <row r="51" spans="1:21" ht="16.8" customHeight="1">
      <c r="A51" t="s">
        <v>58</v>
      </c>
      <c r="B51" s="2"/>
      <c r="C51" s="28">
        <f>VLOOKUP($F$1,ALLOC!$B$7:$AR$338,26,FALSE)</f>
        <v>234222.92</v>
      </c>
      <c r="F51" s="697"/>
      <c r="G51" s="698"/>
      <c r="H51" s="698"/>
      <c r="I51" s="698"/>
      <c r="J51" s="699"/>
      <c r="R51" s="212">
        <f>VLOOKUP($F$1,ALLOC!$B$7:$AR$338,28,FALSE)</f>
        <v>2594393.0299999998</v>
      </c>
      <c r="S51" s="213"/>
      <c r="T51" s="214"/>
    </row>
    <row r="52" spans="1:21" ht="16.2">
      <c r="A52" t="s">
        <v>53</v>
      </c>
      <c r="B52" s="2"/>
      <c r="C52" s="1">
        <v>0</v>
      </c>
      <c r="F52" s="697"/>
      <c r="G52" s="698"/>
      <c r="H52" s="698"/>
      <c r="I52" s="698"/>
      <c r="J52" s="699"/>
      <c r="R52" s="215">
        <f>ROUND(VLOOKUP($F$1,ALLOC!$B$7:$AR$338,29,FALSE),2)</f>
        <v>259.27999999999997</v>
      </c>
      <c r="S52" s="213"/>
      <c r="T52" s="214"/>
    </row>
    <row r="53" spans="1:21" ht="16.2">
      <c r="A53" t="s">
        <v>69</v>
      </c>
      <c r="B53" s="2"/>
      <c r="C53" s="28">
        <f>VLOOKUP($F$1,ALLOC!$B$7:$AR$338,28,FALSE)</f>
        <v>2594393.0299999998</v>
      </c>
      <c r="F53" s="601" t="s">
        <v>2614</v>
      </c>
      <c r="G53" s="602">
        <f>+C54+C64</f>
        <v>367432.68200000003</v>
      </c>
      <c r="H53" s="603" t="s">
        <v>2616</v>
      </c>
      <c r="I53" s="604">
        <v>0</v>
      </c>
      <c r="J53" s="605">
        <f>+G$53*I53</f>
        <v>0</v>
      </c>
      <c r="R53" s="216">
        <f>ROUND(VLOOKUP($F$1,ALLOC!$B$7:$AR$338,30,FALSE),2)</f>
        <v>2402393.21</v>
      </c>
      <c r="S53" s="213"/>
      <c r="T53" s="214"/>
    </row>
    <row r="54" spans="1:21" ht="16.2">
      <c r="A54" t="s">
        <v>1512</v>
      </c>
      <c r="B54" s="2"/>
      <c r="C54" s="594">
        <f>MAX(MIN(C53+C51-C52,C53*0.1),0)</f>
        <v>259439.30299999999</v>
      </c>
      <c r="F54" s="37"/>
      <c r="H54" t="s">
        <v>2617</v>
      </c>
      <c r="I54" s="595">
        <v>0</v>
      </c>
      <c r="J54" s="596">
        <f>+G$53*I54</f>
        <v>0</v>
      </c>
      <c r="R54" s="216">
        <f>IFERROR(ROUND(R53/R52,2),0)</f>
        <v>9265.6299999999992</v>
      </c>
      <c r="S54" s="213"/>
      <c r="T54" s="214"/>
    </row>
    <row r="55" spans="1:21" ht="16.2">
      <c r="A55" t="s">
        <v>1513</v>
      </c>
      <c r="B55" s="2"/>
      <c r="C55" s="76">
        <f>MIN(+C52+C54-C53-C51,0)</f>
        <v>-2569176.6469999999</v>
      </c>
      <c r="F55" s="37"/>
      <c r="H55" t="s">
        <v>2620</v>
      </c>
      <c r="I55" s="595">
        <v>0</v>
      </c>
      <c r="J55" s="596">
        <f>+G$53*I55</f>
        <v>0</v>
      </c>
      <c r="R55" s="216">
        <f>IFERROR(ROUND(R51/R52,2),0)</f>
        <v>10006.14</v>
      </c>
      <c r="S55" s="213"/>
      <c r="T55" s="214"/>
    </row>
    <row r="56" spans="1:21" ht="16.2">
      <c r="A56" s="160" t="s">
        <v>1514</v>
      </c>
      <c r="B56" s="2"/>
      <c r="C56" s="136">
        <f>+R56</f>
        <v>191999.43</v>
      </c>
      <c r="F56" s="41"/>
      <c r="G56" s="225"/>
      <c r="H56" s="225" t="s">
        <v>2619</v>
      </c>
      <c r="I56" s="606">
        <f>SUM(I53:I55)</f>
        <v>0</v>
      </c>
      <c r="J56" s="598">
        <f>SUM(J53:J55)</f>
        <v>0</v>
      </c>
      <c r="R56" s="216">
        <f>ROUND((R55-R54)*R52,2)</f>
        <v>191999.43</v>
      </c>
      <c r="S56" s="217">
        <f>ROUND(VLOOKUP($F$1,ALLOC!$B$7:$AR$338,29,FALSE)*VLOOKUP($F$1,ALLOC!$B$7:$AR$338,33,FALSE),2)</f>
        <v>191999.43</v>
      </c>
      <c r="T56" s="218">
        <f>ROUND(VLOOKUP($F$1,ALLOC!$B$7:$AR$338,32,FALSE)-VLOOKUP($F$1,ALLOC!$B$7:$AR$338,31,FALSE),2)*(VLOOKUP($F$1,ALLOC!$B$7:$AR$338,29,FALSE))</f>
        <v>191999.43279999998</v>
      </c>
      <c r="U56" s="48"/>
    </row>
    <row r="57" spans="1:21" ht="21" customHeight="1" thickBot="1">
      <c r="A57" t="s">
        <v>775</v>
      </c>
      <c r="B57" s="2"/>
      <c r="C57" s="210">
        <f>IF(MAX(C55,-C56)&gt;0,0,MAX(C55,-C56))</f>
        <v>-191999.43</v>
      </c>
      <c r="F57" s="37"/>
      <c r="J57" s="221"/>
      <c r="R57" s="222" t="s">
        <v>2042</v>
      </c>
      <c r="S57" s="220" t="s">
        <v>2040</v>
      </c>
      <c r="T57" s="220" t="s">
        <v>2041</v>
      </c>
    </row>
    <row r="58" spans="1:21" ht="16.8" hidden="1" thickTop="1">
      <c r="A58" t="s">
        <v>1137</v>
      </c>
      <c r="B58" s="2"/>
      <c r="C58" s="15">
        <f>IF(C57&lt;0,0,MAX(MIN(C53+C51-C52,C53*0.1),0))</f>
        <v>0</v>
      </c>
      <c r="F58" s="37"/>
      <c r="J58" s="221"/>
      <c r="R58" s="219"/>
      <c r="S58" s="213"/>
      <c r="T58" s="214"/>
    </row>
    <row r="59" spans="1:21" ht="15" thickTop="1">
      <c r="B59" s="2"/>
      <c r="F59" s="600" t="s">
        <v>2615</v>
      </c>
      <c r="G59" s="599">
        <f>+C57+C67</f>
        <v>-244502.59</v>
      </c>
      <c r="H59" t="s">
        <v>2616</v>
      </c>
      <c r="I59" s="595">
        <v>0</v>
      </c>
      <c r="J59" s="596">
        <f>+G$59*I59</f>
        <v>0</v>
      </c>
      <c r="R59" s="37"/>
      <c r="T59" s="221"/>
    </row>
    <row r="60" spans="1:21">
      <c r="A60" s="10" t="s">
        <v>776</v>
      </c>
      <c r="B60" s="2"/>
      <c r="F60" s="37"/>
      <c r="H60" t="s">
        <v>2617</v>
      </c>
      <c r="I60" s="595">
        <v>0</v>
      </c>
      <c r="J60" s="596">
        <f>+G$59*I60</f>
        <v>0</v>
      </c>
      <c r="R60" s="591" t="s">
        <v>2462</v>
      </c>
      <c r="S60" s="592"/>
      <c r="T60" s="593"/>
    </row>
    <row r="61" spans="1:21">
      <c r="A61" t="s">
        <v>58</v>
      </c>
      <c r="B61" s="2"/>
      <c r="C61" s="28">
        <f>VLOOKUP($F$1,ALLOC!$B$7:$AR$338,25,FALSE)</f>
        <v>86831.43</v>
      </c>
      <c r="F61" s="41"/>
      <c r="G61" s="225"/>
      <c r="H61" s="225" t="s">
        <v>2619</v>
      </c>
      <c r="I61" s="597">
        <f>SUM(I59:I60)</f>
        <v>0</v>
      </c>
      <c r="J61" s="598">
        <f>SUM(J59:J60)</f>
        <v>0</v>
      </c>
      <c r="R61" s="212">
        <f>VLOOKUP($F$1,ALLOC!$B$7:$AR$338,27,FALSE)</f>
        <v>1079933.79</v>
      </c>
      <c r="S61" s="213"/>
      <c r="T61" s="214"/>
    </row>
    <row r="62" spans="1:21" ht="16.2">
      <c r="A62" t="s">
        <v>53</v>
      </c>
      <c r="B62" s="2"/>
      <c r="C62" s="1">
        <v>0</v>
      </c>
      <c r="R62" s="215">
        <f>ROUND(VLOOKUP($F$1,ALLOC!$B$7:$AR$338,34,FALSE),2)</f>
        <v>113.09</v>
      </c>
      <c r="S62" s="213"/>
      <c r="T62" s="214"/>
    </row>
    <row r="63" spans="1:21" ht="16.2">
      <c r="A63" t="s">
        <v>69</v>
      </c>
      <c r="B63" s="2"/>
      <c r="C63" s="28">
        <f>VLOOKUP($F$1,ALLOC!$B$7:$AR$338,27,FALSE)</f>
        <v>1079933.79</v>
      </c>
      <c r="R63" s="216">
        <f>ROUND(VLOOKUP($F$1,ALLOC!$B$7:$AR$338,35,FALSE),2)</f>
        <v>1027430.8</v>
      </c>
      <c r="S63" s="213"/>
      <c r="T63" s="214"/>
    </row>
    <row r="64" spans="1:21" ht="16.2">
      <c r="A64" t="s">
        <v>1512</v>
      </c>
      <c r="B64" s="2"/>
      <c r="C64" s="15">
        <f>MAX(MIN(C63+C61-C62,C63*0.1),0)</f>
        <v>107993.37900000002</v>
      </c>
      <c r="K64" s="252"/>
      <c r="R64" s="216">
        <f>IFERROR(ROUND(R63/R62,2),0)</f>
        <v>9085.07</v>
      </c>
      <c r="S64" s="213"/>
      <c r="T64" s="214"/>
    </row>
    <row r="65" spans="1:20" ht="16.2">
      <c r="A65" t="s">
        <v>1513</v>
      </c>
      <c r="B65" s="2"/>
      <c r="C65" s="76">
        <f>MIN(+C62+C64-C63-C61,0)</f>
        <v>-1058771.841</v>
      </c>
      <c r="K65" s="252"/>
      <c r="R65" s="216">
        <f>IFERROR(ROUND(R61/R62,2),0)</f>
        <v>9549.33</v>
      </c>
      <c r="S65" s="213"/>
      <c r="T65" s="214"/>
    </row>
    <row r="66" spans="1:20" ht="16.2">
      <c r="A66" s="160" t="s">
        <v>1514</v>
      </c>
      <c r="C66" s="136">
        <f>+R66</f>
        <v>52503.16</v>
      </c>
      <c r="R66" s="216">
        <f>ROUND((R65-R64)*R62,2)</f>
        <v>52503.16</v>
      </c>
      <c r="S66" s="217">
        <f>ROUND(VLOOKUP($F$1,ALLOC!$B$7:$AR$338,34,FALSE)*VLOOKUP($F$1,ALLOC!$B$7:$AR$338,38,FALSE),2)</f>
        <v>52503.16</v>
      </c>
      <c r="T66" s="218">
        <f>ROUND(VLOOKUP($F$1,ALLOC!$B$7:$AR$338,37,FALSE)-VLOOKUP($F$1,ALLOC!$B$7:$AR$338,36,FALSE),2)*(VLOOKUP($F$1,ALLOC!$B$7:$AR$338,34,FALSE))</f>
        <v>52503.163399999998</v>
      </c>
    </row>
    <row r="67" spans="1:20" ht="18.600000000000001" customHeight="1" thickBot="1">
      <c r="A67" s="33" t="s">
        <v>775</v>
      </c>
      <c r="B67" s="211"/>
      <c r="C67" s="210">
        <f>IF(MAX(C65,-C66)&gt;0,0,MAX(C65,-C66))</f>
        <v>-52503.16</v>
      </c>
      <c r="R67" s="222" t="s">
        <v>2042</v>
      </c>
      <c r="S67" s="220" t="s">
        <v>2040</v>
      </c>
      <c r="T67" s="220" t="s">
        <v>2041</v>
      </c>
    </row>
    <row r="68" spans="1:20" ht="16.8" hidden="1" thickTop="1">
      <c r="A68" t="s">
        <v>1137</v>
      </c>
      <c r="B68" s="2"/>
      <c r="C68" s="15">
        <f>IF(C67&lt;0,0,MAX(MIN(C63+C61-C62,C63*0.1),0))</f>
        <v>0</v>
      </c>
    </row>
    <row r="69" spans="1:20" ht="15" thickTop="1">
      <c r="B69" s="2"/>
    </row>
    <row r="70" spans="1:20">
      <c r="A70" s="10" t="s">
        <v>65</v>
      </c>
      <c r="B70" s="2"/>
    </row>
    <row r="71" spans="1:20">
      <c r="A71" t="s">
        <v>58</v>
      </c>
      <c r="B71" s="2"/>
      <c r="C71" s="28">
        <f>VLOOKUP($F$1,ALLOC!$B$7:$AR$338,4,FALSE)</f>
        <v>141627.10999999999</v>
      </c>
    </row>
    <row r="72" spans="1:20">
      <c r="A72" t="s">
        <v>55</v>
      </c>
      <c r="B72" s="2"/>
      <c r="C72" s="28">
        <f>VLOOKUP($F$1,ALLOC!$B$7:$AR$338,9,FALSE)</f>
        <v>1486574.06</v>
      </c>
    </row>
    <row r="73" spans="1:20">
      <c r="A73" t="s">
        <v>56</v>
      </c>
      <c r="B73" s="2"/>
      <c r="C73" s="3">
        <f>C71+C72</f>
        <v>1628201.17</v>
      </c>
    </row>
    <row r="74" spans="1:20">
      <c r="A74" t="s">
        <v>57</v>
      </c>
      <c r="B74" s="2"/>
    </row>
    <row r="75" spans="1:20">
      <c r="A75" t="s">
        <v>53</v>
      </c>
      <c r="B75" s="1">
        <v>0</v>
      </c>
    </row>
    <row r="76" spans="1:20">
      <c r="A76" t="s">
        <v>60</v>
      </c>
      <c r="B76" s="2">
        <f>B75*B6</f>
        <v>0</v>
      </c>
      <c r="C76" s="2">
        <f>B75+B76</f>
        <v>0</v>
      </c>
    </row>
    <row r="77" spans="1:20" ht="16.2">
      <c r="A77" t="s">
        <v>64</v>
      </c>
      <c r="B77" s="2"/>
      <c r="C77" s="15">
        <f>IF(C76&gt;C73,0,MIN(C72*0.1,C73-C76))</f>
        <v>148657.40600000002</v>
      </c>
    </row>
    <row r="78" spans="1:20" ht="16.2">
      <c r="A78" t="s">
        <v>775</v>
      </c>
      <c r="B78" s="2"/>
      <c r="C78" s="27">
        <f>IF(C76&gt;C73,0,+C76-C71+C77-C72)</f>
        <v>-1479543.764</v>
      </c>
    </row>
    <row r="79" spans="1:20">
      <c r="B79" s="2"/>
    </row>
    <row r="80" spans="1:20">
      <c r="A80" s="10" t="s">
        <v>1549</v>
      </c>
      <c r="B80" s="2"/>
    </row>
    <row r="81" spans="1:3">
      <c r="A81" t="s">
        <v>58</v>
      </c>
      <c r="B81" s="2"/>
      <c r="C81" s="28">
        <f>VLOOKUP($F$1,ALLOC!$B$7:$AR$338,5,FALSE)</f>
        <v>70098.31</v>
      </c>
    </row>
    <row r="82" spans="1:3">
      <c r="A82" t="s">
        <v>55</v>
      </c>
      <c r="B82" s="2"/>
      <c r="C82" s="28">
        <f>VLOOKUP($F$1,ALLOC!$B$7:$AR$338,8,FALSE)</f>
        <v>982239.4</v>
      </c>
    </row>
    <row r="83" spans="1:3">
      <c r="A83" t="s">
        <v>56</v>
      </c>
      <c r="B83" s="2"/>
      <c r="C83" s="3">
        <f>C81+C82</f>
        <v>1052337.71</v>
      </c>
    </row>
    <row r="84" spans="1:3">
      <c r="A84" t="s">
        <v>57</v>
      </c>
      <c r="B84" s="2"/>
    </row>
    <row r="85" spans="1:3">
      <c r="A85" t="s">
        <v>53</v>
      </c>
      <c r="B85" s="1">
        <v>0</v>
      </c>
    </row>
    <row r="86" spans="1:3">
      <c r="A86" t="s">
        <v>60</v>
      </c>
      <c r="B86" s="2">
        <f>B85*B6</f>
        <v>0</v>
      </c>
      <c r="C86" s="2">
        <f>B85+B86</f>
        <v>0</v>
      </c>
    </row>
    <row r="87" spans="1:3" ht="16.2">
      <c r="A87" t="s">
        <v>64</v>
      </c>
      <c r="B87" s="2"/>
      <c r="C87" s="15">
        <f>IF(C86&gt;C83,0,MIN(C82*0.1,C83-C86))</f>
        <v>98223.94</v>
      </c>
    </row>
    <row r="88" spans="1:3" ht="16.2">
      <c r="A88" t="s">
        <v>775</v>
      </c>
      <c r="B88" s="2"/>
      <c r="C88" s="27">
        <f>IF(C86&gt;C83,0,+C86-C81+C87-C82)</f>
        <v>-954113.77</v>
      </c>
    </row>
    <row r="89" spans="1:3">
      <c r="B89" s="2"/>
    </row>
    <row r="90" spans="1:3">
      <c r="A90" s="10" t="s">
        <v>1550</v>
      </c>
      <c r="B90" s="2"/>
      <c r="C90" s="115">
        <f>+C87+C77</f>
        <v>246881.34600000002</v>
      </c>
    </row>
    <row r="91" spans="1:3">
      <c r="A91" s="10" t="s">
        <v>1570</v>
      </c>
      <c r="B91" s="2"/>
      <c r="C91" s="137">
        <f>+C78+C88</f>
        <v>-2433657.534</v>
      </c>
    </row>
    <row r="92" spans="1:3">
      <c r="B92" s="2"/>
    </row>
    <row r="93" spans="1:3">
      <c r="B93" s="2"/>
    </row>
    <row r="94" spans="1:3">
      <c r="A94" s="10" t="s">
        <v>71</v>
      </c>
    </row>
    <row r="95" spans="1:3">
      <c r="A95" t="s">
        <v>58</v>
      </c>
      <c r="B95" s="2"/>
      <c r="C95" s="28">
        <f>VLOOKUP($F$1,ALLOC!$B$7:$AR$338,19,FALSE)</f>
        <v>32336.140000000014</v>
      </c>
    </row>
    <row r="96" spans="1:3">
      <c r="A96" t="s">
        <v>55</v>
      </c>
      <c r="B96" s="2"/>
      <c r="C96" s="28">
        <f>VLOOKUP($F$1,ALLOC!$B$7:$AR$338,18,FALSE)</f>
        <v>383948.29000000004</v>
      </c>
    </row>
    <row r="97" spans="1:3">
      <c r="A97" t="s">
        <v>56</v>
      </c>
      <c r="B97" s="2"/>
      <c r="C97" s="3">
        <f>+C95+C96</f>
        <v>416284.43000000005</v>
      </c>
    </row>
    <row r="98" spans="1:3">
      <c r="A98" t="s">
        <v>57</v>
      </c>
      <c r="B98" s="2"/>
    </row>
    <row r="99" spans="1:3">
      <c r="A99" t="s">
        <v>53</v>
      </c>
      <c r="B99" s="1">
        <v>0</v>
      </c>
    </row>
    <row r="100" spans="1:3">
      <c r="A100" s="160" t="s">
        <v>60</v>
      </c>
      <c r="B100" s="28">
        <f>VLOOKUP($F$1,ALLOC!$B$7:$AR$338,20,FALSE)</f>
        <v>11206.17</v>
      </c>
      <c r="C100" s="2">
        <f>B99+B100</f>
        <v>11206.17</v>
      </c>
    </row>
    <row r="101" spans="1:3" ht="16.2">
      <c r="A101" t="s">
        <v>64</v>
      </c>
      <c r="B101" s="2"/>
      <c r="C101" s="15">
        <f>IF(C100&gt;C97,0,MIN(C96*0.1,C97-C100))</f>
        <v>38394.829000000005</v>
      </c>
    </row>
    <row r="102" spans="1:3" ht="16.2">
      <c r="A102" t="s">
        <v>775</v>
      </c>
      <c r="B102" s="2"/>
      <c r="C102" s="29">
        <f>MIN(C96,C100-C95)+C101-C96</f>
        <v>-366683.43100000004</v>
      </c>
    </row>
    <row r="104" spans="1:3">
      <c r="A104" s="10" t="s">
        <v>777</v>
      </c>
    </row>
    <row r="105" spans="1:3">
      <c r="A105" t="s">
        <v>58</v>
      </c>
      <c r="B105" s="2"/>
      <c r="C105" s="28">
        <f>VLOOKUP($F$1,ALLOC!$B$7:$AR$338,16,FALSE)</f>
        <v>0</v>
      </c>
    </row>
    <row r="106" spans="1:3">
      <c r="A106" t="s">
        <v>55</v>
      </c>
      <c r="B106" s="2"/>
      <c r="C106" s="28">
        <f>VLOOKUP($F$1,ALLOC!$B$7:$AR$338,15,FALSE)</f>
        <v>0</v>
      </c>
    </row>
    <row r="107" spans="1:3">
      <c r="A107" t="s">
        <v>56</v>
      </c>
      <c r="B107" s="2"/>
      <c r="C107" s="3">
        <f>+C105+C106</f>
        <v>0</v>
      </c>
    </row>
    <row r="108" spans="1:3">
      <c r="A108" t="s">
        <v>57</v>
      </c>
      <c r="B108" s="2"/>
    </row>
    <row r="109" spans="1:3">
      <c r="A109" t="s">
        <v>53</v>
      </c>
      <c r="B109" s="1">
        <v>0</v>
      </c>
    </row>
    <row r="110" spans="1:3">
      <c r="A110" s="160" t="s">
        <v>60</v>
      </c>
      <c r="B110" s="28">
        <f>VLOOKUP($F$1,ALLOC!$B$7:$AR$338,17,FALSE)</f>
        <v>0</v>
      </c>
      <c r="C110" s="2">
        <f>B109+B110</f>
        <v>0</v>
      </c>
    </row>
    <row r="111" spans="1:3" ht="16.2">
      <c r="A111" t="s">
        <v>64</v>
      </c>
      <c r="B111" s="2"/>
      <c r="C111" s="15">
        <f>IF(C110&gt;C107,0,MIN(C106*0.1,C107-C110))</f>
        <v>0</v>
      </c>
    </row>
    <row r="112" spans="1:3" ht="16.2">
      <c r="A112" t="s">
        <v>775</v>
      </c>
      <c r="B112" s="2"/>
      <c r="C112" s="29">
        <f>MIN(C106,C110-C105)+C111-C106</f>
        <v>0</v>
      </c>
    </row>
    <row r="114" spans="1:3">
      <c r="A114" s="10" t="s">
        <v>783</v>
      </c>
    </row>
    <row r="115" spans="1:3">
      <c r="A115" t="s">
        <v>779</v>
      </c>
      <c r="C115" s="28">
        <f>VLOOKUP($F$1,ALLOC!$B$7:$AR$338,10,FALSE)</f>
        <v>780235.53</v>
      </c>
    </row>
    <row r="116" spans="1:3">
      <c r="A116" t="s">
        <v>53</v>
      </c>
      <c r="B116" s="1">
        <v>0</v>
      </c>
    </row>
    <row r="117" spans="1:3">
      <c r="A117" t="s">
        <v>60</v>
      </c>
      <c r="B117" s="5">
        <f>B116*B5</f>
        <v>0</v>
      </c>
      <c r="C117" s="2">
        <f>+B116+B117</f>
        <v>0</v>
      </c>
    </row>
    <row r="118" spans="1:3" ht="16.2">
      <c r="A118" t="s">
        <v>775</v>
      </c>
      <c r="C118" s="30">
        <f>MIN(C115,C117)-C115</f>
        <v>-780235.53</v>
      </c>
    </row>
    <row r="120" spans="1:3">
      <c r="A120" s="10" t="s">
        <v>778</v>
      </c>
    </row>
    <row r="121" spans="1:3">
      <c r="A121" t="s">
        <v>779</v>
      </c>
      <c r="C121" s="28">
        <f>VLOOKUP($F$1,ALLOC!$B$7:$AR$338,11,FALSE)</f>
        <v>96620.82</v>
      </c>
    </row>
    <row r="122" spans="1:3">
      <c r="A122" t="s">
        <v>53</v>
      </c>
      <c r="B122" s="1">
        <v>0</v>
      </c>
    </row>
    <row r="123" spans="1:3">
      <c r="A123" t="s">
        <v>60</v>
      </c>
      <c r="B123" s="5">
        <f>B122*B5</f>
        <v>0</v>
      </c>
      <c r="C123" s="2">
        <f>+B122+B123</f>
        <v>0</v>
      </c>
    </row>
    <row r="124" spans="1:3" ht="16.2">
      <c r="A124" t="s">
        <v>775</v>
      </c>
      <c r="C124" s="30">
        <f>MIN(C121,C123)-C121</f>
        <v>-96620.82</v>
      </c>
    </row>
    <row r="127" spans="1:3">
      <c r="A127" s="10" t="s">
        <v>780</v>
      </c>
    </row>
    <row r="128" spans="1:3">
      <c r="A128" t="s">
        <v>1613</v>
      </c>
      <c r="C128" s="138">
        <f>VLOOKUP($F$1,ALLOC!$B$7:$AR$338,12,FALSE)</f>
        <v>1817016.64</v>
      </c>
    </row>
    <row r="129" spans="1:6">
      <c r="A129" t="s">
        <v>1656</v>
      </c>
      <c r="C129" s="138">
        <f>VLOOKUP($F$1,ALLOC!$B$7:$AR$338,41,FALSE)</f>
        <v>0</v>
      </c>
      <c r="F129" s="5"/>
    </row>
    <row r="130" spans="1:6">
      <c r="A130" t="s">
        <v>53</v>
      </c>
      <c r="B130" s="1">
        <v>0</v>
      </c>
    </row>
    <row r="131" spans="1:6">
      <c r="A131" t="s">
        <v>1572</v>
      </c>
      <c r="B131" s="5">
        <f>B130*B5</f>
        <v>0</v>
      </c>
      <c r="C131" s="2">
        <f>+B130+B131</f>
        <v>0</v>
      </c>
    </row>
    <row r="132" spans="1:6">
      <c r="A132" t="s">
        <v>781</v>
      </c>
      <c r="C132" s="1">
        <v>0</v>
      </c>
    </row>
    <row r="133" spans="1:6">
      <c r="A133" t="s">
        <v>1558</v>
      </c>
      <c r="C133" s="2">
        <f>C131+-C132</f>
        <v>0</v>
      </c>
      <c r="F133" s="5"/>
    </row>
    <row r="134" spans="1:6">
      <c r="A134" t="s">
        <v>1614</v>
      </c>
      <c r="C134" s="163">
        <f>MIN(C128+C129,C133)</f>
        <v>0</v>
      </c>
    </row>
    <row r="135" spans="1:6" ht="15" thickBot="1">
      <c r="A135" t="s">
        <v>1573</v>
      </c>
      <c r="C135" s="140">
        <f>((C128+C129)-C134)*-1</f>
        <v>-1817016.64</v>
      </c>
      <c r="F135" s="5"/>
    </row>
    <row r="136" spans="1:6" ht="15" thickTop="1">
      <c r="A136" t="s">
        <v>1133</v>
      </c>
      <c r="C136" s="64">
        <f>B130*(1+B6)</f>
        <v>0</v>
      </c>
    </row>
    <row r="138" spans="1:6">
      <c r="A138" s="10" t="s">
        <v>1140</v>
      </c>
    </row>
    <row r="139" spans="1:6">
      <c r="A139" t="s">
        <v>1141</v>
      </c>
      <c r="C139" s="28">
        <f>VLOOKUP($F$1,ALLOC!$B$7:$AR$338,24,FALSE)</f>
        <v>151.72</v>
      </c>
    </row>
    <row r="140" spans="1:6">
      <c r="A140" t="s">
        <v>1142</v>
      </c>
      <c r="C140" s="1">
        <v>0</v>
      </c>
    </row>
    <row r="141" spans="1:6" ht="16.2">
      <c r="A141" t="s">
        <v>775</v>
      </c>
      <c r="C141" s="30">
        <f>-C139+C140</f>
        <v>-151.72</v>
      </c>
    </row>
    <row r="143" spans="1:6">
      <c r="A143" s="7" t="s">
        <v>788</v>
      </c>
    </row>
    <row r="144" spans="1:6">
      <c r="A144" s="112" t="s">
        <v>1590</v>
      </c>
      <c r="C144" s="110">
        <f>C16</f>
        <v>353855.61</v>
      </c>
    </row>
    <row r="145" spans="1:6">
      <c r="A145" s="11" t="s">
        <v>73</v>
      </c>
      <c r="C145" s="2">
        <f>C29</f>
        <v>643230.49800000014</v>
      </c>
    </row>
    <row r="146" spans="1:6">
      <c r="A146" s="11" t="s">
        <v>76</v>
      </c>
      <c r="C146" s="2">
        <f>C39</f>
        <v>0</v>
      </c>
    </row>
    <row r="147" spans="1:6">
      <c r="A147" s="112" t="s">
        <v>1529</v>
      </c>
      <c r="C147" s="110">
        <f>C48</f>
        <v>0</v>
      </c>
    </row>
    <row r="148" spans="1:6" s="206" customFormat="1">
      <c r="A148" s="207" t="s">
        <v>75</v>
      </c>
      <c r="C148" s="208">
        <f>C54</f>
        <v>259439.30299999999</v>
      </c>
    </row>
    <row r="149" spans="1:6" s="206" customFormat="1">
      <c r="A149" s="207" t="s">
        <v>786</v>
      </c>
      <c r="C149" s="208">
        <f>C64</f>
        <v>107993.37900000002</v>
      </c>
    </row>
    <row r="150" spans="1:6">
      <c r="A150" s="11" t="s">
        <v>74</v>
      </c>
      <c r="C150" s="2">
        <f>C77</f>
        <v>148657.40600000002</v>
      </c>
    </row>
    <row r="151" spans="1:6">
      <c r="A151" s="112" t="s">
        <v>1551</v>
      </c>
      <c r="C151" s="2">
        <f>C87</f>
        <v>98223.94</v>
      </c>
    </row>
    <row r="152" spans="1:6">
      <c r="A152" s="11" t="s">
        <v>77</v>
      </c>
      <c r="C152" s="2">
        <f>C101</f>
        <v>38394.829000000005</v>
      </c>
    </row>
    <row r="153" spans="1:6">
      <c r="A153" s="11" t="s">
        <v>787</v>
      </c>
      <c r="C153" s="2">
        <f>C111</f>
        <v>0</v>
      </c>
    </row>
    <row r="154" spans="1:6">
      <c r="A154" s="7" t="s">
        <v>78</v>
      </c>
      <c r="C154" s="16">
        <f>SUM(C144:C153)</f>
        <v>1649794.9649999999</v>
      </c>
      <c r="F154" s="5"/>
    </row>
    <row r="157" spans="1:6">
      <c r="A157" s="680" t="s">
        <v>774</v>
      </c>
      <c r="B157" s="681"/>
      <c r="C157" s="682"/>
    </row>
    <row r="158" spans="1:6">
      <c r="A158" s="11" t="s">
        <v>789</v>
      </c>
      <c r="C158" s="2">
        <f>C30</f>
        <v>-7306130.1940000001</v>
      </c>
      <c r="D158" s="5"/>
    </row>
    <row r="159" spans="1:6">
      <c r="A159" s="11" t="s">
        <v>790</v>
      </c>
      <c r="C159" s="2">
        <f>C40</f>
        <v>0</v>
      </c>
    </row>
    <row r="160" spans="1:6">
      <c r="A160" s="11" t="s">
        <v>791</v>
      </c>
      <c r="C160" s="2">
        <f>C57</f>
        <v>-191999.43</v>
      </c>
      <c r="D160" s="5"/>
    </row>
    <row r="161" spans="1:6">
      <c r="A161" s="11" t="s">
        <v>792</v>
      </c>
      <c r="C161" s="2">
        <f>C67</f>
        <v>-52503.16</v>
      </c>
      <c r="D161" s="5"/>
    </row>
    <row r="162" spans="1:6">
      <c r="A162" s="11" t="s">
        <v>793</v>
      </c>
      <c r="C162" s="2">
        <f>C91</f>
        <v>-2433657.534</v>
      </c>
      <c r="D162" s="5"/>
      <c r="F162" s="5"/>
    </row>
    <row r="163" spans="1:6">
      <c r="A163" s="11" t="s">
        <v>794</v>
      </c>
      <c r="C163" s="2">
        <f>C102</f>
        <v>-366683.43100000004</v>
      </c>
      <c r="D163" s="5"/>
    </row>
    <row r="164" spans="1:6">
      <c r="A164" s="11" t="s">
        <v>795</v>
      </c>
      <c r="C164" s="2">
        <f>C112</f>
        <v>0</v>
      </c>
    </row>
    <row r="165" spans="1:6">
      <c r="A165" s="11" t="s">
        <v>784</v>
      </c>
      <c r="C165" s="2">
        <f>C118</f>
        <v>-780235.53</v>
      </c>
    </row>
    <row r="166" spans="1:6">
      <c r="A166" s="11" t="s">
        <v>782</v>
      </c>
      <c r="C166" s="2">
        <f>C124</f>
        <v>-96620.82</v>
      </c>
    </row>
    <row r="167" spans="1:6">
      <c r="A167" s="11" t="s">
        <v>785</v>
      </c>
      <c r="C167" s="2">
        <f>C135</f>
        <v>-1817016.64</v>
      </c>
    </row>
    <row r="168" spans="1:6">
      <c r="A168" s="11" t="s">
        <v>1139</v>
      </c>
      <c r="C168" s="2">
        <f>IF(C141&lt;0,C141,0)</f>
        <v>-151.72</v>
      </c>
    </row>
    <row r="169" spans="1:6">
      <c r="A169" s="31" t="s">
        <v>796</v>
      </c>
      <c r="C169" s="16">
        <f>IF(VLOOKUP($F$1,CCDDD!$D$2:$G$331,4,FALSE)="Cash",-SUM('GL 821 Restricted'!C158:C168),0)</f>
        <v>0</v>
      </c>
    </row>
    <row r="171" spans="1:6" ht="16.2">
      <c r="A171" s="11" t="s">
        <v>797</v>
      </c>
      <c r="C171" s="32">
        <f>C154+C169</f>
        <v>1649794.9649999999</v>
      </c>
    </row>
    <row r="173" spans="1:6" ht="30.75" customHeight="1">
      <c r="A173" s="683" t="s">
        <v>2039</v>
      </c>
      <c r="B173" s="684"/>
      <c r="C173" s="209">
        <f>IF(C169=0,ABS(SUM(C158:C168)),0)</f>
        <v>13044998.459000001</v>
      </c>
    </row>
    <row r="174" spans="1:6">
      <c r="A174" s="6" t="s">
        <v>809</v>
      </c>
    </row>
  </sheetData>
  <mergeCells count="7">
    <mergeCell ref="A1:C1"/>
    <mergeCell ref="A2:C2"/>
    <mergeCell ref="A157:C157"/>
    <mergeCell ref="A173:B173"/>
    <mergeCell ref="E10:G17"/>
    <mergeCell ref="F50:J52"/>
    <mergeCell ref="F42:J48"/>
  </mergeCells>
  <conditionalFormatting sqref="I56">
    <cfRule type="cellIs" dxfId="62" priority="3" operator="lessThan">
      <formula>1</formula>
    </cfRule>
    <cfRule type="cellIs" dxfId="61" priority="4" operator="greaterThan">
      <formula>1</formula>
    </cfRule>
  </conditionalFormatting>
  <conditionalFormatting sqref="I61">
    <cfRule type="cellIs" dxfId="60" priority="1" operator="lessThan">
      <formula>1</formula>
    </cfRule>
    <cfRule type="cellIs" dxfId="59" priority="2" operator="greaterThan">
      <formula>1</formula>
    </cfRule>
  </conditionalFormatting>
  <hyperlinks>
    <hyperlink ref="A3" location="'Fund Balance Summary'!A1" display="(Return to summary sheet)" xr:uid="{00000000-0004-0000-0800-000000000000}"/>
    <hyperlink ref="A174" location="'Journal Entries'!A1" display="(Click here for sample journal entries relating to recovery.)" xr:uid="{00000000-0004-0000-0800-000001000000}"/>
  </hyperlink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7</vt:i4>
      </vt:variant>
    </vt:vector>
  </HeadingPairs>
  <TitlesOfParts>
    <vt:vector size="48" baseType="lpstr">
      <vt:lpstr>Please Read Instructions</vt:lpstr>
      <vt:lpstr>CCDDD</vt:lpstr>
      <vt:lpstr>Fund Balance Summary</vt:lpstr>
      <vt:lpstr>ALLOC</vt:lpstr>
      <vt:lpstr>Indirects</vt:lpstr>
      <vt:lpstr>GL 810 Restricted</vt:lpstr>
      <vt:lpstr>GL 815 Restricted</vt:lpstr>
      <vt:lpstr>GL 819 Restricted</vt:lpstr>
      <vt:lpstr>GL 821 Restricted</vt:lpstr>
      <vt:lpstr>PLD Allocation</vt:lpstr>
      <vt:lpstr>1191 PLD 34 Annual Detail</vt:lpstr>
      <vt:lpstr>GL 823 Restricted</vt:lpstr>
      <vt:lpstr>GL 825 Restricted</vt:lpstr>
      <vt:lpstr>GL 828 Restricted</vt:lpstr>
      <vt:lpstr>Food Svc Carryover</vt:lpstr>
      <vt:lpstr>Sheet1</vt:lpstr>
      <vt:lpstr>GL 830 Restricted</vt:lpstr>
      <vt:lpstr>GL 835 Restricted</vt:lpstr>
      <vt:lpstr>GL 840 Nonspendable</vt:lpstr>
      <vt:lpstr>GL 845 Restricted</vt:lpstr>
      <vt:lpstr>GL 850 Restricted</vt:lpstr>
      <vt:lpstr>GL 855 Nonspendable</vt:lpstr>
      <vt:lpstr>GL 861 CPF Restricted</vt:lpstr>
      <vt:lpstr>GL 862 CPF Restricted</vt:lpstr>
      <vt:lpstr>GL 863 CPF Restricted</vt:lpstr>
      <vt:lpstr>GL 864 CPF Restricted</vt:lpstr>
      <vt:lpstr>GL 865 CPF Restricted</vt:lpstr>
      <vt:lpstr>GL 866 CPF Restricted</vt:lpstr>
      <vt:lpstr>GL 867 CPF Restricted</vt:lpstr>
      <vt:lpstr>GL 868 CPF Restricted</vt:lpstr>
      <vt:lpstr>GL 869 CPF Restricted</vt:lpstr>
      <vt:lpstr>GL 870 Committed</vt:lpstr>
      <vt:lpstr>GL 872 Committed</vt:lpstr>
      <vt:lpstr>GL 873 Committed</vt:lpstr>
      <vt:lpstr>GL 875 Assigned</vt:lpstr>
      <vt:lpstr>GL 884 Assigned</vt:lpstr>
      <vt:lpstr>GL 888 Assigned</vt:lpstr>
      <vt:lpstr>GL 889 Assigned</vt:lpstr>
      <vt:lpstr>GL 890 Unassigned</vt:lpstr>
      <vt:lpstr>GL 891 Unassigned MFBP</vt:lpstr>
      <vt:lpstr>Journal Entries</vt:lpstr>
      <vt:lpstr>DISNAME</vt:lpstr>
      <vt:lpstr>disnameA</vt:lpstr>
      <vt:lpstr>'Fund Balance Summary'!Print_Area</vt:lpstr>
      <vt:lpstr>'GL 821 Restricted'!Print_Area</vt:lpstr>
      <vt:lpstr>'GL 823 Restricted'!Print_Area</vt:lpstr>
      <vt:lpstr>'GL 828 Restricted'!Print_Area</vt:lpstr>
      <vt:lpstr>'Please Read Instructions'!Print_Area</vt:lpstr>
    </vt:vector>
  </TitlesOfParts>
  <Company>OSPI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 Balance Reporting Tool</dc:title>
  <dc:creator>OSPI/SAFS</dc:creator>
  <cp:keywords>fund balance, GASB 54</cp:keywords>
  <cp:lastModifiedBy>Paul Stone</cp:lastModifiedBy>
  <cp:lastPrinted>2025-09-11T19:00:19Z</cp:lastPrinted>
  <dcterms:created xsi:type="dcterms:W3CDTF">2011-05-18T18:10:29Z</dcterms:created>
  <dcterms:modified xsi:type="dcterms:W3CDTF">2025-10-01T20:29:18Z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2024-05-21T19:58:50Z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2b547332-ca2c-4957-bc64-4fe07d7da369</vt:lpwstr>
  </property>
  <property fmtid="{D5CDD505-2E9C-101B-9397-08002B2CF9AE}" pid="8" name="MSIP_Label_9145f431-4c8c-42c6-a5a5-ba6d3bdea585_ContentBits">
    <vt:lpwstr>0</vt:lpwstr>
  </property>
</Properties>
</file>