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S:\Apportionment_NEW\Personnel\School_District_Personnel_Summary_Reports\2024-2025\FinalPSR\"/>
    </mc:Choice>
  </mc:AlternateContent>
  <xr:revisionPtr revIDLastSave="0" documentId="13_ncr:1_{480FFECA-8BA5-43E5-A54B-F6AF580B64FB}" xr6:coauthVersionLast="47" xr6:coauthVersionMax="47" xr10:uidLastSave="{00000000-0000-0000-0000-000000000000}"/>
  <bookViews>
    <workbookView xWindow="-108" yWindow="-108" windowWidth="23256" windowHeight="12456" tabRatio="508" firstSheet="1" activeTab="7" xr2:uid="{00000000-000D-0000-FFFF-FFFF00000000}"/>
  </bookViews>
  <sheets>
    <sheet name="Table 1" sheetId="1" r:id="rId1"/>
    <sheet name="Table 2" sheetId="2" r:id="rId2"/>
    <sheet name="Table 3" sheetId="4" r:id="rId3"/>
    <sheet name="table3ws1" sheetId="5" r:id="rId4"/>
    <sheet name="table3ws2" sheetId="6" r:id="rId5"/>
    <sheet name="Table 4" sheetId="8" r:id="rId6"/>
    <sheet name="table4ws" sheetId="9" r:id="rId7"/>
    <sheet name="Table 5-6" sheetId="10" r:id="rId8"/>
    <sheet name="table5-6ws1" sheetId="11" r:id="rId9"/>
    <sheet name="table7ws" sheetId="17" r:id="rId10"/>
  </sheets>
  <definedNames>
    <definedName name="_xlnm._FilterDatabase" localSheetId="6" hidden="1">table4ws!$A$6:$G$6</definedName>
    <definedName name="_xlnm._FilterDatabase" localSheetId="8" hidden="1">'table5-6ws1'!$A$4:$Q$742</definedName>
    <definedName name="_xlnm._FilterDatabase" localSheetId="9" hidden="1">table7ws!$A$6:$J$6</definedName>
    <definedName name="_xlnm.Print_Area" localSheetId="0">'Table 1'!$A$1:$L$95</definedName>
    <definedName name="_xlnm.Print_Area" localSheetId="7">'Table 5-6'!$A$1:$I$63</definedName>
    <definedName name="_xlnm.Print_Titles" localSheetId="6">table4ws!#REF!</definedName>
    <definedName name="_xlnm.Print_Titles" localSheetId="8">'table5-6ws1'!$1:$4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96" i="11" l="1"/>
  <c r="F596" i="11"/>
  <c r="F542" i="11"/>
  <c r="G286" i="11"/>
  <c r="F286" i="11"/>
  <c r="F134" i="11"/>
  <c r="K725" i="11"/>
  <c r="J725" i="11"/>
  <c r="I725" i="11"/>
  <c r="H725" i="11"/>
  <c r="F725" i="11"/>
  <c r="G725" i="11"/>
  <c r="Q569" i="11"/>
  <c r="P569" i="11"/>
  <c r="P542" i="11"/>
  <c r="Q542" i="11"/>
  <c r="M542" i="11"/>
  <c r="L542" i="11"/>
  <c r="K542" i="11"/>
  <c r="J542" i="11"/>
  <c r="G542" i="11"/>
  <c r="K139" i="11"/>
  <c r="J139" i="11"/>
  <c r="G139" i="11"/>
  <c r="F139" i="11"/>
  <c r="K134" i="11"/>
  <c r="J134" i="11"/>
  <c r="G134" i="11"/>
  <c r="Q91" i="11"/>
  <c r="P91" i="11"/>
  <c r="K91" i="11"/>
  <c r="J91" i="11"/>
  <c r="G91" i="11"/>
  <c r="Q73" i="11"/>
  <c r="O72" i="1"/>
  <c r="O71" i="1"/>
  <c r="Q764" i="11"/>
  <c r="P764" i="11"/>
  <c r="M764" i="11"/>
  <c r="L764" i="11"/>
  <c r="I764" i="11"/>
  <c r="H764" i="11"/>
  <c r="M755" i="11"/>
  <c r="L755" i="11"/>
  <c r="Q178" i="11"/>
  <c r="P178" i="11"/>
  <c r="M419" i="11"/>
  <c r="L419" i="11"/>
  <c r="M350" i="11"/>
  <c r="L350" i="11"/>
  <c r="M73" i="11"/>
  <c r="L73" i="11"/>
  <c r="K596" i="11" l="1"/>
  <c r="J596" i="11"/>
  <c r="M436" i="11"/>
  <c r="L436" i="11"/>
  <c r="K436" i="11"/>
  <c r="J436" i="11"/>
  <c r="K419" i="11"/>
  <c r="J419" i="11"/>
  <c r="K119" i="11"/>
  <c r="J119" i="11"/>
  <c r="K114" i="11"/>
  <c r="K755" i="11" s="1"/>
  <c r="J114" i="11"/>
  <c r="J755" i="11" s="1"/>
  <c r="K738" i="11"/>
  <c r="J738" i="11"/>
  <c r="I738" i="11"/>
  <c r="H738" i="11"/>
  <c r="Q286" i="11"/>
  <c r="P286" i="11"/>
  <c r="K286" i="11"/>
  <c r="J286" i="11"/>
  <c r="I286" i="11"/>
  <c r="H286" i="11"/>
  <c r="Q244" i="11"/>
  <c r="P244" i="11"/>
  <c r="M678" i="11"/>
  <c r="L678" i="11"/>
  <c r="I678" i="11"/>
  <c r="H678" i="11"/>
  <c r="G678" i="11"/>
  <c r="F678" i="11"/>
  <c r="M659" i="11"/>
  <c r="L659" i="11"/>
  <c r="G659" i="11"/>
  <c r="F659" i="11"/>
  <c r="K500" i="11"/>
  <c r="J500" i="11"/>
  <c r="G500" i="11"/>
  <c r="F500" i="11"/>
  <c r="Q466" i="11"/>
  <c r="P466" i="11"/>
  <c r="K466" i="11"/>
  <c r="J466" i="11"/>
  <c r="G466" i="11"/>
  <c r="F466" i="11"/>
  <c r="M374" i="11"/>
  <c r="L374" i="11"/>
  <c r="G374" i="11"/>
  <c r="F374" i="11"/>
  <c r="Q122" i="11"/>
  <c r="P122" i="11"/>
  <c r="E742" i="11"/>
  <c r="D742" i="11"/>
  <c r="K323" i="11"/>
  <c r="K764" i="11" s="1"/>
  <c r="J323" i="11"/>
  <c r="J764" i="11" s="1"/>
  <c r="G323" i="11"/>
  <c r="G764" i="11" s="1"/>
  <c r="F323" i="11"/>
  <c r="F764" i="11" s="1"/>
  <c r="G326" i="9"/>
  <c r="G325" i="9"/>
  <c r="G324" i="9"/>
  <c r="G323" i="9"/>
  <c r="G322" i="9"/>
  <c r="G321" i="9"/>
  <c r="G320" i="9"/>
  <c r="G319" i="9"/>
  <c r="G318" i="9"/>
  <c r="G317" i="9"/>
  <c r="G316" i="9"/>
  <c r="G315" i="9"/>
  <c r="G314" i="9"/>
  <c r="G313" i="9"/>
  <c r="G312" i="9"/>
  <c r="G311" i="9"/>
  <c r="G310" i="9"/>
  <c r="G309" i="9"/>
  <c r="G308" i="9"/>
  <c r="G307" i="9"/>
  <c r="G306" i="9"/>
  <c r="G305" i="9"/>
  <c r="G304" i="9"/>
  <c r="G303" i="9"/>
  <c r="G302" i="9"/>
  <c r="G301" i="9"/>
  <c r="G300" i="9"/>
  <c r="G299" i="9"/>
  <c r="G298" i="9"/>
  <c r="G297" i="9"/>
  <c r="G296" i="9"/>
  <c r="G295" i="9"/>
  <c r="G294" i="9"/>
  <c r="G293" i="9"/>
  <c r="G292" i="9"/>
  <c r="G291" i="9"/>
  <c r="G290" i="9"/>
  <c r="G289" i="9"/>
  <c r="G288" i="9"/>
  <c r="G287" i="9"/>
  <c r="G286" i="9"/>
  <c r="G285" i="9"/>
  <c r="G284" i="9"/>
  <c r="G283" i="9"/>
  <c r="G282" i="9"/>
  <c r="G281" i="9"/>
  <c r="G280" i="9"/>
  <c r="G279" i="9"/>
  <c r="G278" i="9"/>
  <c r="G277" i="9"/>
  <c r="G276" i="9"/>
  <c r="G275" i="9"/>
  <c r="G274" i="9"/>
  <c r="G273" i="9"/>
  <c r="G272" i="9"/>
  <c r="G271" i="9"/>
  <c r="G270" i="9"/>
  <c r="G269" i="9"/>
  <c r="G268" i="9"/>
  <c r="G267" i="9"/>
  <c r="G266" i="9"/>
  <c r="G265" i="9"/>
  <c r="G264" i="9"/>
  <c r="G263" i="9"/>
  <c r="G262" i="9"/>
  <c r="G261" i="9"/>
  <c r="G260" i="9"/>
  <c r="G259" i="9"/>
  <c r="G258" i="9"/>
  <c r="G257" i="9"/>
  <c r="G256" i="9"/>
  <c r="G255" i="9"/>
  <c r="G254" i="9"/>
  <c r="G253" i="9"/>
  <c r="G252" i="9"/>
  <c r="G251" i="9"/>
  <c r="G250" i="9"/>
  <c r="G249" i="9"/>
  <c r="G248" i="9"/>
  <c r="G247" i="9"/>
  <c r="G246" i="9"/>
  <c r="G245" i="9"/>
  <c r="G244" i="9"/>
  <c r="G243" i="9"/>
  <c r="G242" i="9"/>
  <c r="G241" i="9"/>
  <c r="G240" i="9"/>
  <c r="G239" i="9"/>
  <c r="G238" i="9"/>
  <c r="G237" i="9"/>
  <c r="G236" i="9"/>
  <c r="G235" i="9"/>
  <c r="G234" i="9"/>
  <c r="G233" i="9"/>
  <c r="G232" i="9"/>
  <c r="G231" i="9"/>
  <c r="G230" i="9"/>
  <c r="G229" i="9"/>
  <c r="G228" i="9"/>
  <c r="G227" i="9"/>
  <c r="G226" i="9"/>
  <c r="G225" i="9"/>
  <c r="G224" i="9"/>
  <c r="G223" i="9"/>
  <c r="G222" i="9"/>
  <c r="G221" i="9"/>
  <c r="G220" i="9"/>
  <c r="G219" i="9"/>
  <c r="G218" i="9"/>
  <c r="G217" i="9"/>
  <c r="G216" i="9"/>
  <c r="G215" i="9"/>
  <c r="G214" i="9"/>
  <c r="G213" i="9"/>
  <c r="G212" i="9"/>
  <c r="G211" i="9"/>
  <c r="G210" i="9"/>
  <c r="G209" i="9"/>
  <c r="G208" i="9"/>
  <c r="G207" i="9"/>
  <c r="G206" i="9"/>
  <c r="G205" i="9"/>
  <c r="G204" i="9"/>
  <c r="G203" i="9"/>
  <c r="G202" i="9"/>
  <c r="G201" i="9"/>
  <c r="G200" i="9"/>
  <c r="G199" i="9"/>
  <c r="G198" i="9"/>
  <c r="G197" i="9"/>
  <c r="G196" i="9"/>
  <c r="G195" i="9"/>
  <c r="G194" i="9"/>
  <c r="G193" i="9"/>
  <c r="G192" i="9"/>
  <c r="G191" i="9"/>
  <c r="G190" i="9"/>
  <c r="G189" i="9"/>
  <c r="G188" i="9"/>
  <c r="G187" i="9"/>
  <c r="G186" i="9"/>
  <c r="G185" i="9"/>
  <c r="G184" i="9"/>
  <c r="G183" i="9"/>
  <c r="G182" i="9"/>
  <c r="G181" i="9"/>
  <c r="G180" i="9"/>
  <c r="G179" i="9"/>
  <c r="G178" i="9"/>
  <c r="G177" i="9"/>
  <c r="G176" i="9"/>
  <c r="G175" i="9"/>
  <c r="G174" i="9"/>
  <c r="G173" i="9"/>
  <c r="G172" i="9"/>
  <c r="G171" i="9"/>
  <c r="G170" i="9"/>
  <c r="G169" i="9"/>
  <c r="G168" i="9"/>
  <c r="G167" i="9"/>
  <c r="G166" i="9"/>
  <c r="G165" i="9"/>
  <c r="G164" i="9"/>
  <c r="G163" i="9"/>
  <c r="G162" i="9"/>
  <c r="G161" i="9"/>
  <c r="G160" i="9"/>
  <c r="G159" i="9"/>
  <c r="G158" i="9"/>
  <c r="G157" i="9"/>
  <c r="G156" i="9"/>
  <c r="G155" i="9"/>
  <c r="G154" i="9"/>
  <c r="G153" i="9"/>
  <c r="G152" i="9"/>
  <c r="G151" i="9"/>
  <c r="G150" i="9"/>
  <c r="G149" i="9"/>
  <c r="G148" i="9"/>
  <c r="G147" i="9"/>
  <c r="G146" i="9"/>
  <c r="G145" i="9"/>
  <c r="G144" i="9"/>
  <c r="G143" i="9"/>
  <c r="G142" i="9"/>
  <c r="G141" i="9"/>
  <c r="G140" i="9"/>
  <c r="G139" i="9"/>
  <c r="G138" i="9"/>
  <c r="G137" i="9"/>
  <c r="G136" i="9"/>
  <c r="G135" i="9"/>
  <c r="G134" i="9"/>
  <c r="G133" i="9"/>
  <c r="G132" i="9"/>
  <c r="G131" i="9"/>
  <c r="G130" i="9"/>
  <c r="G129" i="9"/>
  <c r="G128" i="9"/>
  <c r="G127" i="9"/>
  <c r="G126" i="9"/>
  <c r="G125" i="9"/>
  <c r="G124" i="9"/>
  <c r="G123" i="9"/>
  <c r="G122" i="9"/>
  <c r="G121" i="9"/>
  <c r="G120" i="9"/>
  <c r="G119" i="9"/>
  <c r="G118" i="9"/>
  <c r="G117" i="9"/>
  <c r="G116" i="9"/>
  <c r="G115" i="9"/>
  <c r="G114" i="9"/>
  <c r="G113" i="9"/>
  <c r="G112" i="9"/>
  <c r="G111" i="9"/>
  <c r="G110" i="9"/>
  <c r="G109" i="9"/>
  <c r="G108" i="9"/>
  <c r="G107" i="9"/>
  <c r="G106" i="9"/>
  <c r="G105" i="9"/>
  <c r="G104" i="9"/>
  <c r="G103" i="9"/>
  <c r="G102" i="9"/>
  <c r="G101" i="9"/>
  <c r="G100" i="9"/>
  <c r="G99" i="9"/>
  <c r="G98" i="9"/>
  <c r="G97" i="9"/>
  <c r="G96" i="9"/>
  <c r="G95" i="9"/>
  <c r="G94" i="9"/>
  <c r="G93" i="9"/>
  <c r="G92" i="9"/>
  <c r="G91" i="9"/>
  <c r="G90" i="9"/>
  <c r="G89" i="9"/>
  <c r="G88" i="9"/>
  <c r="G87" i="9"/>
  <c r="G86" i="9"/>
  <c r="G85" i="9"/>
  <c r="G84" i="9"/>
  <c r="G83" i="9"/>
  <c r="G82" i="9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3" i="9"/>
  <c r="G62" i="9"/>
  <c r="G61" i="9"/>
  <c r="G60" i="9"/>
  <c r="G59" i="9"/>
  <c r="G58" i="9"/>
  <c r="G57" i="9"/>
  <c r="G56" i="9"/>
  <c r="G55" i="9"/>
  <c r="G54" i="9"/>
  <c r="G53" i="9"/>
  <c r="G52" i="9"/>
  <c r="G51" i="9"/>
  <c r="G50" i="9"/>
  <c r="G49" i="9"/>
  <c r="G48" i="9"/>
  <c r="G47" i="9"/>
  <c r="G46" i="9"/>
  <c r="G45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8" i="9"/>
  <c r="G7" i="9"/>
  <c r="G3" i="9"/>
  <c r="N323" i="11" l="1"/>
  <c r="N764" i="11" s="1"/>
  <c r="O323" i="11"/>
  <c r="O764" i="11" s="1"/>
  <c r="M58" i="8"/>
  <c r="K58" i="8"/>
  <c r="J58" i="8"/>
  <c r="H58" i="8"/>
  <c r="G58" i="8"/>
  <c r="F58" i="8"/>
  <c r="E58" i="8"/>
  <c r="D58" i="8"/>
  <c r="C58" i="8"/>
  <c r="I72" i="1"/>
  <c r="I71" i="1"/>
  <c r="D71" i="1"/>
  <c r="B71" i="1"/>
  <c r="L58" i="8" l="1"/>
  <c r="F71" i="1" l="1"/>
  <c r="P523" i="11"/>
  <c r="Q523" i="11"/>
  <c r="Q42" i="11"/>
  <c r="P42" i="11"/>
  <c r="K520" i="11"/>
  <c r="J520" i="11"/>
  <c r="G520" i="11"/>
  <c r="F520" i="11"/>
  <c r="G436" i="11"/>
  <c r="F436" i="11"/>
  <c r="C6" i="9"/>
  <c r="D6" i="9"/>
  <c r="E6" i="9"/>
  <c r="F6" i="9"/>
  <c r="G6" i="9"/>
  <c r="B59" i="8" s="1"/>
  <c r="G71" i="1" l="1"/>
  <c r="H71" i="1"/>
  <c r="E4" i="9"/>
  <c r="D4" i="9"/>
  <c r="C4" i="9"/>
  <c r="F4" i="9"/>
  <c r="G4" i="9" l="1"/>
  <c r="M267" i="11"/>
  <c r="L267" i="11"/>
  <c r="G114" i="11" l="1"/>
  <c r="G755" i="11" s="1"/>
  <c r="F114" i="11"/>
  <c r="F755" i="11" s="1"/>
  <c r="D23" i="10" l="1"/>
  <c r="G391" i="11"/>
  <c r="F391" i="11"/>
  <c r="Q234" i="11"/>
  <c r="P234" i="11"/>
  <c r="K234" i="11"/>
  <c r="J234" i="11"/>
  <c r="G234" i="11"/>
  <c r="F234" i="11"/>
  <c r="G119" i="11"/>
  <c r="F119" i="11"/>
  <c r="Q114" i="11"/>
  <c r="Q755" i="11" s="1"/>
  <c r="P114" i="11"/>
  <c r="P755" i="11" s="1"/>
  <c r="I114" i="11"/>
  <c r="I755" i="11" s="1"/>
  <c r="H114" i="11"/>
  <c r="H755" i="11" s="1"/>
  <c r="K560" i="11"/>
  <c r="J560" i="11"/>
  <c r="I560" i="11"/>
  <c r="H560" i="11"/>
  <c r="M520" i="11"/>
  <c r="L520" i="11"/>
  <c r="M391" i="11"/>
  <c r="L391" i="11"/>
  <c r="K301" i="11"/>
  <c r="J301" i="11"/>
  <c r="F301" i="11"/>
  <c r="G301" i="11"/>
  <c r="I219" i="11"/>
  <c r="O219" i="11" s="1"/>
  <c r="H219" i="11"/>
  <c r="N219" i="11" s="1"/>
  <c r="G219" i="11"/>
  <c r="F219" i="11"/>
  <c r="M178" i="11"/>
  <c r="L178" i="11"/>
  <c r="I70" i="1"/>
  <c r="D70" i="1"/>
  <c r="B70" i="1"/>
  <c r="AV67" i="4"/>
  <c r="AV66" i="4"/>
  <c r="M59" i="8" s="1"/>
  <c r="AV58" i="4"/>
  <c r="AV57" i="4"/>
  <c r="K59" i="8" s="1"/>
  <c r="AV49" i="4"/>
  <c r="AV48" i="4"/>
  <c r="J59" i="8" s="1"/>
  <c r="O69" i="1"/>
  <c r="O70" i="1"/>
  <c r="F70" i="1" s="1"/>
  <c r="Q520" i="11"/>
  <c r="P520" i="11"/>
  <c r="D89" i="10" s="1"/>
  <c r="D53" i="10"/>
  <c r="I520" i="11"/>
  <c r="H520" i="11"/>
  <c r="D38" i="10" s="1"/>
  <c r="Q144" i="11"/>
  <c r="P144" i="11"/>
  <c r="J216" i="11"/>
  <c r="L71" i="1" l="1"/>
  <c r="J71" i="1"/>
  <c r="K71" i="1"/>
  <c r="N114" i="11"/>
  <c r="N755" i="11" s="1"/>
  <c r="O114" i="11"/>
  <c r="O755" i="11" s="1"/>
  <c r="E89" i="10"/>
  <c r="E23" i="10"/>
  <c r="E38" i="10"/>
  <c r="E53" i="10"/>
  <c r="L59" i="8"/>
  <c r="G70" i="1"/>
  <c r="H70" i="1"/>
  <c r="O520" i="11"/>
  <c r="N520" i="11"/>
  <c r="D53" i="5"/>
  <c r="D37" i="5" l="1"/>
  <c r="D78" i="10" s="1"/>
  <c r="E37" i="5"/>
  <c r="E78" i="10" s="1"/>
  <c r="D38" i="5"/>
  <c r="D70" i="10" s="1"/>
  <c r="E38" i="5"/>
  <c r="E70" i="10" s="1"/>
  <c r="D39" i="5"/>
  <c r="D71" i="10" s="1"/>
  <c r="E39" i="5"/>
  <c r="E71" i="10" s="1"/>
  <c r="D40" i="5"/>
  <c r="D72" i="10" s="1"/>
  <c r="E40" i="5"/>
  <c r="E72" i="10" s="1"/>
  <c r="D41" i="5"/>
  <c r="D73" i="10" s="1"/>
  <c r="E41" i="5"/>
  <c r="E73" i="10" s="1"/>
  <c r="D42" i="5"/>
  <c r="D74" i="10" s="1"/>
  <c r="E42" i="5"/>
  <c r="E74" i="10" s="1"/>
  <c r="D43" i="5"/>
  <c r="D75" i="10" s="1"/>
  <c r="E43" i="5"/>
  <c r="E75" i="10" s="1"/>
  <c r="D44" i="5"/>
  <c r="D76" i="10" s="1"/>
  <c r="E44" i="5"/>
  <c r="E76" i="10" s="1"/>
  <c r="D45" i="5"/>
  <c r="D77" i="10" s="1"/>
  <c r="E45" i="5"/>
  <c r="E77" i="10" s="1"/>
  <c r="D46" i="5"/>
  <c r="D69" i="10" s="1"/>
  <c r="E46" i="5"/>
  <c r="E69" i="10" s="1"/>
  <c r="D29" i="5"/>
  <c r="E29" i="5"/>
  <c r="D30" i="5"/>
  <c r="E30" i="5"/>
  <c r="D31" i="5"/>
  <c r="D11" i="10" s="1"/>
  <c r="E31" i="5"/>
  <c r="E11" i="10" s="1"/>
  <c r="B28" i="5"/>
  <c r="C28" i="5"/>
  <c r="D28" i="5"/>
  <c r="E28" i="5"/>
  <c r="B17" i="5"/>
  <c r="C17" i="5"/>
  <c r="D17" i="5"/>
  <c r="E17" i="5"/>
  <c r="B18" i="5"/>
  <c r="C18" i="5"/>
  <c r="D18" i="5"/>
  <c r="E18" i="5"/>
  <c r="B19" i="5"/>
  <c r="C19" i="5"/>
  <c r="D19" i="5"/>
  <c r="E19" i="5"/>
  <c r="B20" i="5"/>
  <c r="C20" i="5"/>
  <c r="D20" i="5"/>
  <c r="E20" i="5"/>
  <c r="B21" i="5"/>
  <c r="C21" i="5"/>
  <c r="D21" i="5"/>
  <c r="E21" i="5"/>
  <c r="B22" i="5"/>
  <c r="C22" i="5"/>
  <c r="D22" i="5"/>
  <c r="E22" i="5"/>
  <c r="B23" i="5"/>
  <c r="C23" i="5"/>
  <c r="D23" i="5"/>
  <c r="E23" i="5"/>
  <c r="B24" i="5"/>
  <c r="C24" i="5"/>
  <c r="D24" i="5"/>
  <c r="E24" i="5"/>
  <c r="B25" i="5"/>
  <c r="C25" i="5"/>
  <c r="D25" i="5"/>
  <c r="E25" i="5"/>
  <c r="B26" i="5"/>
  <c r="C26" i="5"/>
  <c r="D26" i="5"/>
  <c r="E26" i="5"/>
  <c r="B27" i="5"/>
  <c r="C27" i="5"/>
  <c r="D27" i="5"/>
  <c r="E27" i="5"/>
  <c r="B16" i="5"/>
  <c r="C16" i="5"/>
  <c r="D16" i="5"/>
  <c r="F20" i="5" s="1"/>
  <c r="D12" i="10" s="1"/>
  <c r="E16" i="5"/>
  <c r="B12" i="5"/>
  <c r="C12" i="5"/>
  <c r="D12" i="5"/>
  <c r="E12" i="5"/>
  <c r="B13" i="5"/>
  <c r="C13" i="5"/>
  <c r="D13" i="5"/>
  <c r="E13" i="5"/>
  <c r="B14" i="5"/>
  <c r="C14" i="5"/>
  <c r="D14" i="5"/>
  <c r="E14" i="5"/>
  <c r="B15" i="5"/>
  <c r="C15" i="5"/>
  <c r="D15" i="5"/>
  <c r="E15" i="5"/>
  <c r="D4" i="5"/>
  <c r="E4" i="5"/>
  <c r="D5" i="5"/>
  <c r="E5" i="5"/>
  <c r="D6" i="5"/>
  <c r="E6" i="5"/>
  <c r="D7" i="5"/>
  <c r="E7" i="5"/>
  <c r="D8" i="5"/>
  <c r="E8" i="5"/>
  <c r="D9" i="5"/>
  <c r="E9" i="5"/>
  <c r="D10" i="5"/>
  <c r="E10" i="5"/>
  <c r="D11" i="5"/>
  <c r="E11" i="5"/>
  <c r="M216" i="11"/>
  <c r="L216" i="11"/>
  <c r="Q119" i="11"/>
  <c r="P119" i="11"/>
  <c r="K216" i="11"/>
  <c r="I216" i="11"/>
  <c r="H216" i="11"/>
  <c r="K624" i="11"/>
  <c r="J624" i="11"/>
  <c r="I624" i="11"/>
  <c r="H624" i="11"/>
  <c r="K486" i="11"/>
  <c r="J486" i="11"/>
  <c r="I486" i="11"/>
  <c r="H486" i="11"/>
  <c r="K446" i="11"/>
  <c r="J446" i="11"/>
  <c r="K374" i="11"/>
  <c r="J374" i="11"/>
  <c r="I374" i="11"/>
  <c r="H374" i="11"/>
  <c r="K267" i="11"/>
  <c r="J267" i="11"/>
  <c r="I267" i="11"/>
  <c r="H267" i="11"/>
  <c r="I234" i="11"/>
  <c r="H234" i="11"/>
  <c r="Q725" i="11"/>
  <c r="P725" i="11"/>
  <c r="K640" i="11"/>
  <c r="J640" i="11"/>
  <c r="I640" i="11"/>
  <c r="H640" i="11"/>
  <c r="G640" i="11"/>
  <c r="F640" i="11"/>
  <c r="Q590" i="11"/>
  <c r="P590" i="11"/>
  <c r="K565" i="11"/>
  <c r="J565" i="11"/>
  <c r="G565" i="11"/>
  <c r="F565" i="11"/>
  <c r="Q560" i="11"/>
  <c r="P560" i="11"/>
  <c r="G560" i="11"/>
  <c r="F560" i="11"/>
  <c r="I542" i="11"/>
  <c r="H542" i="11"/>
  <c r="G486" i="11"/>
  <c r="F486" i="11"/>
  <c r="K244" i="11"/>
  <c r="J244" i="11"/>
  <c r="G244" i="11"/>
  <c r="F244" i="11"/>
  <c r="Q193" i="11"/>
  <c r="P193" i="11"/>
  <c r="K193" i="11"/>
  <c r="J193" i="11"/>
  <c r="G193" i="11"/>
  <c r="F193" i="11"/>
  <c r="F42" i="11"/>
  <c r="G42" i="11"/>
  <c r="M56" i="8"/>
  <c r="K56" i="8"/>
  <c r="J56" i="8"/>
  <c r="H56" i="8"/>
  <c r="G56" i="8"/>
  <c r="F56" i="8"/>
  <c r="E56" i="8"/>
  <c r="D56" i="8"/>
  <c r="C56" i="8"/>
  <c r="I69" i="1"/>
  <c r="F69" i="1"/>
  <c r="D69" i="1"/>
  <c r="B69" i="1"/>
  <c r="D34" i="10" l="1"/>
  <c r="E34" i="10" s="1"/>
  <c r="D79" i="10"/>
  <c r="E79" i="10"/>
  <c r="F27" i="5"/>
  <c r="G27" i="5" s="1" a="1"/>
  <c r="G27" i="5" s="1"/>
  <c r="J70" i="1"/>
  <c r="K70" i="1"/>
  <c r="L70" i="1"/>
  <c r="G33" i="5"/>
  <c r="G32" i="5"/>
  <c r="F15" i="5"/>
  <c r="F31" i="5"/>
  <c r="F30" i="5"/>
  <c r="G30" i="5" s="1" a="1"/>
  <c r="G30" i="5" s="1"/>
  <c r="G31" i="5" a="1"/>
  <c r="G31" i="5" s="1"/>
  <c r="F28" i="5"/>
  <c r="H72" i="2" s="1"/>
  <c r="F59" i="8" s="1"/>
  <c r="G28" i="5" a="1"/>
  <c r="G28" i="5" s="1"/>
  <c r="I72" i="2" s="1"/>
  <c r="G20" i="5"/>
  <c r="E12" i="10" s="1"/>
  <c r="D48" i="5"/>
  <c r="AV33" i="4" s="1"/>
  <c r="F11" i="5"/>
  <c r="G15" i="5"/>
  <c r="F16" i="5"/>
  <c r="F72" i="2" s="1"/>
  <c r="F6" i="5"/>
  <c r="B72" i="2" s="1"/>
  <c r="D52" i="5"/>
  <c r="D54" i="5" s="1"/>
  <c r="H69" i="1"/>
  <c r="G69" i="1"/>
  <c r="L56" i="8"/>
  <c r="Q139" i="11"/>
  <c r="P139" i="11"/>
  <c r="Q756" i="11"/>
  <c r="P756" i="11"/>
  <c r="M756" i="11"/>
  <c r="L756" i="11"/>
  <c r="K756" i="11"/>
  <c r="J756" i="11"/>
  <c r="I756" i="11"/>
  <c r="H756" i="11"/>
  <c r="G756" i="11"/>
  <c r="F756" i="11"/>
  <c r="C59" i="8" l="1"/>
  <c r="E59" i="8"/>
  <c r="I14" i="5"/>
  <c r="J748" i="11"/>
  <c r="G11" i="5"/>
  <c r="E72" i="2" s="1"/>
  <c r="D72" i="2"/>
  <c r="D59" i="8" s="1"/>
  <c r="D50" i="5"/>
  <c r="L72" i="2"/>
  <c r="G34" i="5"/>
  <c r="G16" i="5"/>
  <c r="G72" i="2" s="1"/>
  <c r="J25" i="5"/>
  <c r="AV23" i="4" s="1"/>
  <c r="D33" i="5"/>
  <c r="E33" i="5"/>
  <c r="AV6" i="4" s="1"/>
  <c r="E48" i="5"/>
  <c r="AV34" i="4" s="1"/>
  <c r="J9" i="5"/>
  <c r="G6" i="5"/>
  <c r="C72" i="2" s="1"/>
  <c r="N119" i="11"/>
  <c r="N756" i="11" s="1"/>
  <c r="O119" i="11"/>
  <c r="O756" i="11" s="1"/>
  <c r="M761" i="11"/>
  <c r="L761" i="11"/>
  <c r="I761" i="11"/>
  <c r="H761" i="11"/>
  <c r="Q470" i="11"/>
  <c r="P470" i="11"/>
  <c r="Q134" i="11"/>
  <c r="Q758" i="11" s="1"/>
  <c r="P134" i="11"/>
  <c r="P758" i="11" s="1"/>
  <c r="Q757" i="11"/>
  <c r="P757" i="11"/>
  <c r="L757" i="11"/>
  <c r="K698" i="11"/>
  <c r="J698" i="11"/>
  <c r="K350" i="11"/>
  <c r="J350" i="11"/>
  <c r="I698" i="11"/>
  <c r="H698" i="11"/>
  <c r="F350" i="11"/>
  <c r="I350" i="11"/>
  <c r="H350" i="11"/>
  <c r="Q482" i="11"/>
  <c r="P482" i="11"/>
  <c r="K482" i="11"/>
  <c r="J482" i="11"/>
  <c r="G482" i="11"/>
  <c r="F482" i="11"/>
  <c r="I470" i="11"/>
  <c r="H470" i="11"/>
  <c r="G470" i="11"/>
  <c r="F470" i="11"/>
  <c r="Q761" i="11"/>
  <c r="P761" i="11"/>
  <c r="K761" i="11"/>
  <c r="J761" i="11"/>
  <c r="G761" i="11"/>
  <c r="F761" i="11"/>
  <c r="K178" i="11"/>
  <c r="J178" i="11"/>
  <c r="I178" i="11"/>
  <c r="H178" i="11"/>
  <c r="M758" i="11"/>
  <c r="L758" i="11"/>
  <c r="I134" i="11"/>
  <c r="I758" i="11" s="1"/>
  <c r="H134" i="11"/>
  <c r="H758" i="11" s="1"/>
  <c r="G758" i="11"/>
  <c r="F758" i="11"/>
  <c r="M757" i="11"/>
  <c r="I757" i="11"/>
  <c r="H757" i="11"/>
  <c r="G757" i="11"/>
  <c r="F757" i="11"/>
  <c r="K42" i="11"/>
  <c r="J42" i="11"/>
  <c r="J72" i="2" l="1"/>
  <c r="AV5" i="4"/>
  <c r="D35" i="5"/>
  <c r="G59" i="8"/>
  <c r="F748" i="11"/>
  <c r="K748" i="11"/>
  <c r="H748" i="11"/>
  <c r="I748" i="11" s="1"/>
  <c r="H59" i="8"/>
  <c r="P748" i="11"/>
  <c r="E35" i="5"/>
  <c r="K72" i="2"/>
  <c r="J10" i="5"/>
  <c r="AV15" i="4" s="1"/>
  <c r="AV14" i="4"/>
  <c r="E50" i="5"/>
  <c r="M72" i="2"/>
  <c r="J26" i="5"/>
  <c r="AV24" i="4" s="1"/>
  <c r="J27" i="5"/>
  <c r="AV31" i="4" s="1"/>
  <c r="O144" i="11"/>
  <c r="N144" i="11"/>
  <c r="O139" i="11"/>
  <c r="N139" i="11"/>
  <c r="O193" i="11"/>
  <c r="O761" i="11" s="1"/>
  <c r="N193" i="11"/>
  <c r="N761" i="11" s="1"/>
  <c r="K758" i="11"/>
  <c r="J758" i="11"/>
  <c r="B72" i="1" l="1"/>
  <c r="G748" i="11"/>
  <c r="D72" i="1"/>
  <c r="Q748" i="11"/>
  <c r="O134" i="11"/>
  <c r="O758" i="11" s="1"/>
  <c r="N134" i="11"/>
  <c r="N758" i="11" s="1"/>
  <c r="I65" i="6"/>
  <c r="I16" i="6"/>
  <c r="K5" i="6"/>
  <c r="O68" i="1" l="1"/>
  <c r="M55" i="8"/>
  <c r="K55" i="8"/>
  <c r="J55" i="8"/>
  <c r="I68" i="1" l="1"/>
  <c r="D68" i="1"/>
  <c r="J69" i="1" l="1"/>
  <c r="L69" i="1"/>
  <c r="K69" i="1"/>
  <c r="B68" i="1"/>
  <c r="L55" i="8"/>
  <c r="D55" i="8"/>
  <c r="C55" i="8"/>
  <c r="F68" i="1"/>
  <c r="O759" i="11"/>
  <c r="N759" i="11"/>
  <c r="M759" i="11"/>
  <c r="L759" i="11"/>
  <c r="K759" i="11"/>
  <c r="J759" i="11"/>
  <c r="I759" i="11"/>
  <c r="H759" i="11"/>
  <c r="G759" i="11"/>
  <c r="F759" i="11"/>
  <c r="G68" i="1" l="1"/>
  <c r="H68" i="1"/>
  <c r="I466" i="11"/>
  <c r="H466" i="11"/>
  <c r="G419" i="11"/>
  <c r="F419" i="11"/>
  <c r="P759" i="11"/>
  <c r="Q759" i="11"/>
  <c r="K757" i="11"/>
  <c r="J757" i="11"/>
  <c r="N122" i="11" l="1"/>
  <c r="N757" i="11" s="1"/>
  <c r="O122" i="11"/>
  <c r="O757" i="11" s="1"/>
  <c r="O67" i="1"/>
  <c r="O760" i="11"/>
  <c r="N760" i="11"/>
  <c r="M760" i="11"/>
  <c r="L760" i="11"/>
  <c r="K760" i="11"/>
  <c r="J760" i="11"/>
  <c r="I760" i="11"/>
  <c r="H760" i="11"/>
  <c r="G760" i="11"/>
  <c r="F760" i="11"/>
  <c r="Q565" i="11"/>
  <c r="P565" i="11"/>
  <c r="I585" i="11"/>
  <c r="H585" i="11"/>
  <c r="I419" i="11"/>
  <c r="H419" i="11"/>
  <c r="Q436" i="11"/>
  <c r="P436" i="11"/>
  <c r="I91" i="11"/>
  <c r="H91" i="11"/>
  <c r="F91" i="11"/>
  <c r="M42" i="11"/>
  <c r="L42" i="11"/>
  <c r="Q760" i="11"/>
  <c r="P760" i="11"/>
  <c r="M54" i="8" l="1"/>
  <c r="K54" i="8"/>
  <c r="J54" i="8"/>
  <c r="I67" i="1" l="1"/>
  <c r="D67" i="1"/>
  <c r="B67" i="1"/>
  <c r="L68" i="1" l="1"/>
  <c r="J68" i="1"/>
  <c r="K68" i="1"/>
  <c r="E54" i="8"/>
  <c r="F67" i="1"/>
  <c r="H67" i="1" s="1"/>
  <c r="G67" i="1" l="1"/>
  <c r="F54" i="8"/>
  <c r="L54" i="8"/>
  <c r="C54" i="8"/>
  <c r="G54" i="8"/>
  <c r="D54" i="8"/>
  <c r="H54" i="8"/>
  <c r="L67" i="1"/>
  <c r="J67" i="1"/>
  <c r="K67" i="1"/>
  <c r="Q741" i="11" l="1"/>
  <c r="P741" i="11"/>
  <c r="Q624" i="11"/>
  <c r="P624" i="11"/>
  <c r="K188" i="11"/>
  <c r="J188" i="11"/>
  <c r="I659" i="11" l="1"/>
  <c r="H659" i="11"/>
  <c r="I500" i="11"/>
  <c r="H500" i="11"/>
  <c r="Q391" i="11"/>
  <c r="P391" i="11"/>
  <c r="K391" i="11"/>
  <c r="J391" i="11"/>
  <c r="Q374" i="11"/>
  <c r="P374" i="11"/>
  <c r="G178" i="11"/>
  <c r="F178" i="11"/>
  <c r="P73" i="11"/>
  <c r="K73" i="11"/>
  <c r="J73" i="11"/>
  <c r="I73" i="11"/>
  <c r="H73" i="11"/>
  <c r="G73" i="11"/>
  <c r="F73" i="11"/>
  <c r="F295" i="11"/>
  <c r="G295" i="11"/>
  <c r="J295" i="11"/>
  <c r="K295" i="11"/>
  <c r="O295" i="11" s="1"/>
  <c r="P295" i="11"/>
  <c r="Q295" i="11"/>
  <c r="N301" i="11"/>
  <c r="O301" i="11"/>
  <c r="P301" i="11"/>
  <c r="Q301" i="11"/>
  <c r="N295" i="11" l="1"/>
  <c r="O66" i="1"/>
  <c r="O65" i="1"/>
  <c r="D66" i="1"/>
  <c r="B66" i="1"/>
  <c r="I66" i="1" l="1"/>
  <c r="F66" i="1"/>
  <c r="M53" i="8" l="1"/>
  <c r="J53" i="8"/>
  <c r="K53" i="8"/>
  <c r="F53" i="8"/>
  <c r="G53" i="8"/>
  <c r="E53" i="8"/>
  <c r="H53" i="8"/>
  <c r="C53" i="8"/>
  <c r="D53" i="8"/>
  <c r="L66" i="1"/>
  <c r="L53" i="8" l="1"/>
  <c r="Q738" i="11" l="1"/>
  <c r="P738" i="11"/>
  <c r="G738" i="11"/>
  <c r="F738" i="11"/>
  <c r="O286" i="11" l="1"/>
  <c r="N286" i="11"/>
  <c r="I42" i="11"/>
  <c r="H42" i="11"/>
  <c r="O42" i="11" l="1"/>
  <c r="N42" i="11"/>
  <c r="B48" i="6" l="1"/>
  <c r="I65" i="1" l="1"/>
  <c r="F65" i="1"/>
  <c r="F72" i="1"/>
  <c r="H66" i="1" l="1"/>
  <c r="K66" i="1"/>
  <c r="G66" i="1"/>
  <c r="J66" i="1"/>
  <c r="J57" i="8"/>
  <c r="L72" i="1"/>
  <c r="L65" i="1"/>
  <c r="K72" i="1"/>
  <c r="J72" i="1"/>
  <c r="G72" i="1" l="1"/>
  <c r="H57" i="8"/>
  <c r="G57" i="8"/>
  <c r="M57" i="8"/>
  <c r="K57" i="8"/>
  <c r="H72" i="1"/>
  <c r="K678" i="11"/>
  <c r="J678" i="11"/>
  <c r="Q500" i="11"/>
  <c r="P500" i="11"/>
  <c r="Q446" i="11"/>
  <c r="P446" i="11"/>
  <c r="G446" i="11"/>
  <c r="F446" i="11"/>
  <c r="Q350" i="11"/>
  <c r="P350" i="11"/>
  <c r="G350" i="11"/>
  <c r="Q216" i="11"/>
  <c r="P216" i="11"/>
  <c r="D85" i="10" s="1"/>
  <c r="G216" i="11"/>
  <c r="F216" i="11"/>
  <c r="D19" i="10" s="1"/>
  <c r="E19" i="10" l="1"/>
  <c r="E85" i="10"/>
  <c r="K585" i="11"/>
  <c r="J585" i="11"/>
  <c r="O64" i="1" l="1"/>
  <c r="O63" i="1"/>
  <c r="F63" i="1" s="1"/>
  <c r="I64" i="1"/>
  <c r="D64" i="1"/>
  <c r="K64" i="1" s="1"/>
  <c r="B64" i="1"/>
  <c r="F64" i="1"/>
  <c r="J51" i="8"/>
  <c r="B58" i="10"/>
  <c r="F38" i="10"/>
  <c r="H38" i="10" s="1"/>
  <c r="O752" i="11"/>
  <c r="K777" i="11"/>
  <c r="J777" i="11"/>
  <c r="G777" i="11"/>
  <c r="F777" i="11"/>
  <c r="K765" i="11"/>
  <c r="J765" i="11"/>
  <c r="G765" i="11"/>
  <c r="F765" i="11"/>
  <c r="E793" i="11"/>
  <c r="G11" i="10"/>
  <c r="I11" i="10" s="1"/>
  <c r="Q770" i="11"/>
  <c r="P770" i="11"/>
  <c r="K770" i="11"/>
  <c r="J770" i="11"/>
  <c r="D52" i="10"/>
  <c r="F52" i="10" s="1"/>
  <c r="H52" i="10" s="1"/>
  <c r="G762" i="11"/>
  <c r="F762" i="11"/>
  <c r="G698" i="11"/>
  <c r="Q320" i="11"/>
  <c r="P320" i="11"/>
  <c r="K320" i="11"/>
  <c r="J320" i="11"/>
  <c r="I320" i="11"/>
  <c r="H320" i="11"/>
  <c r="D32" i="10" s="1"/>
  <c r="G320" i="11"/>
  <c r="F320" i="11"/>
  <c r="Q776" i="11"/>
  <c r="P776" i="11"/>
  <c r="Q772" i="11"/>
  <c r="P772" i="11"/>
  <c r="F23" i="10"/>
  <c r="H23" i="10" s="1"/>
  <c r="K771" i="11"/>
  <c r="J771" i="11"/>
  <c r="M771" i="11"/>
  <c r="I762" i="11"/>
  <c r="H762" i="11"/>
  <c r="D63" i="1"/>
  <c r="B63" i="1"/>
  <c r="Q55" i="6"/>
  <c r="I63" i="1"/>
  <c r="D49" i="10"/>
  <c r="I765" i="11"/>
  <c r="H765" i="11"/>
  <c r="Q784" i="11"/>
  <c r="P784" i="11"/>
  <c r="K784" i="11"/>
  <c r="J784" i="11"/>
  <c r="G784" i="11"/>
  <c r="F784" i="11"/>
  <c r="Q766" i="11"/>
  <c r="P766" i="11"/>
  <c r="K766" i="11"/>
  <c r="J766" i="11"/>
  <c r="G766" i="11"/>
  <c r="F766" i="11"/>
  <c r="Q659" i="11"/>
  <c r="Q782" i="11" s="1"/>
  <c r="P659" i="11"/>
  <c r="P782" i="11" s="1"/>
  <c r="K659" i="11"/>
  <c r="J659" i="11"/>
  <c r="G782" i="11"/>
  <c r="F782" i="11"/>
  <c r="I777" i="11"/>
  <c r="H777" i="11"/>
  <c r="O91" i="11"/>
  <c r="C79" i="10"/>
  <c r="C43" i="10"/>
  <c r="C28" i="10"/>
  <c r="C13" i="10"/>
  <c r="H91" i="6"/>
  <c r="P55" i="6"/>
  <c r="O55" i="6"/>
  <c r="N55" i="6"/>
  <c r="M55" i="6"/>
  <c r="L55" i="6"/>
  <c r="I63" i="6"/>
  <c r="I14" i="6"/>
  <c r="D62" i="1"/>
  <c r="B62" i="1"/>
  <c r="G69" i="10"/>
  <c r="I69" i="10" s="1"/>
  <c r="G77" i="10"/>
  <c r="I77" i="10" s="1"/>
  <c r="G76" i="10"/>
  <c r="I76" i="10" s="1"/>
  <c r="G75" i="10"/>
  <c r="I75" i="10" s="1"/>
  <c r="G74" i="10"/>
  <c r="I74" i="10" s="1"/>
  <c r="G73" i="10"/>
  <c r="I73" i="10" s="1"/>
  <c r="G72" i="10"/>
  <c r="I72" i="10" s="1"/>
  <c r="G71" i="10"/>
  <c r="I71" i="10" s="1"/>
  <c r="G70" i="10"/>
  <c r="I70" i="10" s="1"/>
  <c r="G78" i="10"/>
  <c r="I78" i="10" s="1"/>
  <c r="F69" i="10"/>
  <c r="H69" i="10" s="1"/>
  <c r="F77" i="10"/>
  <c r="H77" i="10" s="1"/>
  <c r="F76" i="10"/>
  <c r="H76" i="10" s="1"/>
  <c r="F75" i="10"/>
  <c r="H75" i="10" s="1"/>
  <c r="F74" i="10"/>
  <c r="H74" i="10" s="1"/>
  <c r="F73" i="10"/>
  <c r="H73" i="10" s="1"/>
  <c r="F72" i="10"/>
  <c r="H72" i="10" s="1"/>
  <c r="F70" i="10"/>
  <c r="H70" i="10" s="1"/>
  <c r="F78" i="10"/>
  <c r="H78" i="10" s="1"/>
  <c r="O62" i="1"/>
  <c r="F62" i="1" s="1"/>
  <c r="O61" i="1"/>
  <c r="F61" i="1" s="1"/>
  <c r="I62" i="1"/>
  <c r="J50" i="8"/>
  <c r="D37" i="10"/>
  <c r="F37" i="10" s="1"/>
  <c r="H37" i="10" s="1"/>
  <c r="A53" i="10"/>
  <c r="M698" i="11"/>
  <c r="L698" i="11"/>
  <c r="E57" i="10"/>
  <c r="G57" i="10" s="1"/>
  <c r="O725" i="11"/>
  <c r="D42" i="10"/>
  <c r="F42" i="10" s="1"/>
  <c r="H42" i="10" s="1"/>
  <c r="D27" i="10"/>
  <c r="F27" i="10" s="1"/>
  <c r="H27" i="10" s="1"/>
  <c r="Q640" i="11"/>
  <c r="Q781" i="11" s="1"/>
  <c r="P640" i="11"/>
  <c r="P781" i="11" s="1"/>
  <c r="O640" i="11"/>
  <c r="O781" i="11" s="1"/>
  <c r="N640" i="11"/>
  <c r="N781" i="11" s="1"/>
  <c r="G781" i="11"/>
  <c r="F781" i="11"/>
  <c r="I774" i="11"/>
  <c r="H774" i="11"/>
  <c r="G774" i="11"/>
  <c r="F774" i="11"/>
  <c r="I773" i="11"/>
  <c r="H773" i="11"/>
  <c r="G773" i="11"/>
  <c r="F773" i="11"/>
  <c r="O470" i="11"/>
  <c r="N470" i="11"/>
  <c r="I767" i="11"/>
  <c r="G767" i="11"/>
  <c r="F767" i="11"/>
  <c r="S43" i="6"/>
  <c r="L84" i="6"/>
  <c r="L77" i="6"/>
  <c r="L70" i="6"/>
  <c r="L63" i="6"/>
  <c r="L35" i="6"/>
  <c r="L83" i="6" s="1"/>
  <c r="L26" i="6"/>
  <c r="L76" i="6" s="1"/>
  <c r="L21" i="6"/>
  <c r="L69" i="6" s="1"/>
  <c r="L12" i="6"/>
  <c r="L62" i="6" s="1"/>
  <c r="L5" i="6"/>
  <c r="C91" i="6"/>
  <c r="C48" i="6"/>
  <c r="C43" i="6"/>
  <c r="B79" i="10"/>
  <c r="B43" i="10"/>
  <c r="B28" i="10"/>
  <c r="B13" i="10"/>
  <c r="I61" i="1"/>
  <c r="D61" i="1"/>
  <c r="B61" i="1"/>
  <c r="K779" i="11"/>
  <c r="J779" i="11"/>
  <c r="M624" i="11"/>
  <c r="M779" i="11" s="1"/>
  <c r="L624" i="11"/>
  <c r="M783" i="11"/>
  <c r="L783" i="11"/>
  <c r="K783" i="11"/>
  <c r="J783" i="11"/>
  <c r="I783" i="11"/>
  <c r="H783" i="11"/>
  <c r="K778" i="11"/>
  <c r="N596" i="11"/>
  <c r="N778" i="11" s="1"/>
  <c r="G778" i="11"/>
  <c r="F778" i="11"/>
  <c r="Q585" i="11"/>
  <c r="P585" i="11"/>
  <c r="D90" i="10" s="1"/>
  <c r="F90" i="10" s="1"/>
  <c r="H90" i="10" s="1"/>
  <c r="D54" i="10"/>
  <c r="F54" i="10" s="1"/>
  <c r="H54" i="10" s="1"/>
  <c r="D39" i="10"/>
  <c r="F39" i="10" s="1"/>
  <c r="H39" i="10" s="1"/>
  <c r="G585" i="11"/>
  <c r="F585" i="11"/>
  <c r="D24" i="10" s="1"/>
  <c r="I776" i="11"/>
  <c r="H776" i="11"/>
  <c r="G776" i="11"/>
  <c r="F776" i="11"/>
  <c r="G770" i="11"/>
  <c r="F770" i="11"/>
  <c r="M768" i="11"/>
  <c r="G768" i="11"/>
  <c r="F768" i="11"/>
  <c r="K767" i="11"/>
  <c r="J767" i="11"/>
  <c r="D88" i="10"/>
  <c r="F88" i="10" s="1"/>
  <c r="H88" i="10" s="1"/>
  <c r="D22" i="10"/>
  <c r="Q188" i="11"/>
  <c r="P188" i="11"/>
  <c r="G188" i="11"/>
  <c r="F188" i="11"/>
  <c r="O60" i="1"/>
  <c r="F60" i="1" s="1"/>
  <c r="O59" i="1"/>
  <c r="F59" i="1" s="1"/>
  <c r="I60" i="1"/>
  <c r="D60" i="1"/>
  <c r="B60" i="1"/>
  <c r="AJ64" i="4"/>
  <c r="AJ55" i="4"/>
  <c r="AJ46" i="4"/>
  <c r="AJ30" i="4"/>
  <c r="AJ21" i="4"/>
  <c r="AJ12" i="4"/>
  <c r="K762" i="11"/>
  <c r="J762" i="11"/>
  <c r="I770" i="11"/>
  <c r="H770" i="11"/>
  <c r="Q779" i="11"/>
  <c r="P779" i="11"/>
  <c r="Q765" i="11"/>
  <c r="P765" i="11"/>
  <c r="K774" i="11"/>
  <c r="J774" i="11"/>
  <c r="K768" i="11"/>
  <c r="J768" i="11"/>
  <c r="I784" i="11"/>
  <c r="H784" i="11"/>
  <c r="I768" i="11"/>
  <c r="H768" i="11"/>
  <c r="Q785" i="11"/>
  <c r="P785" i="11"/>
  <c r="G709" i="11"/>
  <c r="F709" i="11"/>
  <c r="D26" i="10" s="1"/>
  <c r="F26" i="10" s="1"/>
  <c r="H26" i="10" s="1"/>
  <c r="G624" i="11"/>
  <c r="G779" i="11" s="1"/>
  <c r="F624" i="11"/>
  <c r="F779" i="11" s="1"/>
  <c r="K776" i="11"/>
  <c r="J776" i="11"/>
  <c r="O58" i="1"/>
  <c r="F58" i="1" s="1"/>
  <c r="O57" i="1"/>
  <c r="F57" i="1" s="1"/>
  <c r="O56" i="1"/>
  <c r="F56" i="1" s="1"/>
  <c r="O55" i="1"/>
  <c r="F55" i="1" s="1"/>
  <c r="O54" i="1"/>
  <c r="F54" i="1" s="1"/>
  <c r="O53" i="1"/>
  <c r="F53" i="1" s="1"/>
  <c r="I40" i="8"/>
  <c r="I35" i="8"/>
  <c r="C33" i="8"/>
  <c r="F32" i="8"/>
  <c r="AI21" i="4"/>
  <c r="AI64" i="4"/>
  <c r="AI55" i="4"/>
  <c r="AI46" i="4"/>
  <c r="AI30" i="4"/>
  <c r="AI12" i="4"/>
  <c r="I59" i="1"/>
  <c r="D59" i="1"/>
  <c r="B59" i="1"/>
  <c r="M767" i="11"/>
  <c r="L767" i="11"/>
  <c r="D93" i="10"/>
  <c r="F93" i="10" s="1"/>
  <c r="H93" i="10" s="1"/>
  <c r="Q631" i="11"/>
  <c r="Q780" i="11" s="1"/>
  <c r="P631" i="11"/>
  <c r="P780" i="11" s="1"/>
  <c r="Q774" i="11"/>
  <c r="P774" i="11"/>
  <c r="Q771" i="11"/>
  <c r="P771" i="11"/>
  <c r="Q769" i="11"/>
  <c r="P769" i="11"/>
  <c r="Q768" i="11"/>
  <c r="P768" i="11"/>
  <c r="Q767" i="11"/>
  <c r="P767" i="11"/>
  <c r="Q763" i="11"/>
  <c r="P763" i="11"/>
  <c r="Q267" i="11"/>
  <c r="P267" i="11"/>
  <c r="L765" i="11"/>
  <c r="K785" i="11"/>
  <c r="D57" i="10"/>
  <c r="F57" i="10" s="1"/>
  <c r="E56" i="10"/>
  <c r="G56" i="10" s="1"/>
  <c r="I56" i="10" s="1"/>
  <c r="J769" i="11"/>
  <c r="D51" i="10"/>
  <c r="I779" i="11"/>
  <c r="H779" i="11"/>
  <c r="I482" i="11"/>
  <c r="I769" i="11" s="1"/>
  <c r="H482" i="11"/>
  <c r="H769" i="11" s="1"/>
  <c r="D36" i="10"/>
  <c r="F36" i="10" s="1"/>
  <c r="H36" i="10" s="1"/>
  <c r="N763" i="11"/>
  <c r="F785" i="11"/>
  <c r="G771" i="11"/>
  <c r="F771" i="11"/>
  <c r="G769" i="11"/>
  <c r="F769" i="11"/>
  <c r="G763" i="11"/>
  <c r="G267" i="11"/>
  <c r="F267" i="11"/>
  <c r="W64" i="4"/>
  <c r="W55" i="4"/>
  <c r="W46" i="4"/>
  <c r="W30" i="4"/>
  <c r="W21" i="4"/>
  <c r="X21" i="4"/>
  <c r="W12" i="4"/>
  <c r="AH64" i="4"/>
  <c r="AG64" i="4"/>
  <c r="AF64" i="4"/>
  <c r="AE64" i="4"/>
  <c r="AD64" i="4"/>
  <c r="AH55" i="4"/>
  <c r="AG55" i="4"/>
  <c r="AF55" i="4"/>
  <c r="AE55" i="4"/>
  <c r="AD55" i="4"/>
  <c r="AH46" i="4"/>
  <c r="AG46" i="4"/>
  <c r="AF46" i="4"/>
  <c r="AE46" i="4"/>
  <c r="AD46" i="4"/>
  <c r="AH30" i="4"/>
  <c r="AG30" i="4"/>
  <c r="AF30" i="4"/>
  <c r="AE30" i="4"/>
  <c r="AD30" i="4"/>
  <c r="AH21" i="4"/>
  <c r="AG21" i="4"/>
  <c r="AF21" i="4"/>
  <c r="AE21" i="4"/>
  <c r="AD21" i="4"/>
  <c r="AH12" i="4"/>
  <c r="AG12" i="4"/>
  <c r="AF12" i="4"/>
  <c r="AE12" i="4"/>
  <c r="AD12" i="4"/>
  <c r="I709" i="11"/>
  <c r="O709" i="11" s="1"/>
  <c r="H709" i="11"/>
  <c r="N709" i="11" s="1"/>
  <c r="Q678" i="11"/>
  <c r="Q783" i="11" s="1"/>
  <c r="P678" i="11"/>
  <c r="P783" i="11" s="1"/>
  <c r="Q775" i="11"/>
  <c r="P775" i="11"/>
  <c r="M765" i="11"/>
  <c r="K775" i="11"/>
  <c r="N565" i="11"/>
  <c r="N775" i="11" s="1"/>
  <c r="K773" i="11"/>
  <c r="J773" i="11"/>
  <c r="I436" i="11"/>
  <c r="H436" i="11"/>
  <c r="G783" i="11"/>
  <c r="F783" i="11"/>
  <c r="G775" i="11"/>
  <c r="F775" i="11"/>
  <c r="O84" i="6"/>
  <c r="O77" i="6"/>
  <c r="O70" i="6"/>
  <c r="O63" i="6"/>
  <c r="O35" i="6"/>
  <c r="O26" i="6"/>
  <c r="O21" i="6"/>
  <c r="O12" i="6"/>
  <c r="O5" i="6"/>
  <c r="O54" i="6" s="1"/>
  <c r="M84" i="6"/>
  <c r="M77" i="6"/>
  <c r="M70" i="6"/>
  <c r="M63" i="6"/>
  <c r="M35" i="6"/>
  <c r="M83" i="6" s="1"/>
  <c r="M26" i="6"/>
  <c r="M21" i="6"/>
  <c r="M69" i="6" s="1"/>
  <c r="M12" i="6"/>
  <c r="M62" i="6" s="1"/>
  <c r="M5" i="6"/>
  <c r="F91" i="6"/>
  <c r="F48" i="6"/>
  <c r="F43" i="6"/>
  <c r="D91" i="6"/>
  <c r="D48" i="6"/>
  <c r="D43" i="6"/>
  <c r="F45" i="8"/>
  <c r="I58" i="1"/>
  <c r="L7" i="1" s="1"/>
  <c r="I57" i="1"/>
  <c r="D57" i="1"/>
  <c r="B57" i="1"/>
  <c r="Q44" i="8"/>
  <c r="D56" i="10"/>
  <c r="F56" i="10" s="1"/>
  <c r="H56" i="10" s="1"/>
  <c r="D21" i="10"/>
  <c r="O785" i="11"/>
  <c r="N785" i="11"/>
  <c r="M785" i="11"/>
  <c r="L785" i="11"/>
  <c r="J785" i="11"/>
  <c r="I785" i="11"/>
  <c r="H785" i="11"/>
  <c r="M784" i="11"/>
  <c r="L784" i="11"/>
  <c r="M782" i="11"/>
  <c r="L782" i="11"/>
  <c r="M781" i="11"/>
  <c r="L781" i="11"/>
  <c r="M780" i="11"/>
  <c r="L780" i="11"/>
  <c r="M778" i="11"/>
  <c r="L778" i="11"/>
  <c r="I778" i="11"/>
  <c r="H778" i="11"/>
  <c r="M777" i="11"/>
  <c r="L777" i="11"/>
  <c r="M776" i="11"/>
  <c r="L776" i="11"/>
  <c r="M775" i="11"/>
  <c r="L775" i="11"/>
  <c r="M774" i="11"/>
  <c r="L774" i="11"/>
  <c r="M773" i="11"/>
  <c r="L773" i="11"/>
  <c r="M772" i="11"/>
  <c r="L772" i="11"/>
  <c r="I772" i="11"/>
  <c r="H772" i="11"/>
  <c r="L771" i="11"/>
  <c r="M770" i="11"/>
  <c r="L770" i="11"/>
  <c r="M769" i="11"/>
  <c r="L769" i="11"/>
  <c r="M766" i="11"/>
  <c r="L766" i="11"/>
  <c r="M763" i="11"/>
  <c r="L763" i="11"/>
  <c r="K763" i="11"/>
  <c r="J763" i="11"/>
  <c r="M762" i="11"/>
  <c r="L762" i="11"/>
  <c r="Q709" i="11"/>
  <c r="P709" i="11"/>
  <c r="D92" i="10" s="1"/>
  <c r="F92" i="10" s="1"/>
  <c r="H92" i="10" s="1"/>
  <c r="Q698" i="11"/>
  <c r="P698" i="11"/>
  <c r="F698" i="11"/>
  <c r="H782" i="11"/>
  <c r="I781" i="11"/>
  <c r="H781" i="11"/>
  <c r="K780" i="11"/>
  <c r="J780" i="11"/>
  <c r="I780" i="11"/>
  <c r="H780" i="11"/>
  <c r="G780" i="11"/>
  <c r="F780" i="11"/>
  <c r="Q596" i="11"/>
  <c r="Q778" i="11" s="1"/>
  <c r="P596" i="11"/>
  <c r="P778" i="11" s="1"/>
  <c r="Q777" i="11"/>
  <c r="P777" i="11"/>
  <c r="I775" i="11"/>
  <c r="Q773" i="11"/>
  <c r="P773" i="11"/>
  <c r="K772" i="11"/>
  <c r="N523" i="11"/>
  <c r="N772" i="11" s="1"/>
  <c r="G772" i="11"/>
  <c r="F772" i="11"/>
  <c r="F89" i="10"/>
  <c r="H89" i="10" s="1"/>
  <c r="I771" i="11"/>
  <c r="L768" i="11"/>
  <c r="Q419" i="11"/>
  <c r="P419" i="11"/>
  <c r="D87" i="10" s="1"/>
  <c r="F87" i="10" s="1"/>
  <c r="H87" i="10" s="1"/>
  <c r="I391" i="11"/>
  <c r="I766" i="11" s="1"/>
  <c r="H391" i="11"/>
  <c r="H766" i="11" s="1"/>
  <c r="O763" i="11"/>
  <c r="F763" i="11"/>
  <c r="Q762" i="11"/>
  <c r="P762" i="11"/>
  <c r="D86" i="10"/>
  <c r="Q43" i="8"/>
  <c r="Q42" i="8"/>
  <c r="M31" i="8"/>
  <c r="M30" i="8"/>
  <c r="K31" i="8"/>
  <c r="K30" i="8"/>
  <c r="J31" i="8"/>
  <c r="J30" i="8"/>
  <c r="E91" i="6"/>
  <c r="G91" i="6"/>
  <c r="B91" i="6"/>
  <c r="I56" i="1"/>
  <c r="B54" i="1"/>
  <c r="D54" i="1"/>
  <c r="D53" i="1"/>
  <c r="D52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G15" i="1"/>
  <c r="G14" i="1"/>
  <c r="G13" i="1"/>
  <c r="G12" i="1"/>
  <c r="G11" i="1"/>
  <c r="G10" i="1"/>
  <c r="G9" i="1"/>
  <c r="G8" i="1"/>
  <c r="G7" i="1"/>
  <c r="I55" i="1"/>
  <c r="I54" i="1"/>
  <c r="N21" i="6"/>
  <c r="P21" i="6"/>
  <c r="P69" i="6" s="1"/>
  <c r="K70" i="6"/>
  <c r="K63" i="6"/>
  <c r="K55" i="6"/>
  <c r="K21" i="6"/>
  <c r="K12" i="6"/>
  <c r="Q41" i="8"/>
  <c r="Q40" i="8"/>
  <c r="I53" i="1"/>
  <c r="B53" i="1"/>
  <c r="AC64" i="4"/>
  <c r="AC55" i="4"/>
  <c r="AC46" i="4"/>
  <c r="AC30" i="4"/>
  <c r="AC21" i="4"/>
  <c r="AC12" i="4"/>
  <c r="Q39" i="8"/>
  <c r="AB64" i="4"/>
  <c r="AB55" i="4"/>
  <c r="AB46" i="4"/>
  <c r="AB30" i="4"/>
  <c r="AB21" i="4"/>
  <c r="AB12" i="4"/>
  <c r="I52" i="1"/>
  <c r="F52" i="1"/>
  <c r="B52" i="1"/>
  <c r="AA12" i="4"/>
  <c r="AA21" i="4"/>
  <c r="AA30" i="4"/>
  <c r="AA64" i="4"/>
  <c r="AA55" i="4"/>
  <c r="AA46" i="4"/>
  <c r="Q38" i="8"/>
  <c r="I50" i="1"/>
  <c r="F50" i="1"/>
  <c r="D51" i="1"/>
  <c r="B51" i="1"/>
  <c r="F51" i="1"/>
  <c r="I51" i="1"/>
  <c r="N63" i="6"/>
  <c r="P63" i="6"/>
  <c r="Q63" i="6"/>
  <c r="N12" i="6"/>
  <c r="P12" i="6"/>
  <c r="P62" i="6" s="1"/>
  <c r="Q12" i="6"/>
  <c r="N5" i="6"/>
  <c r="N54" i="6" s="1"/>
  <c r="P5" i="6"/>
  <c r="Q5" i="6"/>
  <c r="Q54" i="6" s="1"/>
  <c r="K77" i="6"/>
  <c r="N77" i="6"/>
  <c r="P77" i="6"/>
  <c r="Q77" i="6"/>
  <c r="K26" i="6"/>
  <c r="K76" i="6" s="1"/>
  <c r="N26" i="6"/>
  <c r="N76" i="6" s="1"/>
  <c r="P26" i="6"/>
  <c r="Q26" i="6"/>
  <c r="Q76" i="6" s="1"/>
  <c r="Q37" i="8"/>
  <c r="K35" i="6"/>
  <c r="K83" i="6" s="1"/>
  <c r="N35" i="6"/>
  <c r="N83" i="6" s="1"/>
  <c r="P35" i="6"/>
  <c r="P83" i="6" s="1"/>
  <c r="Q35" i="6"/>
  <c r="Q83" i="6" s="1"/>
  <c r="D50" i="1"/>
  <c r="B50" i="1"/>
  <c r="Z64" i="4"/>
  <c r="Z55" i="4"/>
  <c r="Z46" i="4"/>
  <c r="Z30" i="4"/>
  <c r="Z21" i="4"/>
  <c r="Z12" i="4"/>
  <c r="A52" i="10"/>
  <c r="A37" i="10"/>
  <c r="B49" i="1"/>
  <c r="I49" i="1"/>
  <c r="B48" i="1"/>
  <c r="I48" i="1"/>
  <c r="B47" i="1"/>
  <c r="I47" i="1"/>
  <c r="B46" i="1"/>
  <c r="I46" i="1"/>
  <c r="B45" i="1"/>
  <c r="I45" i="1"/>
  <c r="B44" i="1"/>
  <c r="I44" i="1"/>
  <c r="B43" i="1"/>
  <c r="I43" i="1"/>
  <c r="B42" i="1"/>
  <c r="I42" i="1"/>
  <c r="B41" i="1"/>
  <c r="I41" i="1"/>
  <c r="B40" i="1"/>
  <c r="I40" i="1"/>
  <c r="B39" i="1"/>
  <c r="I39" i="1"/>
  <c r="B38" i="1"/>
  <c r="I38" i="1"/>
  <c r="B37" i="1"/>
  <c r="I37" i="1"/>
  <c r="B36" i="1"/>
  <c r="I36" i="1"/>
  <c r="B35" i="1"/>
  <c r="I35" i="1"/>
  <c r="B34" i="1"/>
  <c r="G34" i="1" s="1"/>
  <c r="I34" i="1"/>
  <c r="B33" i="1"/>
  <c r="I33" i="1"/>
  <c r="B32" i="1"/>
  <c r="G32" i="1" s="1"/>
  <c r="I32" i="1"/>
  <c r="B31" i="1"/>
  <c r="G31" i="1" s="1"/>
  <c r="I31" i="1"/>
  <c r="B30" i="1"/>
  <c r="G30" i="1" s="1"/>
  <c r="I30" i="1"/>
  <c r="B29" i="1"/>
  <c r="G29" i="1" s="1"/>
  <c r="I29" i="1"/>
  <c r="B28" i="1"/>
  <c r="G28" i="1" s="1"/>
  <c r="I28" i="1"/>
  <c r="B27" i="1"/>
  <c r="G27" i="1" s="1"/>
  <c r="I27" i="1"/>
  <c r="B26" i="1"/>
  <c r="G26" i="1" s="1"/>
  <c r="I26" i="1"/>
  <c r="B25" i="1"/>
  <c r="G25" i="1" s="1"/>
  <c r="I25" i="1"/>
  <c r="B24" i="1"/>
  <c r="G24" i="1" s="1"/>
  <c r="I24" i="1"/>
  <c r="B23" i="1"/>
  <c r="I23" i="1"/>
  <c r="B22" i="1"/>
  <c r="G22" i="1" s="1"/>
  <c r="I22" i="1"/>
  <c r="B21" i="1"/>
  <c r="G21" i="1" s="1"/>
  <c r="I21" i="1"/>
  <c r="B20" i="1"/>
  <c r="G20" i="1" s="1"/>
  <c r="I20" i="1"/>
  <c r="B19" i="1"/>
  <c r="G19" i="1" s="1"/>
  <c r="I19" i="1"/>
  <c r="B18" i="1"/>
  <c r="G18" i="1" s="1"/>
  <c r="I18" i="1"/>
  <c r="B17" i="1"/>
  <c r="G17" i="1" s="1"/>
  <c r="I17" i="1"/>
  <c r="B16" i="1"/>
  <c r="G16" i="1" s="1"/>
  <c r="I16" i="1"/>
  <c r="I15" i="1"/>
  <c r="I14" i="1"/>
  <c r="I13" i="1"/>
  <c r="I12" i="1"/>
  <c r="I11" i="1"/>
  <c r="I10" i="1"/>
  <c r="I9" i="1"/>
  <c r="I8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H34" i="1" s="1"/>
  <c r="D33" i="1"/>
  <c r="H33" i="1" s="1"/>
  <c r="D32" i="1"/>
  <c r="H32" i="1" s="1"/>
  <c r="D31" i="1"/>
  <c r="H31" i="1" s="1"/>
  <c r="D30" i="1"/>
  <c r="H30" i="1" s="1"/>
  <c r="D29" i="1"/>
  <c r="H29" i="1" s="1"/>
  <c r="D28" i="1"/>
  <c r="H28" i="1" s="1"/>
  <c r="D27" i="1"/>
  <c r="D26" i="1"/>
  <c r="H26" i="1" s="1"/>
  <c r="D25" i="1"/>
  <c r="H25" i="1" s="1"/>
  <c r="D24" i="1"/>
  <c r="H24" i="1" s="1"/>
  <c r="D23" i="1"/>
  <c r="H23" i="1" s="1"/>
  <c r="D22" i="1"/>
  <c r="H22" i="1" s="1"/>
  <c r="D21" i="1"/>
  <c r="H21" i="1" s="1"/>
  <c r="D20" i="1"/>
  <c r="H20" i="1" s="1"/>
  <c r="D19" i="1"/>
  <c r="H19" i="1" s="1"/>
  <c r="D18" i="1"/>
  <c r="H18" i="1" s="1"/>
  <c r="D17" i="1"/>
  <c r="H17" i="1" s="1"/>
  <c r="D16" i="1"/>
  <c r="H16" i="1" s="1"/>
  <c r="F49" i="1"/>
  <c r="F48" i="1"/>
  <c r="K84" i="6"/>
  <c r="N84" i="6"/>
  <c r="P84" i="6"/>
  <c r="Q84" i="6"/>
  <c r="X64" i="4"/>
  <c r="X55" i="4"/>
  <c r="X46" i="4"/>
  <c r="X30" i="4"/>
  <c r="X12" i="4"/>
  <c r="Y21" i="4"/>
  <c r="Y30" i="4"/>
  <c r="Y12" i="4"/>
  <c r="Y55" i="4"/>
  <c r="Y64" i="4"/>
  <c r="Y46" i="4"/>
  <c r="I47" i="6"/>
  <c r="I46" i="6"/>
  <c r="H48" i="6"/>
  <c r="G48" i="6"/>
  <c r="E48" i="6"/>
  <c r="S24" i="6"/>
  <c r="Q21" i="6"/>
  <c r="Q69" i="6" s="1"/>
  <c r="I12" i="6"/>
  <c r="I21" i="6"/>
  <c r="I26" i="6"/>
  <c r="I27" i="6"/>
  <c r="I28" i="6"/>
  <c r="I29" i="6"/>
  <c r="I30" i="6"/>
  <c r="I24" i="6"/>
  <c r="I25" i="6"/>
  <c r="I5" i="6"/>
  <c r="I6" i="6"/>
  <c r="I11" i="6"/>
  <c r="I13" i="6"/>
  <c r="I15" i="6"/>
  <c r="I17" i="6"/>
  <c r="I18" i="6"/>
  <c r="I31" i="6"/>
  <c r="I19" i="6"/>
  <c r="I20" i="6"/>
  <c r="I22" i="6"/>
  <c r="I7" i="6"/>
  <c r="I8" i="6"/>
  <c r="I9" i="6"/>
  <c r="I10" i="6"/>
  <c r="I23" i="6"/>
  <c r="I4" i="6"/>
  <c r="B43" i="6"/>
  <c r="E43" i="6"/>
  <c r="G43" i="6"/>
  <c r="H43" i="6"/>
  <c r="I32" i="6"/>
  <c r="I33" i="6"/>
  <c r="I34" i="6"/>
  <c r="I35" i="6"/>
  <c r="I36" i="6"/>
  <c r="I37" i="6"/>
  <c r="I38" i="6"/>
  <c r="I39" i="6"/>
  <c r="I40" i="6"/>
  <c r="I41" i="6"/>
  <c r="I90" i="6"/>
  <c r="I89" i="6"/>
  <c r="I88" i="6"/>
  <c r="I87" i="6"/>
  <c r="I86" i="6"/>
  <c r="I85" i="6"/>
  <c r="I84" i="6"/>
  <c r="I83" i="6"/>
  <c r="I82" i="6"/>
  <c r="I81" i="6"/>
  <c r="N70" i="6"/>
  <c r="P70" i="6"/>
  <c r="Q70" i="6"/>
  <c r="I54" i="6"/>
  <c r="I55" i="6"/>
  <c r="I57" i="6"/>
  <c r="I61" i="6"/>
  <c r="I70" i="6"/>
  <c r="I53" i="6"/>
  <c r="I56" i="6"/>
  <c r="I58" i="6"/>
  <c r="I59" i="6"/>
  <c r="I60" i="6"/>
  <c r="I62" i="6"/>
  <c r="I64" i="6"/>
  <c r="I66" i="6"/>
  <c r="I67" i="6"/>
  <c r="I68" i="6"/>
  <c r="I69" i="6"/>
  <c r="I71" i="6"/>
  <c r="I72" i="6"/>
  <c r="I73" i="6"/>
  <c r="I74" i="6"/>
  <c r="I75" i="6"/>
  <c r="I76" i="6"/>
  <c r="I77" i="6"/>
  <c r="I78" i="6"/>
  <c r="I79" i="6"/>
  <c r="I80" i="6"/>
  <c r="M13" i="8"/>
  <c r="M14" i="8"/>
  <c r="M16" i="8"/>
  <c r="M17" i="8"/>
  <c r="M18" i="8"/>
  <c r="M19" i="8"/>
  <c r="M20" i="8"/>
  <c r="M29" i="8"/>
  <c r="M28" i="8"/>
  <c r="M27" i="8"/>
  <c r="M26" i="8"/>
  <c r="M25" i="8"/>
  <c r="M24" i="8"/>
  <c r="M23" i="8"/>
  <c r="M22" i="8"/>
  <c r="M21" i="8"/>
  <c r="K25" i="8"/>
  <c r="K28" i="8"/>
  <c r="K29" i="8"/>
  <c r="K27" i="8"/>
  <c r="K26" i="8"/>
  <c r="K24" i="8"/>
  <c r="K23" i="8"/>
  <c r="K22" i="8"/>
  <c r="K21" i="8"/>
  <c r="J29" i="8"/>
  <c r="J28" i="8"/>
  <c r="J27" i="8"/>
  <c r="J26" i="8"/>
  <c r="J25" i="8"/>
  <c r="J24" i="8"/>
  <c r="J23" i="8"/>
  <c r="J22" i="8"/>
  <c r="J21" i="8"/>
  <c r="Q36" i="8"/>
  <c r="Q35" i="8"/>
  <c r="Q34" i="8"/>
  <c r="N32" i="8"/>
  <c r="N33" i="8"/>
  <c r="H30" i="8"/>
  <c r="G30" i="8"/>
  <c r="F30" i="8"/>
  <c r="E30" i="8"/>
  <c r="D30" i="8"/>
  <c r="C30" i="8"/>
  <c r="A42" i="10"/>
  <c r="A41" i="10"/>
  <c r="A40" i="10"/>
  <c r="A39" i="10"/>
  <c r="A38" i="10"/>
  <c r="A36" i="10"/>
  <c r="A35" i="10"/>
  <c r="A34" i="10"/>
  <c r="A33" i="10"/>
  <c r="A32" i="10"/>
  <c r="A47" i="10"/>
  <c r="A48" i="10"/>
  <c r="A49" i="10"/>
  <c r="A50" i="10"/>
  <c r="A51" i="10"/>
  <c r="A54" i="10"/>
  <c r="A55" i="10"/>
  <c r="A56" i="10"/>
  <c r="A83" i="10"/>
  <c r="A84" i="10"/>
  <c r="A85" i="10"/>
  <c r="A86" i="10"/>
  <c r="A87" i="10"/>
  <c r="A88" i="10"/>
  <c r="A89" i="10"/>
  <c r="A90" i="10"/>
  <c r="A91" i="10"/>
  <c r="A92" i="10"/>
  <c r="A93" i="10"/>
  <c r="A57" i="10"/>
  <c r="D55" i="1"/>
  <c r="B55" i="1"/>
  <c r="D56" i="1"/>
  <c r="B56" i="1"/>
  <c r="H775" i="11"/>
  <c r="D58" i="1"/>
  <c r="B58" i="1"/>
  <c r="I763" i="11"/>
  <c r="O631" i="11"/>
  <c r="O780" i="11" s="1"/>
  <c r="G785" i="11"/>
  <c r="G36" i="8"/>
  <c r="N631" i="11"/>
  <c r="N780" i="11" s="1"/>
  <c r="H763" i="11"/>
  <c r="J778" i="11"/>
  <c r="O523" i="11"/>
  <c r="O772" i="11" s="1"/>
  <c r="J772" i="11"/>
  <c r="O596" i="11"/>
  <c r="O778" i="11" s="1"/>
  <c r="M46" i="8"/>
  <c r="B94" i="10"/>
  <c r="C94" i="10"/>
  <c r="I38" i="8"/>
  <c r="I41" i="8"/>
  <c r="F71" i="10"/>
  <c r="H71" i="10" s="1"/>
  <c r="I32" i="8"/>
  <c r="J42" i="8"/>
  <c r="I36" i="8"/>
  <c r="I33" i="8"/>
  <c r="I34" i="8"/>
  <c r="C58" i="10"/>
  <c r="D46" i="8"/>
  <c r="L71" i="6" l="1"/>
  <c r="P786" i="11"/>
  <c r="D91" i="10" s="1"/>
  <c r="F91" i="10" s="1"/>
  <c r="H91" i="10" s="1"/>
  <c r="Q786" i="11"/>
  <c r="G786" i="11"/>
  <c r="M786" i="11"/>
  <c r="F786" i="11"/>
  <c r="D25" i="10" s="1"/>
  <c r="J55" i="1"/>
  <c r="G46" i="8"/>
  <c r="I91" i="6"/>
  <c r="F744" i="11"/>
  <c r="H744" i="11"/>
  <c r="J10" i="1"/>
  <c r="L744" i="11"/>
  <c r="L61" i="1"/>
  <c r="K50" i="1"/>
  <c r="F46" i="8"/>
  <c r="L64" i="1"/>
  <c r="H48" i="1"/>
  <c r="L47" i="1"/>
  <c r="L52" i="1"/>
  <c r="J744" i="11"/>
  <c r="H39" i="8"/>
  <c r="M39" i="8"/>
  <c r="C48" i="8"/>
  <c r="I39" i="8"/>
  <c r="G51" i="8"/>
  <c r="K33" i="8"/>
  <c r="M33" i="8"/>
  <c r="E32" i="8"/>
  <c r="J32" i="8"/>
  <c r="J52" i="1"/>
  <c r="K57" i="1"/>
  <c r="L55" i="1"/>
  <c r="L62" i="1"/>
  <c r="L10" i="1"/>
  <c r="L48" i="1"/>
  <c r="L63" i="1"/>
  <c r="G62" i="1"/>
  <c r="J64" i="1"/>
  <c r="P744" i="11"/>
  <c r="F34" i="10"/>
  <c r="H34" i="10" s="1"/>
  <c r="Q744" i="11"/>
  <c r="M744" i="11"/>
  <c r="J782" i="11"/>
  <c r="I744" i="11"/>
  <c r="G744" i="11"/>
  <c r="K782" i="11"/>
  <c r="K744" i="11"/>
  <c r="E49" i="10"/>
  <c r="G49" i="10" s="1"/>
  <c r="I49" i="10" s="1"/>
  <c r="Q85" i="6"/>
  <c r="Q78" i="6"/>
  <c r="O69" i="6"/>
  <c r="O71" i="6" s="1"/>
  <c r="L54" i="6"/>
  <c r="L56" i="6" s="1"/>
  <c r="K43" i="1"/>
  <c r="F34" i="8"/>
  <c r="H32" i="8"/>
  <c r="M32" i="8"/>
  <c r="C32" i="8"/>
  <c r="G32" i="8"/>
  <c r="J42" i="1"/>
  <c r="J48" i="1"/>
  <c r="L56" i="1"/>
  <c r="K48" i="1"/>
  <c r="J60" i="1"/>
  <c r="L60" i="1"/>
  <c r="H64" i="1"/>
  <c r="K51" i="1"/>
  <c r="K60" i="1"/>
  <c r="N69" i="6"/>
  <c r="N71" i="6" s="1"/>
  <c r="K85" i="6"/>
  <c r="E33" i="8"/>
  <c r="H33" i="8"/>
  <c r="J33" i="8"/>
  <c r="F33" i="8"/>
  <c r="D33" i="8"/>
  <c r="J36" i="8"/>
  <c r="G33" i="8"/>
  <c r="F12" i="10"/>
  <c r="H12" i="10" s="1"/>
  <c r="H46" i="8"/>
  <c r="C46" i="8"/>
  <c r="E46" i="8"/>
  <c r="J46" i="8"/>
  <c r="K46" i="8"/>
  <c r="G42" i="1"/>
  <c r="H44" i="1"/>
  <c r="K44" i="1"/>
  <c r="J7" i="1"/>
  <c r="H45" i="1"/>
  <c r="K45" i="1"/>
  <c r="L11" i="1"/>
  <c r="G41" i="1"/>
  <c r="J41" i="1"/>
  <c r="J45" i="1"/>
  <c r="J49" i="1"/>
  <c r="L44" i="1"/>
  <c r="G59" i="1"/>
  <c r="J59" i="1"/>
  <c r="H46" i="1"/>
  <c r="K46" i="1"/>
  <c r="J12" i="1"/>
  <c r="G50" i="1"/>
  <c r="J50" i="1"/>
  <c r="L43" i="1"/>
  <c r="H59" i="1"/>
  <c r="K59" i="1"/>
  <c r="L57" i="1"/>
  <c r="G63" i="1"/>
  <c r="J63" i="1"/>
  <c r="L49" i="1"/>
  <c r="H47" i="1"/>
  <c r="K47" i="1"/>
  <c r="L13" i="1"/>
  <c r="G46" i="1"/>
  <c r="J46" i="1"/>
  <c r="L51" i="1"/>
  <c r="L42" i="1"/>
  <c r="K52" i="1"/>
  <c r="J62" i="1"/>
  <c r="H63" i="1"/>
  <c r="K63" i="1"/>
  <c r="H58" i="1"/>
  <c r="K58" i="1"/>
  <c r="G60" i="1"/>
  <c r="G56" i="1"/>
  <c r="J56" i="1"/>
  <c r="J14" i="1"/>
  <c r="G51" i="1"/>
  <c r="J51" i="1"/>
  <c r="L41" i="1"/>
  <c r="K53" i="1"/>
  <c r="L58" i="1"/>
  <c r="K62" i="1"/>
  <c r="L45" i="1"/>
  <c r="H56" i="1"/>
  <c r="K56" i="1"/>
  <c r="H41" i="1"/>
  <c r="K41" i="1"/>
  <c r="K49" i="1"/>
  <c r="L15" i="1"/>
  <c r="J43" i="1"/>
  <c r="J47" i="1"/>
  <c r="K54" i="1"/>
  <c r="G57" i="1"/>
  <c r="J57" i="1"/>
  <c r="G61" i="1"/>
  <c r="J61" i="1"/>
  <c r="J11" i="1"/>
  <c r="H42" i="1"/>
  <c r="K42" i="1"/>
  <c r="L8" i="1"/>
  <c r="L50" i="1"/>
  <c r="J54" i="1"/>
  <c r="L53" i="1"/>
  <c r="H61" i="1"/>
  <c r="K61" i="1"/>
  <c r="J15" i="1"/>
  <c r="G58" i="1"/>
  <c r="J58" i="1"/>
  <c r="H55" i="1"/>
  <c r="K55" i="1"/>
  <c r="J9" i="1"/>
  <c r="G44" i="1"/>
  <c r="J44" i="1"/>
  <c r="G53" i="1"/>
  <c r="J53" i="1"/>
  <c r="L46" i="1"/>
  <c r="L54" i="1"/>
  <c r="L59" i="1"/>
  <c r="H39" i="1"/>
  <c r="H38" i="1"/>
  <c r="J39" i="1"/>
  <c r="K39" i="1"/>
  <c r="K40" i="1"/>
  <c r="J40" i="1"/>
  <c r="L40" i="1"/>
  <c r="L39" i="1"/>
  <c r="H37" i="1"/>
  <c r="G37" i="1"/>
  <c r="J38" i="1"/>
  <c r="K38" i="1"/>
  <c r="L38" i="1"/>
  <c r="J8" i="1"/>
  <c r="J25" i="1"/>
  <c r="L25" i="1"/>
  <c r="K25" i="1"/>
  <c r="L26" i="1"/>
  <c r="K26" i="1"/>
  <c r="J19" i="1"/>
  <c r="K19" i="1"/>
  <c r="L19" i="1"/>
  <c r="L23" i="1"/>
  <c r="K23" i="1"/>
  <c r="J17" i="1"/>
  <c r="L17" i="1"/>
  <c r="K17" i="1"/>
  <c r="L18" i="1"/>
  <c r="K18" i="1"/>
  <c r="J21" i="1"/>
  <c r="L21" i="1"/>
  <c r="K21" i="1"/>
  <c r="J16" i="1"/>
  <c r="L16" i="1"/>
  <c r="K16" i="1"/>
  <c r="K20" i="1"/>
  <c r="L20" i="1"/>
  <c r="J24" i="1"/>
  <c r="L24" i="1"/>
  <c r="K24" i="1"/>
  <c r="K22" i="1"/>
  <c r="L22" i="1"/>
  <c r="H36" i="1"/>
  <c r="G36" i="1"/>
  <c r="K37" i="1"/>
  <c r="L37" i="1"/>
  <c r="J37" i="1"/>
  <c r="K29" i="1"/>
  <c r="L29" i="1"/>
  <c r="J29" i="1"/>
  <c r="L30" i="1"/>
  <c r="K30" i="1"/>
  <c r="J30" i="1"/>
  <c r="L34" i="1"/>
  <c r="K34" i="1"/>
  <c r="J34" i="1"/>
  <c r="L35" i="1"/>
  <c r="J27" i="1"/>
  <c r="L27" i="1"/>
  <c r="K27" i="1"/>
  <c r="J31" i="1"/>
  <c r="L31" i="1"/>
  <c r="K31" i="1"/>
  <c r="J35" i="1"/>
  <c r="K35" i="1"/>
  <c r="G35" i="1"/>
  <c r="J28" i="1"/>
  <c r="L28" i="1"/>
  <c r="K28" i="1"/>
  <c r="K32" i="1"/>
  <c r="L32" i="1"/>
  <c r="J32" i="1"/>
  <c r="L36" i="1"/>
  <c r="J36" i="1"/>
  <c r="K36" i="1"/>
  <c r="K33" i="1"/>
  <c r="L33" i="1"/>
  <c r="J33" i="1"/>
  <c r="E86" i="10"/>
  <c r="D17" i="10"/>
  <c r="E17" i="10" s="1"/>
  <c r="D47" i="10"/>
  <c r="D83" i="10"/>
  <c r="F32" i="10"/>
  <c r="H32" i="10" s="1"/>
  <c r="O62" i="6"/>
  <c r="O64" i="6" s="1"/>
  <c r="K54" i="6"/>
  <c r="K56" i="6" s="1"/>
  <c r="E10" i="10"/>
  <c r="G10" i="10" s="1"/>
  <c r="I10" i="10" s="1"/>
  <c r="C57" i="8"/>
  <c r="E45" i="8"/>
  <c r="K42" i="8"/>
  <c r="L42" i="8" s="1"/>
  <c r="C36" i="8"/>
  <c r="M42" i="8"/>
  <c r="D45" i="8"/>
  <c r="M36" i="8"/>
  <c r="H45" i="8"/>
  <c r="E36" i="8"/>
  <c r="H36" i="8"/>
  <c r="K36" i="8"/>
  <c r="G45" i="8"/>
  <c r="K45" i="8"/>
  <c r="D42" i="8"/>
  <c r="J45" i="8"/>
  <c r="F36" i="8"/>
  <c r="M45" i="8"/>
  <c r="D36" i="8"/>
  <c r="C45" i="8"/>
  <c r="N500" i="11"/>
  <c r="N771" i="11" s="1"/>
  <c r="J18" i="1"/>
  <c r="J22" i="1"/>
  <c r="J26" i="1"/>
  <c r="L12" i="1"/>
  <c r="J23" i="1"/>
  <c r="J20" i="1"/>
  <c r="Q56" i="6"/>
  <c r="O76" i="6"/>
  <c r="O78" i="6" s="1"/>
  <c r="M76" i="6"/>
  <c r="M78" i="6" s="1"/>
  <c r="F11" i="10"/>
  <c r="H11" i="10" s="1"/>
  <c r="L30" i="8"/>
  <c r="K39" i="8"/>
  <c r="G39" i="8"/>
  <c r="D39" i="8"/>
  <c r="F39" i="8"/>
  <c r="J39" i="8"/>
  <c r="H35" i="1"/>
  <c r="G33" i="1"/>
  <c r="H43" i="1"/>
  <c r="G54" i="1"/>
  <c r="H40" i="1"/>
  <c r="H54" i="1"/>
  <c r="G55" i="1"/>
  <c r="G49" i="1"/>
  <c r="L14" i="1"/>
  <c r="J13" i="1"/>
  <c r="G39" i="1"/>
  <c r="G47" i="1"/>
  <c r="G40" i="1"/>
  <c r="H52" i="1"/>
  <c r="H42" i="8"/>
  <c r="K51" i="8"/>
  <c r="L51" i="8" s="1"/>
  <c r="E51" i="8"/>
  <c r="M51" i="8"/>
  <c r="E50" i="8"/>
  <c r="H50" i="8"/>
  <c r="G42" i="8"/>
  <c r="M50" i="8"/>
  <c r="G50" i="8"/>
  <c r="C42" i="8"/>
  <c r="C51" i="8"/>
  <c r="K50" i="8"/>
  <c r="L50" i="8" s="1"/>
  <c r="D50" i="8"/>
  <c r="F50" i="8"/>
  <c r="D51" i="8"/>
  <c r="E42" i="8"/>
  <c r="C50" i="8"/>
  <c r="L31" i="8"/>
  <c r="F51" i="8"/>
  <c r="H60" i="1"/>
  <c r="G23" i="1"/>
  <c r="G64" i="1"/>
  <c r="H51" i="1"/>
  <c r="G43" i="1"/>
  <c r="H27" i="1"/>
  <c r="H49" i="1"/>
  <c r="G38" i="1"/>
  <c r="G48" i="1"/>
  <c r="H53" i="1"/>
  <c r="G45" i="1"/>
  <c r="G52" i="1"/>
  <c r="H57" i="1"/>
  <c r="Q71" i="6"/>
  <c r="O43" i="6"/>
  <c r="N78" i="6"/>
  <c r="L85" i="6"/>
  <c r="L28" i="8"/>
  <c r="L21" i="8"/>
  <c r="L29" i="8"/>
  <c r="L23" i="8"/>
  <c r="O659" i="11"/>
  <c r="O782" i="11" s="1"/>
  <c r="N188" i="11"/>
  <c r="N486" i="11"/>
  <c r="N770" i="11" s="1"/>
  <c r="O698" i="11"/>
  <c r="N244" i="11"/>
  <c r="O216" i="11"/>
  <c r="E52" i="10"/>
  <c r="G52" i="10" s="1"/>
  <c r="I52" i="10" s="1"/>
  <c r="E90" i="10"/>
  <c r="G90" i="10" s="1"/>
  <c r="I90" i="10" s="1"/>
  <c r="F86" i="10"/>
  <c r="H86" i="10" s="1"/>
  <c r="N585" i="11"/>
  <c r="D33" i="10"/>
  <c r="F33" i="10" s="1"/>
  <c r="H33" i="10" s="1"/>
  <c r="N698" i="11"/>
  <c r="O350" i="11"/>
  <c r="N91" i="11"/>
  <c r="N234" i="11"/>
  <c r="O569" i="11"/>
  <c r="O776" i="11" s="1"/>
  <c r="O590" i="11"/>
  <c r="O777" i="11" s="1"/>
  <c r="K781" i="11"/>
  <c r="N560" i="11"/>
  <c r="N774" i="11" s="1"/>
  <c r="O482" i="11"/>
  <c r="O769" i="11" s="1"/>
  <c r="E22" i="10"/>
  <c r="G22" i="10" s="1"/>
  <c r="I22" i="10" s="1"/>
  <c r="N320" i="11"/>
  <c r="N350" i="11"/>
  <c r="O244" i="11"/>
  <c r="N267" i="11"/>
  <c r="N762" i="11"/>
  <c r="E88" i="10"/>
  <c r="G88" i="10" s="1"/>
  <c r="I88" i="10" s="1"/>
  <c r="D84" i="10"/>
  <c r="F84" i="10" s="1"/>
  <c r="H84" i="10" s="1"/>
  <c r="O320" i="11"/>
  <c r="E87" i="10"/>
  <c r="G87" i="10" s="1"/>
  <c r="I87" i="10" s="1"/>
  <c r="E37" i="10"/>
  <c r="G37" i="10" s="1"/>
  <c r="I37" i="10" s="1"/>
  <c r="O267" i="11"/>
  <c r="N419" i="11"/>
  <c r="N374" i="11"/>
  <c r="N765" i="11" s="1"/>
  <c r="E54" i="10"/>
  <c r="G54" i="10" s="1"/>
  <c r="I54" i="10" s="1"/>
  <c r="E92" i="10"/>
  <c r="G92" i="10" s="1"/>
  <c r="I92" i="10" s="1"/>
  <c r="N216" i="11"/>
  <c r="H771" i="11"/>
  <c r="I782" i="11"/>
  <c r="I786" i="11" s="1"/>
  <c r="D35" i="10"/>
  <c r="E35" i="10" s="1"/>
  <c r="G35" i="10" s="1"/>
  <c r="I35" i="10" s="1"/>
  <c r="N725" i="11"/>
  <c r="N542" i="11"/>
  <c r="N773" i="11" s="1"/>
  <c r="O419" i="11"/>
  <c r="N391" i="11"/>
  <c r="N766" i="11" s="1"/>
  <c r="O486" i="11"/>
  <c r="O770" i="11" s="1"/>
  <c r="E51" i="10"/>
  <c r="G51" i="10" s="1"/>
  <c r="I51" i="10" s="1"/>
  <c r="O374" i="11"/>
  <c r="O765" i="11" s="1"/>
  <c r="O391" i="11"/>
  <c r="O766" i="11" s="1"/>
  <c r="N569" i="11"/>
  <c r="N776" i="11" s="1"/>
  <c r="D41" i="10"/>
  <c r="F41" i="10" s="1"/>
  <c r="H41" i="10" s="1"/>
  <c r="O188" i="11"/>
  <c r="O762" i="11"/>
  <c r="N482" i="11"/>
  <c r="N769" i="11" s="1"/>
  <c r="O542" i="11"/>
  <c r="O773" i="11" s="1"/>
  <c r="N446" i="11"/>
  <c r="N767" i="11" s="1"/>
  <c r="O436" i="11"/>
  <c r="G53" i="10"/>
  <c r="I53" i="10" s="1"/>
  <c r="F85" i="10"/>
  <c r="H85" i="10" s="1"/>
  <c r="N466" i="11"/>
  <c r="N768" i="11" s="1"/>
  <c r="O738" i="11"/>
  <c r="O784" i="11" s="1"/>
  <c r="D50" i="10"/>
  <c r="E50" i="10" s="1"/>
  <c r="G50" i="10" s="1"/>
  <c r="I50" i="10" s="1"/>
  <c r="O500" i="11"/>
  <c r="O771" i="11" s="1"/>
  <c r="O466" i="11"/>
  <c r="O768" i="11" s="1"/>
  <c r="D20" i="10"/>
  <c r="E20" i="10" s="1"/>
  <c r="G20" i="10" s="1"/>
  <c r="I20" i="10" s="1"/>
  <c r="F22" i="10"/>
  <c r="H22" i="10" s="1"/>
  <c r="O446" i="11"/>
  <c r="O767" i="11" s="1"/>
  <c r="O560" i="11"/>
  <c r="O774" i="11" s="1"/>
  <c r="D18" i="10"/>
  <c r="F18" i="10" s="1"/>
  <c r="H18" i="10" s="1"/>
  <c r="N178" i="11"/>
  <c r="O678" i="11"/>
  <c r="O783" i="11" s="1"/>
  <c r="E39" i="10"/>
  <c r="G39" i="10" s="1"/>
  <c r="I39" i="10" s="1"/>
  <c r="G38" i="10"/>
  <c r="I38" i="10" s="1"/>
  <c r="E27" i="10"/>
  <c r="G27" i="10" s="1"/>
  <c r="I27" i="10" s="1"/>
  <c r="O178" i="11"/>
  <c r="F19" i="10"/>
  <c r="H19" i="10" s="1"/>
  <c r="E24" i="10"/>
  <c r="G24" i="10" s="1"/>
  <c r="I24" i="10" s="1"/>
  <c r="F24" i="10"/>
  <c r="H24" i="10" s="1"/>
  <c r="E21" i="10"/>
  <c r="G21" i="10" s="1"/>
  <c r="I21" i="10" s="1"/>
  <c r="F21" i="10"/>
  <c r="H21" i="10" s="1"/>
  <c r="N624" i="11"/>
  <c r="N779" i="11" s="1"/>
  <c r="F53" i="10"/>
  <c r="H53" i="10" s="1"/>
  <c r="D48" i="10"/>
  <c r="F48" i="10" s="1"/>
  <c r="H48" i="10" s="1"/>
  <c r="N659" i="11"/>
  <c r="N782" i="11" s="1"/>
  <c r="K769" i="11"/>
  <c r="L779" i="11"/>
  <c r="L786" i="11" s="1"/>
  <c r="J781" i="11"/>
  <c r="N590" i="11"/>
  <c r="N73" i="11"/>
  <c r="G89" i="10"/>
  <c r="I89" i="10" s="1"/>
  <c r="N738" i="11"/>
  <c r="N784" i="11" s="1"/>
  <c r="H767" i="11"/>
  <c r="O565" i="11"/>
  <c r="O775" i="11" s="1"/>
  <c r="O585" i="11"/>
  <c r="O624" i="11"/>
  <c r="O779" i="11" s="1"/>
  <c r="N436" i="11"/>
  <c r="J775" i="11"/>
  <c r="O73" i="11"/>
  <c r="O234" i="11"/>
  <c r="E26" i="10"/>
  <c r="G26" i="10" s="1"/>
  <c r="I26" i="10" s="1"/>
  <c r="F51" i="10"/>
  <c r="H51" i="10" s="1"/>
  <c r="E93" i="10"/>
  <c r="G93" i="10" s="1"/>
  <c r="I93" i="10" s="1"/>
  <c r="E36" i="10"/>
  <c r="G36" i="10" s="1"/>
  <c r="I36" i="10" s="1"/>
  <c r="E42" i="10"/>
  <c r="G42" i="10" s="1"/>
  <c r="I42" i="10" s="1"/>
  <c r="G23" i="10"/>
  <c r="I23" i="10" s="1"/>
  <c r="P64" i="6"/>
  <c r="R55" i="6"/>
  <c r="Q62" i="6"/>
  <c r="Q64" i="6" s="1"/>
  <c r="Q43" i="6"/>
  <c r="P85" i="6"/>
  <c r="P43" i="6"/>
  <c r="P76" i="6"/>
  <c r="O83" i="6"/>
  <c r="O85" i="6" s="1"/>
  <c r="O56" i="6"/>
  <c r="N85" i="6"/>
  <c r="R21" i="6"/>
  <c r="S25" i="6" s="1"/>
  <c r="S26" i="6" s="1"/>
  <c r="AV39" i="4" s="1"/>
  <c r="R70" i="6"/>
  <c r="N43" i="6"/>
  <c r="N62" i="6"/>
  <c r="N64" i="6" s="1"/>
  <c r="N56" i="6"/>
  <c r="R5" i="6"/>
  <c r="J52" i="8" s="1"/>
  <c r="M85" i="6"/>
  <c r="M43" i="6"/>
  <c r="M64" i="6"/>
  <c r="R35" i="6"/>
  <c r="M52" i="8" s="1"/>
  <c r="R77" i="6"/>
  <c r="L78" i="6"/>
  <c r="L64" i="6"/>
  <c r="L43" i="6"/>
  <c r="K69" i="6"/>
  <c r="R12" i="6"/>
  <c r="K52" i="8" s="1"/>
  <c r="K62" i="6"/>
  <c r="K43" i="6"/>
  <c r="R84" i="6"/>
  <c r="R26" i="6"/>
  <c r="K78" i="6"/>
  <c r="R24" i="6"/>
  <c r="R63" i="6"/>
  <c r="I43" i="6"/>
  <c r="I48" i="6"/>
  <c r="C52" i="8"/>
  <c r="D57" i="8"/>
  <c r="L27" i="8"/>
  <c r="L22" i="8"/>
  <c r="L26" i="8"/>
  <c r="L24" i="8"/>
  <c r="K47" i="8"/>
  <c r="D47" i="8"/>
  <c r="J47" i="8"/>
  <c r="H47" i="8"/>
  <c r="E47" i="8"/>
  <c r="M47" i="8"/>
  <c r="G47" i="8"/>
  <c r="F47" i="8"/>
  <c r="C47" i="8"/>
  <c r="M43" i="8"/>
  <c r="G43" i="8"/>
  <c r="H43" i="8"/>
  <c r="J43" i="8"/>
  <c r="E43" i="8"/>
  <c r="D43" i="8"/>
  <c r="C43" i="8"/>
  <c r="F43" i="8"/>
  <c r="K43" i="8"/>
  <c r="D41" i="8"/>
  <c r="M41" i="8"/>
  <c r="E41" i="8"/>
  <c r="G41" i="8"/>
  <c r="K41" i="8"/>
  <c r="C41" i="8"/>
  <c r="F41" i="8"/>
  <c r="H41" i="8"/>
  <c r="J41" i="8"/>
  <c r="I37" i="8"/>
  <c r="F38" i="8"/>
  <c r="M38" i="8"/>
  <c r="G38" i="8"/>
  <c r="H38" i="8"/>
  <c r="J38" i="8"/>
  <c r="C38" i="8"/>
  <c r="K38" i="8"/>
  <c r="D38" i="8"/>
  <c r="E38" i="8"/>
  <c r="H44" i="8"/>
  <c r="K44" i="8"/>
  <c r="F44" i="8"/>
  <c r="C44" i="8"/>
  <c r="J44" i="8"/>
  <c r="M44" i="8"/>
  <c r="D44" i="8"/>
  <c r="E44" i="8"/>
  <c r="G44" i="8"/>
  <c r="H50" i="1"/>
  <c r="P54" i="6"/>
  <c r="P56" i="6" s="1"/>
  <c r="L25" i="8"/>
  <c r="E39" i="8"/>
  <c r="C39" i="8"/>
  <c r="F42" i="8"/>
  <c r="E55" i="8"/>
  <c r="I16" i="5"/>
  <c r="H62" i="1"/>
  <c r="M54" i="6"/>
  <c r="K32" i="8"/>
  <c r="D32" i="8"/>
  <c r="N678" i="11"/>
  <c r="N783" i="11" s="1"/>
  <c r="L9" i="1"/>
  <c r="H51" i="8"/>
  <c r="J786" i="11" l="1"/>
  <c r="D55" i="10" s="1"/>
  <c r="F55" i="10" s="1"/>
  <c r="H55" i="10" s="1"/>
  <c r="H786" i="11"/>
  <c r="D40" i="10" s="1"/>
  <c r="F40" i="10" s="1"/>
  <c r="H40" i="10" s="1"/>
  <c r="K786" i="11"/>
  <c r="O786" i="11"/>
  <c r="E83" i="10"/>
  <c r="G83" i="10" s="1"/>
  <c r="I83" i="10" s="1"/>
  <c r="D94" i="10"/>
  <c r="E47" i="10"/>
  <c r="G47" i="10" s="1"/>
  <c r="I47" i="10" s="1"/>
  <c r="F25" i="10"/>
  <c r="H25" i="10" s="1"/>
  <c r="D28" i="10"/>
  <c r="G19" i="10"/>
  <c r="I19" i="10" s="1"/>
  <c r="L33" i="8"/>
  <c r="G12" i="10"/>
  <c r="I12" i="10" s="1"/>
  <c r="F79" i="10"/>
  <c r="H79" i="10" s="1"/>
  <c r="H55" i="8"/>
  <c r="F55" i="8"/>
  <c r="G48" i="8"/>
  <c r="E48" i="8"/>
  <c r="L46" i="8"/>
  <c r="N777" i="11"/>
  <c r="N786" i="11" s="1"/>
  <c r="N744" i="11"/>
  <c r="O751" i="11" s="1"/>
  <c r="G34" i="10"/>
  <c r="I34" i="10" s="1"/>
  <c r="R69" i="6"/>
  <c r="R71" i="6" s="1"/>
  <c r="D34" i="8"/>
  <c r="K34" i="8"/>
  <c r="E34" i="8"/>
  <c r="G34" i="8"/>
  <c r="J34" i="8"/>
  <c r="H48" i="8"/>
  <c r="F48" i="8"/>
  <c r="H34" i="8"/>
  <c r="C34" i="8"/>
  <c r="M34" i="8"/>
  <c r="K48" i="8"/>
  <c r="D48" i="8"/>
  <c r="J48" i="8"/>
  <c r="M48" i="8"/>
  <c r="L32" i="8"/>
  <c r="O744" i="11"/>
  <c r="L36" i="8"/>
  <c r="L45" i="8"/>
  <c r="D10" i="10"/>
  <c r="F10" i="10" s="1"/>
  <c r="H10" i="10" s="1"/>
  <c r="F47" i="10"/>
  <c r="H47" i="10" s="1"/>
  <c r="F83" i="10"/>
  <c r="H83" i="10" s="1"/>
  <c r="F17" i="10"/>
  <c r="H17" i="10" s="1"/>
  <c r="E32" i="10"/>
  <c r="D6" i="10"/>
  <c r="D9" i="10"/>
  <c r="F9" i="10" s="1"/>
  <c r="H9" i="10" s="1"/>
  <c r="E57" i="8"/>
  <c r="P747" i="11"/>
  <c r="F57" i="8"/>
  <c r="L39" i="8"/>
  <c r="R76" i="6"/>
  <c r="R78" i="6" s="1"/>
  <c r="AV40" i="4" s="1"/>
  <c r="L747" i="11"/>
  <c r="L749" i="11" s="1"/>
  <c r="M747" i="11"/>
  <c r="G86" i="10"/>
  <c r="I86" i="10" s="1"/>
  <c r="E33" i="10"/>
  <c r="G33" i="10" s="1"/>
  <c r="I33" i="10" s="1"/>
  <c r="M787" i="11"/>
  <c r="Q787" i="11"/>
  <c r="E91" i="10" s="1"/>
  <c r="G91" i="10" s="1"/>
  <c r="I91" i="10" s="1"/>
  <c r="F35" i="10"/>
  <c r="H35" i="10" s="1"/>
  <c r="E84" i="10"/>
  <c r="G84" i="10" s="1"/>
  <c r="I84" i="10" s="1"/>
  <c r="G17" i="10"/>
  <c r="I17" i="10" s="1"/>
  <c r="M745" i="11"/>
  <c r="F50" i="10"/>
  <c r="H50" i="10" s="1"/>
  <c r="E41" i="10"/>
  <c r="G41" i="10" s="1"/>
  <c r="I41" i="10" s="1"/>
  <c r="F49" i="10"/>
  <c r="H49" i="10" s="1"/>
  <c r="G85" i="10"/>
  <c r="I85" i="10" s="1"/>
  <c r="E18" i="10"/>
  <c r="G18" i="10" s="1"/>
  <c r="I18" i="10" s="1"/>
  <c r="F20" i="10"/>
  <c r="H20" i="10" s="1"/>
  <c r="G787" i="11"/>
  <c r="E25" i="10" s="1"/>
  <c r="G25" i="10" s="1"/>
  <c r="I25" i="10" s="1"/>
  <c r="G745" i="11"/>
  <c r="E48" i="10"/>
  <c r="G48" i="10" s="1"/>
  <c r="I48" i="10" s="1"/>
  <c r="I745" i="11"/>
  <c r="Q745" i="11"/>
  <c r="K745" i="11"/>
  <c r="P78" i="6"/>
  <c r="R83" i="6"/>
  <c r="R85" i="6" s="1"/>
  <c r="T85" i="6" s="1"/>
  <c r="L52" i="8"/>
  <c r="R62" i="6"/>
  <c r="R64" i="6" s="1"/>
  <c r="K71" i="6"/>
  <c r="R43" i="6"/>
  <c r="K64" i="6"/>
  <c r="D7" i="10"/>
  <c r="F7" i="10" s="1"/>
  <c r="H7" i="10" s="1"/>
  <c r="F52" i="8"/>
  <c r="L47" i="8"/>
  <c r="F40" i="8"/>
  <c r="H40" i="8"/>
  <c r="G40" i="8"/>
  <c r="D40" i="8"/>
  <c r="E40" i="8"/>
  <c r="K40" i="8"/>
  <c r="M40" i="8"/>
  <c r="C40" i="8"/>
  <c r="J40" i="8"/>
  <c r="J37" i="8"/>
  <c r="M37" i="8"/>
  <c r="H37" i="8"/>
  <c r="C37" i="8"/>
  <c r="E37" i="8"/>
  <c r="D37" i="8"/>
  <c r="F37" i="8"/>
  <c r="G37" i="8"/>
  <c r="K37" i="8"/>
  <c r="M35" i="8"/>
  <c r="F35" i="8"/>
  <c r="G35" i="8"/>
  <c r="D35" i="8"/>
  <c r="C35" i="8"/>
  <c r="J35" i="8"/>
  <c r="K35" i="8"/>
  <c r="E35" i="8"/>
  <c r="H35" i="8"/>
  <c r="L38" i="8"/>
  <c r="L41" i="8"/>
  <c r="L44" i="8"/>
  <c r="L43" i="8"/>
  <c r="D8" i="10"/>
  <c r="F8" i="10" s="1"/>
  <c r="H8" i="10" s="1"/>
  <c r="M56" i="6"/>
  <c r="R54" i="6"/>
  <c r="R56" i="6" s="1"/>
  <c r="L57" i="8" s="1"/>
  <c r="D58" i="10" l="1"/>
  <c r="E94" i="10"/>
  <c r="D43" i="10"/>
  <c r="F6" i="10"/>
  <c r="H6" i="10" s="1"/>
  <c r="D13" i="10"/>
  <c r="F13" i="10" s="1"/>
  <c r="H13" i="10" s="1"/>
  <c r="G32" i="10"/>
  <c r="I32" i="10" s="1"/>
  <c r="E28" i="10"/>
  <c r="F747" i="11"/>
  <c r="E9" i="10"/>
  <c r="G9" i="10" s="1"/>
  <c r="I9" i="10" s="1"/>
  <c r="E8" i="10"/>
  <c r="G8" i="10" s="1"/>
  <c r="I8" i="10" s="1"/>
  <c r="G55" i="8"/>
  <c r="L34" i="8"/>
  <c r="G79" i="10"/>
  <c r="I79" i="10" s="1"/>
  <c r="L48" i="8"/>
  <c r="E6" i="10"/>
  <c r="G6" i="10" s="1"/>
  <c r="I6" i="10" s="1"/>
  <c r="J49" i="8"/>
  <c r="H49" i="8"/>
  <c r="C49" i="8"/>
  <c r="F49" i="8"/>
  <c r="M49" i="8"/>
  <c r="D49" i="8"/>
  <c r="K49" i="8"/>
  <c r="E49" i="8"/>
  <c r="G49" i="8"/>
  <c r="F94" i="10"/>
  <c r="H94" i="10" s="1"/>
  <c r="P749" i="11"/>
  <c r="E792" i="11"/>
  <c r="I787" i="11"/>
  <c r="E40" i="10" s="1"/>
  <c r="G40" i="10" s="1"/>
  <c r="I40" i="10" s="1"/>
  <c r="K787" i="11"/>
  <c r="E55" i="10" s="1"/>
  <c r="G55" i="10" s="1"/>
  <c r="I55" i="10" s="1"/>
  <c r="O745" i="11"/>
  <c r="O787" i="11"/>
  <c r="D65" i="1"/>
  <c r="K65" i="1" s="1"/>
  <c r="Q747" i="11"/>
  <c r="E7" i="10"/>
  <c r="G7" i="10" s="1"/>
  <c r="I7" i="10" s="1"/>
  <c r="H747" i="11"/>
  <c r="H52" i="8"/>
  <c r="D52" i="8"/>
  <c r="E52" i="8"/>
  <c r="J747" i="11"/>
  <c r="B65" i="1"/>
  <c r="J65" i="1" s="1"/>
  <c r="G52" i="8"/>
  <c r="L37" i="8"/>
  <c r="L35" i="8"/>
  <c r="L40" i="8"/>
  <c r="E43" i="10" l="1"/>
  <c r="E58" i="10"/>
  <c r="E13" i="10"/>
  <c r="G13" i="10" s="1"/>
  <c r="I13" i="10" s="1"/>
  <c r="F28" i="10"/>
  <c r="H28" i="10" s="1"/>
  <c r="F749" i="11"/>
  <c r="G747" i="11"/>
  <c r="G28" i="10" s="1"/>
  <c r="I28" i="10" s="1"/>
  <c r="G94" i="10"/>
  <c r="I94" i="10" s="1"/>
  <c r="L49" i="8"/>
  <c r="J749" i="11"/>
  <c r="F43" i="10"/>
  <c r="H43" i="10" s="1"/>
  <c r="H749" i="11"/>
  <c r="E795" i="11"/>
  <c r="G65" i="1"/>
  <c r="H65" i="1"/>
  <c r="E789" i="11"/>
  <c r="E790" i="11"/>
  <c r="F58" i="10"/>
  <c r="H58" i="10" s="1"/>
  <c r="I747" i="11"/>
  <c r="K747" i="11"/>
  <c r="G43" i="10" l="1"/>
  <c r="I43" i="10" s="1"/>
  <c r="G58" i="10"/>
  <c r="I58" i="10" s="1"/>
  <c r="E791" i="11"/>
  <c r="E794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<sst xmlns="http://schemas.openxmlformats.org/spreadsheetml/2006/main" count="4386" uniqueCount="1159">
  <si>
    <t>Per Capita Income</t>
  </si>
  <si>
    <t xml:space="preserve"> </t>
  </si>
  <si>
    <t>CPI-U</t>
  </si>
  <si>
    <t>Per Capita Income (Calendar Year Basis):</t>
  </si>
  <si>
    <t xml:space="preserve">   Calendar Year CPI-U Adjusted to School Year Basis.</t>
  </si>
  <si>
    <t>ESA's</t>
  </si>
  <si>
    <t>FTE</t>
  </si>
  <si>
    <t>FTE*</t>
  </si>
  <si>
    <t>FTE**</t>
  </si>
  <si>
    <t>Table 7</t>
  </si>
  <si>
    <t>BaseSal</t>
  </si>
  <si>
    <t>TOTAL FTE</t>
  </si>
  <si>
    <t>SUMPRODUCT</t>
  </si>
  <si>
    <t>table2</t>
  </si>
  <si>
    <t>diff = 630's</t>
  </si>
  <si>
    <t>subtotal CAS</t>
  </si>
  <si>
    <t>total Certs</t>
  </si>
  <si>
    <t>check</t>
  </si>
  <si>
    <t>total Class</t>
  </si>
  <si>
    <t>difference</t>
  </si>
  <si>
    <t>FTE staff</t>
  </si>
  <si>
    <t>Average LEAP 1 mix</t>
  </si>
  <si>
    <t xml:space="preserve">NA   </t>
  </si>
  <si>
    <t>Avg. LEAP 1A mix</t>
  </si>
  <si>
    <t>Derived base</t>
  </si>
  <si>
    <t>Average mix</t>
  </si>
  <si>
    <t>Duty Code</t>
  </si>
  <si>
    <t>Avg Supp K</t>
  </si>
  <si>
    <t>Admin Certs</t>
  </si>
  <si>
    <t>Total FTE</t>
  </si>
  <si>
    <t>BaseSal SUMPRODUCT</t>
  </si>
  <si>
    <t>Instructional Certs</t>
  </si>
  <si>
    <t>Supp K SUMPRODUCT</t>
  </si>
  <si>
    <t>From Table 11</t>
  </si>
  <si>
    <t>-----------FTE-----------</t>
  </si>
  <si>
    <t>-------------------------------    BASIC EDUCATION    ---------------------------------</t>
  </si>
  <si>
    <t>Program--&gt;</t>
  </si>
  <si>
    <t>01</t>
  </si>
  <si>
    <t>Total</t>
  </si>
  <si>
    <t>BEd Total</t>
  </si>
  <si>
    <t>Check</t>
  </si>
  <si>
    <t>Admin CERTS</t>
  </si>
  <si>
    <t>Instruct CERTS</t>
  </si>
  <si>
    <t>Other (510,520,610)</t>
  </si>
  <si>
    <t>table 9, prog 01</t>
  </si>
  <si>
    <t>table 9, prog 31</t>
  </si>
  <si>
    <t>check--&gt;</t>
  </si>
  <si>
    <t>Table34 + 36</t>
  </si>
  <si>
    <t>Total CERTS</t>
  </si>
  <si>
    <t>Other</t>
  </si>
  <si>
    <t>table 9, prog 97</t>
  </si>
  <si>
    <t>Total Certs in BEd</t>
  </si>
  <si>
    <t>------------</t>
  </si>
  <si>
    <t>State Total - FTE</t>
  </si>
  <si>
    <t>check---&gt;</t>
  </si>
  <si>
    <t>----------------------------------    SALARY    ----------------------------------</t>
  </si>
  <si>
    <t>sumproduct</t>
  </si>
  <si>
    <t>Table 36</t>
  </si>
  <si>
    <t>Average Salary</t>
  </si>
  <si>
    <t>Table 34</t>
  </si>
  <si>
    <t>Kindergarten Through Third Grade</t>
  </si>
  <si>
    <t>Basic Education Programs</t>
  </si>
  <si>
    <t>Avg Annual</t>
  </si>
  <si>
    <t>Certificated Staff</t>
  </si>
  <si>
    <t>Classified</t>
  </si>
  <si>
    <t>School</t>
  </si>
  <si>
    <t>Enrollment</t>
  </si>
  <si>
    <t>Instructional</t>
  </si>
  <si>
    <t>Annual</t>
  </si>
  <si>
    <t>Certificated</t>
  </si>
  <si>
    <t>Selected</t>
  </si>
  <si>
    <t>Year</t>
  </si>
  <si>
    <t>Central</t>
  </si>
  <si>
    <t>Unit</t>
  </si>
  <si>
    <t>Teachers</t>
  </si>
  <si>
    <t>ESAs</t>
  </si>
  <si>
    <t>Staff</t>
  </si>
  <si>
    <t>Assistants</t>
  </si>
  <si>
    <t>FTE %</t>
  </si>
  <si>
    <t>Central Administrator</t>
  </si>
  <si>
    <t>Unit Administrator</t>
  </si>
  <si>
    <t>Classroom Teacher</t>
  </si>
  <si>
    <t>Educational Staff Associate</t>
  </si>
  <si>
    <t>On Paid Leave Duty 61</t>
  </si>
  <si>
    <t>Learning Assistance, State (55)</t>
  </si>
  <si>
    <t>Highly Capable (74)</t>
  </si>
  <si>
    <t>Other, State and Federal</t>
  </si>
  <si>
    <t>Pupil Transportation (99)</t>
  </si>
  <si>
    <t>Director/Supervisor</t>
  </si>
  <si>
    <t>Aide</t>
  </si>
  <si>
    <t>Crafts/Trades</t>
  </si>
  <si>
    <t>Laborer</t>
  </si>
  <si>
    <t>Office/Clerical</t>
  </si>
  <si>
    <t>Operator</t>
  </si>
  <si>
    <t>Professional</t>
  </si>
  <si>
    <t>Service Worker</t>
  </si>
  <si>
    <t>Technical</t>
  </si>
  <si>
    <t>On Paid Leave</t>
  </si>
  <si>
    <t>[Column A]</t>
  </si>
  <si>
    <t>[Column B]</t>
  </si>
  <si>
    <t>[Column C]</t>
  </si>
  <si>
    <t>[Column D]</t>
  </si>
  <si>
    <t>[Column E]</t>
  </si>
  <si>
    <t>[Column F]</t>
  </si>
  <si>
    <t>All Certificated Staff</t>
  </si>
  <si>
    <t>Cert Admin Staff</t>
  </si>
  <si>
    <t>Cert Instruct Staff</t>
  </si>
  <si>
    <t>51,52,61 Staff</t>
  </si>
  <si>
    <t>Grand Total - All Cert Staff</t>
  </si>
  <si>
    <t>Classified Staff</t>
  </si>
  <si>
    <t>Base Salary</t>
  </si>
  <si>
    <t>Basic Education</t>
  </si>
  <si>
    <t>Deputy/Assist. Supt.</t>
  </si>
  <si>
    <t>Other District Admin.</t>
  </si>
  <si>
    <t>Other School Admin.</t>
  </si>
  <si>
    <t>Secondary Teacher</t>
  </si>
  <si>
    <t>Other Teacher</t>
  </si>
  <si>
    <t>Other Support Personnel</t>
  </si>
  <si>
    <t>Extracurricular</t>
  </si>
  <si>
    <t>Substitute Teacher</t>
  </si>
  <si>
    <t>Elementary Principal</t>
  </si>
  <si>
    <t>Secondary Principal</t>
  </si>
  <si>
    <t>Counselor</t>
  </si>
  <si>
    <t>Occupational Therapist</t>
  </si>
  <si>
    <t>Social Worker</t>
  </si>
  <si>
    <t>Psychologist</t>
  </si>
  <si>
    <t>Nurse</t>
  </si>
  <si>
    <t>Physical Therapist</t>
  </si>
  <si>
    <t>Library Media Specialist</t>
  </si>
  <si>
    <t>Secondary Vice Principal</t>
  </si>
  <si>
    <t>Elem. Vice Principal</t>
  </si>
  <si>
    <t>Traffic Safety</t>
  </si>
  <si>
    <t>Summer School</t>
  </si>
  <si>
    <t>Highly Capable</t>
  </si>
  <si>
    <t>Public Radio/Television</t>
  </si>
  <si>
    <t>Community Schools</t>
  </si>
  <si>
    <t>Superintendent</t>
  </si>
  <si>
    <t>Pupil Transportation</t>
  </si>
  <si>
    <t>CP</t>
  </si>
  <si>
    <t>Capital Projects Funds</t>
  </si>
  <si>
    <t>SB</t>
  </si>
  <si>
    <t>xx</t>
  </si>
  <si>
    <t>State Summary</t>
  </si>
  <si>
    <t>Cert Admin Staff By Program</t>
  </si>
  <si>
    <t>Table5c</t>
  </si>
  <si>
    <t>Cert Instruct Staff By Program</t>
  </si>
  <si>
    <t>Table5d</t>
  </si>
  <si>
    <t>Subtotal</t>
  </si>
  <si>
    <t>Add:  Duties 510-520</t>
  </si>
  <si>
    <t>Table5a</t>
  </si>
  <si>
    <t>Add:  Duty 610</t>
  </si>
  <si>
    <t>All Cert Staff Total</t>
  </si>
  <si>
    <t>Table 5a &amp; 5b</t>
  </si>
  <si>
    <t>Districtwide Support</t>
  </si>
  <si>
    <t>Table 2 Totals</t>
  </si>
  <si>
    <t>Table 11</t>
  </si>
  <si>
    <t>WS Total</t>
  </si>
  <si>
    <t>Table 3ws1 totals</t>
  </si>
  <si>
    <t>State summary</t>
  </si>
  <si>
    <t>Check:</t>
  </si>
  <si>
    <t>Col E + Col F</t>
  </si>
  <si>
    <t>Worksheet for Table 5:  Other State and Federal Programs</t>
  </si>
  <si>
    <t>Table 9 total</t>
  </si>
  <si>
    <t>Table 10 total</t>
  </si>
  <si>
    <t>Agrees w/ Tbl 11</t>
  </si>
  <si>
    <t>table19</t>
  </si>
  <si>
    <t>(From WaE&amp;RF Table A4.1)</t>
  </si>
  <si>
    <t>(Form 1191E)</t>
  </si>
  <si>
    <t>Avg. supplemental</t>
  </si>
  <si>
    <t>Contractor Teacher</t>
  </si>
  <si>
    <t>Contractor ESA</t>
  </si>
  <si>
    <t>Duty Assignment</t>
  </si>
  <si>
    <t>Individuals</t>
  </si>
  <si>
    <t>Table 10</t>
  </si>
  <si>
    <t>Table 9</t>
  </si>
  <si>
    <t>Base Sal</t>
  </si>
  <si>
    <t>Calendar Year</t>
  </si>
  <si>
    <t>Avg. LEAP 1S mix</t>
  </si>
  <si>
    <t>Kindergarten Through Fourth Grade</t>
  </si>
  <si>
    <t>-</t>
  </si>
  <si>
    <t>--[Duty Roots 31-49,63,&amp;64]--</t>
  </si>
  <si>
    <t>--[Duty Roots 11-64]--</t>
  </si>
  <si>
    <t>--[Duty Roots 11-25]--</t>
  </si>
  <si>
    <t>--[Col B + Col C + Col D]--</t>
  </si>
  <si>
    <t>Avg Salary</t>
  </si>
  <si>
    <t>&lt;-- teachers only</t>
  </si>
  <si>
    <t>&lt;-- ESAs only</t>
  </si>
  <si>
    <t>&lt;-- 63 &amp; 64</t>
  </si>
  <si>
    <t>&lt;-- 51 &amp; 52</t>
  </si>
  <si>
    <t>&lt;-- Included in Table 2 State total column only</t>
  </si>
  <si>
    <t>-----------------------------------Table 7-----------------------------------</t>
  </si>
  <si>
    <t>1959–60</t>
  </si>
  <si>
    <t>1960–61</t>
  </si>
  <si>
    <t>1961–62</t>
  </si>
  <si>
    <t>1962–63</t>
  </si>
  <si>
    <t>1963–64</t>
  </si>
  <si>
    <t>1964–65</t>
  </si>
  <si>
    <t>1965–66</t>
  </si>
  <si>
    <t>1966–67</t>
  </si>
  <si>
    <t>1967–68</t>
  </si>
  <si>
    <t>1968–69</t>
  </si>
  <si>
    <t>1969–70</t>
  </si>
  <si>
    <t>1970–71</t>
  </si>
  <si>
    <t>1971–72</t>
  </si>
  <si>
    <t>1972–73</t>
  </si>
  <si>
    <t>1973–74</t>
  </si>
  <si>
    <t>1974–75</t>
  </si>
  <si>
    <t>1975–76</t>
  </si>
  <si>
    <t>1976–77</t>
  </si>
  <si>
    <t>1977–78</t>
  </si>
  <si>
    <t>1978–79</t>
  </si>
  <si>
    <t>1979–80</t>
  </si>
  <si>
    <t>1980–81</t>
  </si>
  <si>
    <t>1981–82</t>
  </si>
  <si>
    <t>1982–83</t>
  </si>
  <si>
    <t>1983–84</t>
  </si>
  <si>
    <t>1984–85</t>
  </si>
  <si>
    <t>1985–86</t>
  </si>
  <si>
    <t>1986–87</t>
  </si>
  <si>
    <t>1987–88</t>
  </si>
  <si>
    <t>1988–89</t>
  </si>
  <si>
    <t>1989–90</t>
  </si>
  <si>
    <t>1990–91</t>
  </si>
  <si>
    <t>1991–92</t>
  </si>
  <si>
    <t>1992–93</t>
  </si>
  <si>
    <t>1993–94</t>
  </si>
  <si>
    <t>1994–95</t>
  </si>
  <si>
    <t>1995–96</t>
  </si>
  <si>
    <t>1996–97</t>
  </si>
  <si>
    <t>1997–98</t>
  </si>
  <si>
    <t>1998–99</t>
  </si>
  <si>
    <t>1999–2000</t>
  </si>
  <si>
    <t>U.S. CPI-U Calendar Year Basis (1982–84 = 100):</t>
  </si>
  <si>
    <t>* Beginning in 1995–96, total includes staff reported with duty code 630.</t>
  </si>
  <si>
    <t>** Beginning in 1995–96, total includes staff reported with duty code 640.</t>
  </si>
  <si>
    <t>Spch.-Lang. Path./Audio.</t>
  </si>
  <si>
    <t>Certificated on Leave</t>
  </si>
  <si>
    <t>Classified on Leave</t>
  </si>
  <si>
    <t>--[Duty Roots 90-99]--</t>
  </si>
  <si>
    <t>2000–01</t>
  </si>
  <si>
    <t>Table 38</t>
  </si>
  <si>
    <t>Miscellaneous Duties 51–52</t>
  </si>
  <si>
    <t>2001–02</t>
  </si>
  <si>
    <t xml:space="preserve">   1996–97 from "Economic and Revenue Forecast," November 2001 rev.</t>
  </si>
  <si>
    <t>&lt;&lt;--See Economic &amp; Revenue Forecast Publications in the Washington State Office of the Forecast Council website @ www.wa.gov/ofc/</t>
  </si>
  <si>
    <t>2002–03</t>
  </si>
  <si>
    <t>Special Ed.—Supp.—State</t>
  </si>
  <si>
    <t>Special Ed.—Supp.—Fed.</t>
  </si>
  <si>
    <t>Special Ed.—Inst.—State</t>
  </si>
  <si>
    <t>Special Ed.—Other—Fed.</t>
  </si>
  <si>
    <t>Vocational—Basic—State</t>
  </si>
  <si>
    <t>Vocational—Federal</t>
  </si>
  <si>
    <t>Vocational—Other Categ.</t>
  </si>
  <si>
    <t>Disadvantaged—Federal</t>
  </si>
  <si>
    <t>School Improvement—Fed.</t>
  </si>
  <si>
    <t>Migrant—Federal</t>
  </si>
  <si>
    <t>Learning Asst. Prog.—St.</t>
  </si>
  <si>
    <t>St. Inst., Centers/Homes</t>
  </si>
  <si>
    <t>Inst.—Neglected/Delinq.</t>
  </si>
  <si>
    <t>Special/Pilot Prog.—St.</t>
  </si>
  <si>
    <t>Head Start—Federal</t>
  </si>
  <si>
    <t>Transit. Bilingual—St.</t>
  </si>
  <si>
    <t>Indian Ed.—Fed.—JOM</t>
  </si>
  <si>
    <t>Indian Ed.—Fed.—ED</t>
  </si>
  <si>
    <t>Compensatory—Other</t>
  </si>
  <si>
    <t>Targeted Assist.—Fed.</t>
  </si>
  <si>
    <t>Youth Train. Prog.—Fed.</t>
  </si>
  <si>
    <t>Instruc. Progs.—Other</t>
  </si>
  <si>
    <t>Other Community Services</t>
  </si>
  <si>
    <t>Associated Student Body</t>
  </si>
  <si>
    <t>Disadvantaged, Federal (51)</t>
  </si>
  <si>
    <t>Transitional Bilingual, State (65)</t>
  </si>
  <si>
    <t>Food Services (98)</t>
  </si>
  <si>
    <t>Admin</t>
  </si>
  <si>
    <t xml:space="preserve">   1998–99 from "Economic and Revenue Forecast," November 2002 rev.</t>
  </si>
  <si>
    <t>Per capita income is influenced by the</t>
  </si>
  <si>
    <t>Contracted Agency Staff Duties 63–64</t>
  </si>
  <si>
    <t>2003–04</t>
  </si>
  <si>
    <t>Avg. LEAP 1Sa mix</t>
  </si>
  <si>
    <t>subtotal CIS+</t>
  </si>
  <si>
    <t>increase in two-income families.</t>
  </si>
  <si>
    <t>2004–05</t>
  </si>
  <si>
    <t>2005–06</t>
  </si>
  <si>
    <t xml:space="preserve">   2000–01 from "Economic and Revenue Forecast," September 2005 rev.</t>
  </si>
  <si>
    <t>School Food Services</t>
  </si>
  <si>
    <t>2006–07</t>
  </si>
  <si>
    <t>Average</t>
  </si>
  <si>
    <t>Base</t>
  </si>
  <si>
    <t>Insur.</t>
  </si>
  <si>
    <t>Days in</t>
  </si>
  <si>
    <t>Salary</t>
  </si>
  <si>
    <t>Ben.</t>
  </si>
  <si>
    <t xml:space="preserve">   2002 from "Economic and Revenue Forecast," November 2006 rev.</t>
  </si>
  <si>
    <t xml:space="preserve">   2003 from "Economic and Revenue Forecast," September 2007 rev.</t>
  </si>
  <si>
    <t>2007–08</t>
  </si>
  <si>
    <t>Middle School CTE—State</t>
  </si>
  <si>
    <t>Math and Science—Fed.</t>
  </si>
  <si>
    <t>Report T-165A***</t>
  </si>
  <si>
    <t>Basic Education Programs****</t>
  </si>
  <si>
    <t>* Beginning in 2007–08, an accounting methodology was changed which resulted in fewer special education certificated instructional staff being partially reported in basic education.</t>
  </si>
  <si>
    <t>2008–09</t>
  </si>
  <si>
    <t xml:space="preserve">   2004–05 from "Economic and Revenue Forecast," November 2008 rev.</t>
  </si>
  <si>
    <t>2009–10</t>
  </si>
  <si>
    <t>(From WaE&amp;RF Table A1.4)</t>
  </si>
  <si>
    <t xml:space="preserve">   2006–07 from "Economic and Revenue Forecast," November 2009 rev.</t>
  </si>
  <si>
    <t>2010–11</t>
  </si>
  <si>
    <t>02</t>
  </si>
  <si>
    <t>table 9, prog 02</t>
  </si>
  <si>
    <t>table 9, prog 34</t>
  </si>
  <si>
    <t>table 9, prog 45</t>
  </si>
  <si>
    <t>Institutions, State (26, 56, 59)</t>
  </si>
  <si>
    <t>Historical Comparison of Statewide School District Personnel</t>
  </si>
  <si>
    <t>Increase (Decrease)</t>
  </si>
  <si>
    <t xml:space="preserve">Salary % </t>
  </si>
  <si>
    <t>Certificated Instructional</t>
  </si>
  <si>
    <t>Certificated Administrative</t>
  </si>
  <si>
    <t>by Duty Assignment</t>
  </si>
  <si>
    <t>by Program Assignment</t>
  </si>
  <si>
    <t>Administration</t>
  </si>
  <si>
    <t>Average Base Salary</t>
  </si>
  <si>
    <t>per 1.0 FTE</t>
  </si>
  <si>
    <t>All</t>
  </si>
  <si>
    <t>Washington</t>
  </si>
  <si>
    <t>per Capita</t>
  </si>
  <si>
    <t>Income</t>
  </si>
  <si>
    <t>Average Base Salary as</t>
  </si>
  <si>
    <t>a % of Average Income</t>
  </si>
  <si>
    <t>Salary Notes:</t>
  </si>
  <si>
    <t>Sources:</t>
  </si>
  <si>
    <t>Abbreviations:</t>
  </si>
  <si>
    <t>Per Capita Income Note:</t>
  </si>
  <si>
    <t>11</t>
  </si>
  <si>
    <t>12</t>
  </si>
  <si>
    <t>13</t>
  </si>
  <si>
    <t>21</t>
  </si>
  <si>
    <t>22</t>
  </si>
  <si>
    <t>23</t>
  </si>
  <si>
    <t>24</t>
  </si>
  <si>
    <t>25</t>
  </si>
  <si>
    <t>31</t>
  </si>
  <si>
    <t>32</t>
  </si>
  <si>
    <t>33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</si>
  <si>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</si>
  <si>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</si>
  <si>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</si>
  <si>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</si>
  <si>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</si>
  <si>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</si>
  <si>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</si>
  <si>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</si>
  <si>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</si>
  <si>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</si>
  <si>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51</t>
  </si>
  <si>
    <t>52</t>
  </si>
  <si>
    <t>61</t>
  </si>
  <si>
    <t>63</t>
  </si>
  <si>
    <t>64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</si>
  <si>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</si>
  <si>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</si>
  <si>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</si>
  <si>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</si>
  <si>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</si>
  <si>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</si>
  <si>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</si>
  <si>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</si>
  <si>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</si>
  <si>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</si>
  <si>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Avg Add'l</t>
  </si>
  <si>
    <t>Mand.</t>
  </si>
  <si>
    <t>per Indiv.</t>
  </si>
  <si>
    <t>Avg. base salary per 1.0 FTE</t>
  </si>
  <si>
    <t xml:space="preserve">   </t>
  </si>
  <si>
    <t>2011–12</t>
  </si>
  <si>
    <t>2012–13</t>
  </si>
  <si>
    <t>US-CPI</t>
  </si>
  <si>
    <t>A</t>
  </si>
  <si>
    <t>Y</t>
  </si>
  <si>
    <t>A,Y</t>
  </si>
  <si>
    <t>Z,Y,X</t>
  </si>
  <si>
    <t>A,Y,X</t>
  </si>
  <si>
    <t>Y,X</t>
  </si>
  <si>
    <t>A,W</t>
  </si>
  <si>
    <t xml:space="preserve">   2008–09 from "Economic and Revenue Forecast," November 2011 rev.</t>
  </si>
  <si>
    <t xml:space="preserve">   2010–11 from "Economic and Revenue Forecast," June 2012 rev.</t>
  </si>
  <si>
    <t>2013–14</t>
  </si>
  <si>
    <t>Special Education, State (21, 22)</t>
  </si>
  <si>
    <t>Special Education, Federal (24, 25, 29)</t>
  </si>
  <si>
    <t>Spec Ed.—Inf.&amp;Tod.—State</t>
  </si>
  <si>
    <t xml:space="preserve">   ****Beginning in 1999–2000, enhanced staffing for kindergarten through third grade was expanded to also include fourth grade.  Beginning in 2011–12, </t>
  </si>
  <si>
    <t xml:space="preserve">     kindergarten through third/fourth grade staffing was no longer tracked.</t>
  </si>
  <si>
    <t xml:space="preserve">   ***Source: SPI Form 1159.  This measurement is made pursuant to chapter 392-140 WAC.  Enrollment periods used in the calculation of these ratios </t>
  </si>
  <si>
    <t xml:space="preserve">     may be selected by school districts and may differ among school districts.  Additional staff not reported on Form S-275 may be included.  Excluded </t>
  </si>
  <si>
    <t xml:space="preserve">     instructional assistants beginning 2009–10.</t>
  </si>
  <si>
    <t>ALE</t>
  </si>
  <si>
    <t>CPI-U = Consumer Price Index - Urban U.S.</t>
  </si>
  <si>
    <t>2014–15</t>
  </si>
  <si>
    <t xml:space="preserve">   2012–13 from "Economic and Revenue Forecast," November 2013 rev.</t>
  </si>
  <si>
    <t>03</t>
  </si>
  <si>
    <t>Basic Education (01, 02, 03, 31, 34, 45, 97)</t>
  </si>
  <si>
    <t>Basic Ed.—Dropout Reeng.</t>
  </si>
  <si>
    <t>table 9, prog 03</t>
  </si>
  <si>
    <t>Total Classified</t>
  </si>
  <si>
    <t>Per</t>
  </si>
  <si>
    <t>Capita</t>
  </si>
  <si>
    <t>Table 1: Average Base Salaries per 1.0 FTE and per Capita Income</t>
  </si>
  <si>
    <t>Table 2: Full-Time Equivalents and Average Base Salaries per 1.0 FTE</t>
  </si>
  <si>
    <t>2015–16</t>
  </si>
  <si>
    <t>Elem. Homeroom Teacher</t>
  </si>
  <si>
    <t>34</t>
  </si>
  <si>
    <t>Elem. Specialist Teacher</t>
  </si>
  <si>
    <t>2016–17</t>
  </si>
  <si>
    <t xml:space="preserve">   2014–15 from "Economic and Revenue Forecast," November 2015 rev.</t>
  </si>
  <si>
    <t>2017–18</t>
  </si>
  <si>
    <t xml:space="preserve">   2016–17 from "Economic and Revenue Forecast," November 2017 rev.</t>
  </si>
  <si>
    <t>All Programs</t>
  </si>
  <si>
    <t>All Certificated</t>
  </si>
  <si>
    <t>Administrative Certs</t>
  </si>
  <si>
    <t>All Classified</t>
  </si>
  <si>
    <t>Basic Education Programs*</t>
  </si>
  <si>
    <t>2018–19</t>
  </si>
  <si>
    <t>-----  Basic Education Programs* ** -----</t>
  </si>
  <si>
    <t>--------------  All Education Programs  --------------</t>
  </si>
  <si>
    <t>----- Certificated Staff -----</t>
  </si>
  <si>
    <t>----------- Certificated Staff -----------</t>
  </si>
  <si>
    <t xml:space="preserve">(Form </t>
  </si>
  <si>
    <t>P-223)**</t>
  </si>
  <si>
    <t>2019–20</t>
  </si>
  <si>
    <t>Behavior Analyst</t>
  </si>
  <si>
    <t>Table 7: All School Personnel by Duty</t>
  </si>
  <si>
    <t xml:space="preserve">     ~~~~~~~~~~ Average per 1.0 FTE ~~~~~~~~~~</t>
  </si>
  <si>
    <t>1.0 FTE</t>
  </si>
  <si>
    <t>2020–21</t>
  </si>
  <si>
    <t>N/A</t>
  </si>
  <si>
    <t>Avg. staff mix</t>
  </si>
  <si>
    <t xml:space="preserve">   2018–19 from "Economic and Revenue Forecast," November 2019 rev.</t>
  </si>
  <si>
    <t>Basic Ed.—Alt. Lrn. Exp.</t>
  </si>
  <si>
    <t>19</t>
  </si>
  <si>
    <t>26</t>
  </si>
  <si>
    <t>29</t>
  </si>
  <si>
    <t>38</t>
  </si>
  <si>
    <t>39</t>
  </si>
  <si>
    <t>Skill Center—Basic—St.</t>
  </si>
  <si>
    <t>53</t>
  </si>
  <si>
    <t>55</t>
  </si>
  <si>
    <t>56</t>
  </si>
  <si>
    <t>57</t>
  </si>
  <si>
    <t>58</t>
  </si>
  <si>
    <t>59</t>
  </si>
  <si>
    <t>Inst.—Juv in Adult Jails</t>
  </si>
  <si>
    <t>62</t>
  </si>
  <si>
    <t>Limited English Pro—Fed.</t>
  </si>
  <si>
    <t>65</t>
  </si>
  <si>
    <t>67</t>
  </si>
  <si>
    <t>68</t>
  </si>
  <si>
    <t>69</t>
  </si>
  <si>
    <t>71</t>
  </si>
  <si>
    <t>73</t>
  </si>
  <si>
    <t>74</t>
  </si>
  <si>
    <t>76</t>
  </si>
  <si>
    <t>78</t>
  </si>
  <si>
    <t>79</t>
  </si>
  <si>
    <t>81</t>
  </si>
  <si>
    <t>86</t>
  </si>
  <si>
    <t>88</t>
  </si>
  <si>
    <t>Child Care</t>
  </si>
  <si>
    <t>89</t>
  </si>
  <si>
    <t>A. Includes contractor staff.</t>
  </si>
  <si>
    <t xml:space="preserve">*Beginning in 2007–08, an accounting methodology was changed which resulted in fewer special education certificated instructional </t>
  </si>
  <si>
    <t xml:space="preserve">  staff being  partially reported in basic education.</t>
  </si>
  <si>
    <t xml:space="preserve">**Beginning in 1986–87, enrollment figures include P-240 enrollment and exclude special education program student FTEs. For 1988–89 </t>
  </si>
  <si>
    <t xml:space="preserve">   program FTE for UW and direct-funded technical colleges. Enrollment figures for the same period are the enrollments used for </t>
  </si>
  <si>
    <t xml:space="preserve">   apportionment purposes. Only staff assigned to basic education are used in the computation of the ratios. Staff counts used in the </t>
  </si>
  <si>
    <t xml:space="preserve">   ratios for 1978–86 include the basic education portion of special education program staff time. Beginning in 2007–08, enrollment </t>
  </si>
  <si>
    <t xml:space="preserve">   included state-funded full-day kindergarten.</t>
  </si>
  <si>
    <t xml:space="preserve">   Also beginning in 1993–94, enrollment figures exclude Running Start program FTE. Beginning in 1995–96, enrollment figures exclude </t>
  </si>
  <si>
    <t xml:space="preserve">are average base salaries per 1.0 FTE. </t>
  </si>
  <si>
    <t xml:space="preserve">with both administrative and instructional assignments, reassigned staff, salary schedule step increases, and general salary increases. All salaries </t>
  </si>
  <si>
    <t xml:space="preserve"> Table 4: Kindergarten through Twelfth Grade Staff per 1,000 Enrolled Students</t>
  </si>
  <si>
    <t>Kindergarten through Twelfth Grade</t>
  </si>
  <si>
    <t>Table 3: Key Data for All Programs and for Basic Education Programs</t>
  </si>
  <si>
    <t>Fed Spec P.—ESSER II</t>
  </si>
  <si>
    <t>14</t>
  </si>
  <si>
    <t>Fed Spec P.—ESSER III—Lr</t>
  </si>
  <si>
    <t xml:space="preserve">   through 1992–93, enrollment figures further exclude learning center program FTE. Beginning in 1993–94, former learning center </t>
  </si>
  <si>
    <t xml:space="preserve">   enrollment and staff FTE were no longer reported in program 56 and so no longer required adjustment for calculation of these ratios. </t>
  </si>
  <si>
    <t>2021–22</t>
  </si>
  <si>
    <t>Orientat'n. &amp; Mobl. Spec</t>
  </si>
  <si>
    <t xml:space="preserve">   2020 from "Economic and Revenue Forecast," September 2021 rev.</t>
  </si>
  <si>
    <t>Fed Spec P.—ESSER III</t>
  </si>
  <si>
    <t>Special Ed—ARP—IDEA—Fed.</t>
  </si>
  <si>
    <t xml:space="preserve">   2021 from "Economic and Revenue Forecast," November 2021 rev.</t>
  </si>
  <si>
    <t>Fed Spec P.—SLFRF</t>
  </si>
  <si>
    <t>Fed Spec P.—CARES Act—Ot</t>
  </si>
  <si>
    <t>2022–23</t>
  </si>
  <si>
    <t>2023–24</t>
  </si>
  <si>
    <t>Spec Ed.—Inf.&amp;Tod.—Fed.</t>
  </si>
  <si>
    <t>09</t>
  </si>
  <si>
    <t>Transition to Kindergrtn</t>
  </si>
  <si>
    <t># of Months to Average</t>
  </si>
  <si>
    <t>1251 #s:</t>
  </si>
  <si>
    <t>CCDDD</t>
  </si>
  <si>
    <t>District Name</t>
  </si>
  <si>
    <t>K-12</t>
  </si>
  <si>
    <t>TK</t>
  </si>
  <si>
    <t>OD</t>
  </si>
  <si>
    <t>Total K-12</t>
  </si>
  <si>
    <t>00000</t>
  </si>
  <si>
    <t>State Total</t>
  </si>
  <si>
    <t>14005</t>
  </si>
  <si>
    <t>Aberdeen</t>
  </si>
  <si>
    <t>21226</t>
  </si>
  <si>
    <t>Adna</t>
  </si>
  <si>
    <t>22017</t>
  </si>
  <si>
    <t>Almira</t>
  </si>
  <si>
    <t>29103</t>
  </si>
  <si>
    <t>Anacortes</t>
  </si>
  <si>
    <t>31016</t>
  </si>
  <si>
    <t>Arlington</t>
  </si>
  <si>
    <t>02420</t>
  </si>
  <si>
    <t>Asotin-Anatone</t>
  </si>
  <si>
    <t>17408</t>
  </si>
  <si>
    <t>Auburn</t>
  </si>
  <si>
    <t>18303</t>
  </si>
  <si>
    <t>Bainbridge</t>
  </si>
  <si>
    <t>06119</t>
  </si>
  <si>
    <t>Battle Ground</t>
  </si>
  <si>
    <t>17405</t>
  </si>
  <si>
    <t>Bellevue</t>
  </si>
  <si>
    <t>37501</t>
  </si>
  <si>
    <t>Bellingham</t>
  </si>
  <si>
    <t>01122</t>
  </si>
  <si>
    <t>Benge</t>
  </si>
  <si>
    <t>27403</t>
  </si>
  <si>
    <t>Bethel</t>
  </si>
  <si>
    <t>20203</t>
  </si>
  <si>
    <t>Bickleton</t>
  </si>
  <si>
    <t>37503</t>
  </si>
  <si>
    <t>Blaine</t>
  </si>
  <si>
    <t>21234</t>
  </si>
  <si>
    <t>Boistfort</t>
  </si>
  <si>
    <t>18100</t>
  </si>
  <si>
    <t>Bremerton</t>
  </si>
  <si>
    <t>24111</t>
  </si>
  <si>
    <t>Brewster</t>
  </si>
  <si>
    <t>09075</t>
  </si>
  <si>
    <t>Bridgeport</t>
  </si>
  <si>
    <t>16046</t>
  </si>
  <si>
    <t>Brinnon</t>
  </si>
  <si>
    <t>29100</t>
  </si>
  <si>
    <t>Burlington Edison</t>
  </si>
  <si>
    <t>06117</t>
  </si>
  <si>
    <t>Camas</t>
  </si>
  <si>
    <t>05401</t>
  </si>
  <si>
    <t>Cape Flattery</t>
  </si>
  <si>
    <t>27019</t>
  </si>
  <si>
    <t>Carbonado</t>
  </si>
  <si>
    <t>04228</t>
  </si>
  <si>
    <t>Cascade</t>
  </si>
  <si>
    <t>04222</t>
  </si>
  <si>
    <t>Cashmere</t>
  </si>
  <si>
    <t>08401</t>
  </si>
  <si>
    <t>Castle Rock</t>
  </si>
  <si>
    <t>18901</t>
  </si>
  <si>
    <t>Catalyst Charter</t>
  </si>
  <si>
    <t>20215</t>
  </si>
  <si>
    <t>Centerville</t>
  </si>
  <si>
    <t>18401</t>
  </si>
  <si>
    <t>Central Kitsap</t>
  </si>
  <si>
    <t>32356</t>
  </si>
  <si>
    <t>Central Valley</t>
  </si>
  <si>
    <t>21401</t>
  </si>
  <si>
    <t>Centralia</t>
  </si>
  <si>
    <t>21302</t>
  </si>
  <si>
    <t>Chehalis</t>
  </si>
  <si>
    <t>32360</t>
  </si>
  <si>
    <t>Cheney</t>
  </si>
  <si>
    <t>33036</t>
  </si>
  <si>
    <t>Chewelah</t>
  </si>
  <si>
    <t>27901</t>
  </si>
  <si>
    <t>Chief Leschi Tribal</t>
  </si>
  <si>
    <t>16049</t>
  </si>
  <si>
    <t>Chimacum</t>
  </si>
  <si>
    <t>02250</t>
  </si>
  <si>
    <t>Clarkston</t>
  </si>
  <si>
    <t>19404</t>
  </si>
  <si>
    <t>Cle Elum-Roslyn</t>
  </si>
  <si>
    <t>27400</t>
  </si>
  <si>
    <t>Clover Park</t>
  </si>
  <si>
    <t>38300</t>
  </si>
  <si>
    <t>Colfax</t>
  </si>
  <si>
    <t>36250</t>
  </si>
  <si>
    <t>College Place</t>
  </si>
  <si>
    <t>38306</t>
  </si>
  <si>
    <t>Colton</t>
  </si>
  <si>
    <t>33206</t>
  </si>
  <si>
    <t>Columbia (Stev)</t>
  </si>
  <si>
    <t>36400</t>
  </si>
  <si>
    <t>Columbia (Walla)</t>
  </si>
  <si>
    <t>33115</t>
  </si>
  <si>
    <t>Colville</t>
  </si>
  <si>
    <t>29011</t>
  </si>
  <si>
    <t>Concrete</t>
  </si>
  <si>
    <t>29317</t>
  </si>
  <si>
    <t>Conway</t>
  </si>
  <si>
    <t>14099</t>
  </si>
  <si>
    <t>Cosmopolis</t>
  </si>
  <si>
    <t>13151</t>
  </si>
  <si>
    <t>Coulee/Hartline</t>
  </si>
  <si>
    <t>15204</t>
  </si>
  <si>
    <t>Coupeville</t>
  </si>
  <si>
    <t>05313</t>
  </si>
  <si>
    <t>Crescent</t>
  </si>
  <si>
    <t>22073</t>
  </si>
  <si>
    <t>Creston</t>
  </si>
  <si>
    <t>10050</t>
  </si>
  <si>
    <t>Curlew</t>
  </si>
  <si>
    <t>26059</t>
  </si>
  <si>
    <t>Cusick</t>
  </si>
  <si>
    <t>19007</t>
  </si>
  <si>
    <t>Damman</t>
  </si>
  <si>
    <t>31330</t>
  </si>
  <si>
    <t>Darrington</t>
  </si>
  <si>
    <t>22207</t>
  </si>
  <si>
    <t>Davenport</t>
  </si>
  <si>
    <t>07002</t>
  </si>
  <si>
    <t>Dayton</t>
  </si>
  <si>
    <t>32414</t>
  </si>
  <si>
    <t>Deer Park</t>
  </si>
  <si>
    <t>27343</t>
  </si>
  <si>
    <t>Dieringer</t>
  </si>
  <si>
    <t>36101</t>
  </si>
  <si>
    <t>Dixie</t>
  </si>
  <si>
    <t>32361</t>
  </si>
  <si>
    <t>East Valley (Spok</t>
  </si>
  <si>
    <t>39090</t>
  </si>
  <si>
    <t>East Valley (Yak)</t>
  </si>
  <si>
    <t>09206</t>
  </si>
  <si>
    <t>Eastmont</t>
  </si>
  <si>
    <t>19028</t>
  </si>
  <si>
    <t>Easton</t>
  </si>
  <si>
    <t>27404</t>
  </si>
  <si>
    <t>Eatonville</t>
  </si>
  <si>
    <t>31015</t>
  </si>
  <si>
    <t>Edmonds</t>
  </si>
  <si>
    <t>19401</t>
  </si>
  <si>
    <t>Ellensburg</t>
  </si>
  <si>
    <t>14068</t>
  </si>
  <si>
    <t>Elma</t>
  </si>
  <si>
    <t>38308</t>
  </si>
  <si>
    <t>Endicott</t>
  </si>
  <si>
    <t>04127</t>
  </si>
  <si>
    <t>Entiat</t>
  </si>
  <si>
    <t>17216</t>
  </si>
  <si>
    <t>Enumclaw</t>
  </si>
  <si>
    <t>13165</t>
  </si>
  <si>
    <t>Ephrata</t>
  </si>
  <si>
    <t>21036</t>
  </si>
  <si>
    <t>Evaline</t>
  </si>
  <si>
    <t>31002</t>
  </si>
  <si>
    <t>Everett</t>
  </si>
  <si>
    <t>06114</t>
  </si>
  <si>
    <t>Evergreen (Clark)</t>
  </si>
  <si>
    <t>33205</t>
  </si>
  <si>
    <t>Evergreen (Stev)</t>
  </si>
  <si>
    <t>17210</t>
  </si>
  <si>
    <t>Federal Way</t>
  </si>
  <si>
    <t>37502</t>
  </si>
  <si>
    <t>Ferndale</t>
  </si>
  <si>
    <t>27417</t>
  </si>
  <si>
    <t>Fife</t>
  </si>
  <si>
    <t>03053</t>
  </si>
  <si>
    <t>Finley</t>
  </si>
  <si>
    <t>27402</t>
  </si>
  <si>
    <t>Franklin Pierce</t>
  </si>
  <si>
    <t>32358</t>
  </si>
  <si>
    <t>Freeman</t>
  </si>
  <si>
    <t>38302</t>
  </si>
  <si>
    <t>Garfield</t>
  </si>
  <si>
    <t>20401</t>
  </si>
  <si>
    <t>Glenwood</t>
  </si>
  <si>
    <t>20404</t>
  </si>
  <si>
    <t>Goldendale</t>
  </si>
  <si>
    <t>13301</t>
  </si>
  <si>
    <t>Grand Coulee Dam</t>
  </si>
  <si>
    <t>39200</t>
  </si>
  <si>
    <t>Grandview</t>
  </si>
  <si>
    <t>39204</t>
  </si>
  <si>
    <t>Granger</t>
  </si>
  <si>
    <t>31332</t>
  </si>
  <si>
    <t>Granite Falls</t>
  </si>
  <si>
    <t>23054</t>
  </si>
  <si>
    <t>Grapeview</t>
  </si>
  <si>
    <t>32312</t>
  </si>
  <si>
    <t>Great Northern</t>
  </si>
  <si>
    <t>06103</t>
  </si>
  <si>
    <t>Green Mountain</t>
  </si>
  <si>
    <t>34324</t>
  </si>
  <si>
    <t>Griffin</t>
  </si>
  <si>
    <t>22204</t>
  </si>
  <si>
    <t>Harrington</t>
  </si>
  <si>
    <t>39203</t>
  </si>
  <si>
    <t>Highland</t>
  </si>
  <si>
    <t>17401</t>
  </si>
  <si>
    <t>Highline</t>
  </si>
  <si>
    <t>06098</t>
  </si>
  <si>
    <t>Hockinson</t>
  </si>
  <si>
    <t>23404</t>
  </si>
  <si>
    <t>Hood Canal</t>
  </si>
  <si>
    <t>14028</t>
  </si>
  <si>
    <t>Hoquiam</t>
  </si>
  <si>
    <t>17919</t>
  </si>
  <si>
    <t>Impact Black River Charter</t>
  </si>
  <si>
    <t>27902</t>
  </si>
  <si>
    <t>Impact Com Bay Charter</t>
  </si>
  <si>
    <t>17911</t>
  </si>
  <si>
    <t>Impact Puget Sound Charter</t>
  </si>
  <si>
    <t>17916</t>
  </si>
  <si>
    <t>Impact Salish Sea Charter</t>
  </si>
  <si>
    <t>10070</t>
  </si>
  <si>
    <t>Inchelium</t>
  </si>
  <si>
    <t>31063</t>
  </si>
  <si>
    <t>Index</t>
  </si>
  <si>
    <t>17411</t>
  </si>
  <si>
    <t>Issaquah</t>
  </si>
  <si>
    <t>11056</t>
  </si>
  <si>
    <t>Kahlotus</t>
  </si>
  <si>
    <t>08402</t>
  </si>
  <si>
    <t>Kalama</t>
  </si>
  <si>
    <t>10003</t>
  </si>
  <si>
    <t>Keller</t>
  </si>
  <si>
    <t>08458</t>
  </si>
  <si>
    <t>Kelso</t>
  </si>
  <si>
    <t>03017</t>
  </si>
  <si>
    <t>Kennewick</t>
  </si>
  <si>
    <t>17415</t>
  </si>
  <si>
    <t>Kent</t>
  </si>
  <si>
    <t>33212</t>
  </si>
  <si>
    <t>Kettle Falls</t>
  </si>
  <si>
    <t>03052</t>
  </si>
  <si>
    <t>Kiona Benton</t>
  </si>
  <si>
    <t>19403</t>
  </si>
  <si>
    <t>Kittitas</t>
  </si>
  <si>
    <t>20402</t>
  </si>
  <si>
    <t>Klickitat</t>
  </si>
  <si>
    <t>29311</t>
  </si>
  <si>
    <t>La Conner</t>
  </si>
  <si>
    <t>06101</t>
  </si>
  <si>
    <t>Lacenter</t>
  </si>
  <si>
    <t>38126</t>
  </si>
  <si>
    <t>Lacrosse Joint</t>
  </si>
  <si>
    <t>04129</t>
  </si>
  <si>
    <t>Lake Chelan</t>
  </si>
  <si>
    <t>31004</t>
  </si>
  <si>
    <t>Lake Stevens</t>
  </si>
  <si>
    <t>17414</t>
  </si>
  <si>
    <t>Lake Washington</t>
  </si>
  <si>
    <t>31306</t>
  </si>
  <si>
    <t>Lakewood</t>
  </si>
  <si>
    <t>38264</t>
  </si>
  <si>
    <t>Lamont</t>
  </si>
  <si>
    <t>32362</t>
  </si>
  <si>
    <t>Liberty</t>
  </si>
  <si>
    <t>01158</t>
  </si>
  <si>
    <t>Lind</t>
  </si>
  <si>
    <t>08122</t>
  </si>
  <si>
    <t>Longview</t>
  </si>
  <si>
    <t>33183</t>
  </si>
  <si>
    <t>Loon Lake</t>
  </si>
  <si>
    <t>28144</t>
  </si>
  <si>
    <t>Lopez</t>
  </si>
  <si>
    <t>32903</t>
  </si>
  <si>
    <t>Lumen Charter</t>
  </si>
  <si>
    <t>37903</t>
  </si>
  <si>
    <t>Lummi Tribal</t>
  </si>
  <si>
    <t>20406</t>
  </si>
  <si>
    <t>Lyle</t>
  </si>
  <si>
    <t>37504</t>
  </si>
  <si>
    <t>Lynden</t>
  </si>
  <si>
    <t>39120</t>
  </si>
  <si>
    <t>Mabton</t>
  </si>
  <si>
    <t>09207</t>
  </si>
  <si>
    <t>Mansfield</t>
  </si>
  <si>
    <t>04019</t>
  </si>
  <si>
    <t>Manson</t>
  </si>
  <si>
    <t>23311</t>
  </si>
  <si>
    <t>Mary M Knight</t>
  </si>
  <si>
    <t>33207</t>
  </si>
  <si>
    <t>Mary Walker</t>
  </si>
  <si>
    <t>31025</t>
  </si>
  <si>
    <t>Marysville</t>
  </si>
  <si>
    <t>14065</t>
  </si>
  <si>
    <t>Mc Cleary</t>
  </si>
  <si>
    <t>32354</t>
  </si>
  <si>
    <t>Mead</t>
  </si>
  <si>
    <t>32326</t>
  </si>
  <si>
    <t>Medical Lake</t>
  </si>
  <si>
    <t>17400</t>
  </si>
  <si>
    <t>Mercer Island</t>
  </si>
  <si>
    <t>37505</t>
  </si>
  <si>
    <t>Meridian</t>
  </si>
  <si>
    <t>24350</t>
  </si>
  <si>
    <t>Methow Valley</t>
  </si>
  <si>
    <t>30031</t>
  </si>
  <si>
    <t>Mill A</t>
  </si>
  <si>
    <t>31103</t>
  </si>
  <si>
    <t>Monroe</t>
  </si>
  <si>
    <t>14066</t>
  </si>
  <si>
    <t>Montesano</t>
  </si>
  <si>
    <t>21214</t>
  </si>
  <si>
    <t>Morton</t>
  </si>
  <si>
    <t>13161</t>
  </si>
  <si>
    <t>Moses Lake</t>
  </si>
  <si>
    <t>21206</t>
  </si>
  <si>
    <t>Mossyrock</t>
  </si>
  <si>
    <t>39209</t>
  </si>
  <si>
    <t>Mount Adams</t>
  </si>
  <si>
    <t>37507</t>
  </si>
  <si>
    <t>Mount Baker</t>
  </si>
  <si>
    <t>30029</t>
  </si>
  <si>
    <t>Mount Pleasant</t>
  </si>
  <si>
    <t>29320</t>
  </si>
  <si>
    <t>Mt Vernon</t>
  </si>
  <si>
    <t>17903</t>
  </si>
  <si>
    <t>Muckleshoot Tribal</t>
  </si>
  <si>
    <t>31006</t>
  </si>
  <si>
    <t>Mukilteo</t>
  </si>
  <si>
    <t>39003</t>
  </si>
  <si>
    <t>Naches Valley</t>
  </si>
  <si>
    <t>21014</t>
  </si>
  <si>
    <t>Napavine</t>
  </si>
  <si>
    <t>25155</t>
  </si>
  <si>
    <t>Naselle Grays Riv</t>
  </si>
  <si>
    <t>24014</t>
  </si>
  <si>
    <t>Nespelem</t>
  </si>
  <si>
    <t>26056</t>
  </si>
  <si>
    <t>Newport</t>
  </si>
  <si>
    <t>32325</t>
  </si>
  <si>
    <t>Nine Mile Falls</t>
  </si>
  <si>
    <t>37506</t>
  </si>
  <si>
    <t>Nooksack Valley</t>
  </si>
  <si>
    <t>14064</t>
  </si>
  <si>
    <t>North Beach</t>
  </si>
  <si>
    <t>11051</t>
  </si>
  <si>
    <t>North Franklin</t>
  </si>
  <si>
    <t>18400</t>
  </si>
  <si>
    <t>North Kitsap</t>
  </si>
  <si>
    <t>23403</t>
  </si>
  <si>
    <t>North Mason</t>
  </si>
  <si>
    <t>25200</t>
  </si>
  <si>
    <t>North River</t>
  </si>
  <si>
    <t>34003</t>
  </si>
  <si>
    <t>North Thurston</t>
  </si>
  <si>
    <t>33211</t>
  </si>
  <si>
    <t>Northport</t>
  </si>
  <si>
    <t>17417</t>
  </si>
  <si>
    <t>Northshore</t>
  </si>
  <si>
    <t>15201</t>
  </si>
  <si>
    <t>Oak Harbor</t>
  </si>
  <si>
    <t>38324</t>
  </si>
  <si>
    <t>Oakesdale</t>
  </si>
  <si>
    <t>14400</t>
  </si>
  <si>
    <t>Oakville</t>
  </si>
  <si>
    <t>25101</t>
  </si>
  <si>
    <t>Ocean Beach</t>
  </si>
  <si>
    <t>14172</t>
  </si>
  <si>
    <t>Ocosta</t>
  </si>
  <si>
    <t>22105</t>
  </si>
  <si>
    <t>Odessa</t>
  </si>
  <si>
    <t>24105</t>
  </si>
  <si>
    <t>Okanogan</t>
  </si>
  <si>
    <t>34111</t>
  </si>
  <si>
    <t>Olympia</t>
  </si>
  <si>
    <t>24019</t>
  </si>
  <si>
    <t>Omak</t>
  </si>
  <si>
    <t>21300</t>
  </si>
  <si>
    <t>Onalaska</t>
  </si>
  <si>
    <t>33030</t>
  </si>
  <si>
    <t>Onion Creek</t>
  </si>
  <si>
    <t>28137</t>
  </si>
  <si>
    <t>Orcas</t>
  </si>
  <si>
    <t>32123</t>
  </si>
  <si>
    <t>Orchard Prairie</t>
  </si>
  <si>
    <t>10065</t>
  </si>
  <si>
    <t>Orient</t>
  </si>
  <si>
    <t>09013</t>
  </si>
  <si>
    <t>Orondo</t>
  </si>
  <si>
    <t>24410</t>
  </si>
  <si>
    <t>Oroville</t>
  </si>
  <si>
    <t>27344</t>
  </si>
  <si>
    <t>Orting</t>
  </si>
  <si>
    <t>01147</t>
  </si>
  <si>
    <t>Othello</t>
  </si>
  <si>
    <t>09102</t>
  </si>
  <si>
    <t>Palisades</t>
  </si>
  <si>
    <t>38301</t>
  </si>
  <si>
    <t>Palouse</t>
  </si>
  <si>
    <t>24915</t>
  </si>
  <si>
    <t>Paschal Sherman Tribal</t>
  </si>
  <si>
    <t>11001</t>
  </si>
  <si>
    <t>Pasco</t>
  </si>
  <si>
    <t>24122</t>
  </si>
  <si>
    <t>Pateros</t>
  </si>
  <si>
    <t>03050</t>
  </si>
  <si>
    <t>Paterson</t>
  </si>
  <si>
    <t>21301</t>
  </si>
  <si>
    <t>Pe Ell</t>
  </si>
  <si>
    <t>27401</t>
  </si>
  <si>
    <t>Peninsula</t>
  </si>
  <si>
    <t>04901</t>
  </si>
  <si>
    <t>Pinnacle Prep Charter</t>
  </si>
  <si>
    <t>23402</t>
  </si>
  <si>
    <t>Pioneer</t>
  </si>
  <si>
    <t>12110</t>
  </si>
  <si>
    <t>Pomeroy</t>
  </si>
  <si>
    <t>05121</t>
  </si>
  <si>
    <t>Port Angeles</t>
  </si>
  <si>
    <t>16050</t>
  </si>
  <si>
    <t>Port Townsend</t>
  </si>
  <si>
    <t>36402</t>
  </si>
  <si>
    <t>Prescott</t>
  </si>
  <si>
    <t>32907</t>
  </si>
  <si>
    <t>Pride Prep Charter</t>
  </si>
  <si>
    <t>03116</t>
  </si>
  <si>
    <t>Prosser</t>
  </si>
  <si>
    <t>38267</t>
  </si>
  <si>
    <t>Pullman</t>
  </si>
  <si>
    <t>27003</t>
  </si>
  <si>
    <t>Puyallup</t>
  </si>
  <si>
    <t>16020</t>
  </si>
  <si>
    <t>Queets-Clearwater</t>
  </si>
  <si>
    <t>16048</t>
  </si>
  <si>
    <t>Quilcene</t>
  </si>
  <si>
    <t>05903</t>
  </si>
  <si>
    <t>Quileute Tribal</t>
  </si>
  <si>
    <t>05402</t>
  </si>
  <si>
    <t>Quillayute Valley</t>
  </si>
  <si>
    <t>14097</t>
  </si>
  <si>
    <t>Quinault</t>
  </si>
  <si>
    <t>13144</t>
  </si>
  <si>
    <t>Quincy</t>
  </si>
  <si>
    <t>34307</t>
  </si>
  <si>
    <t>Rainier</t>
  </si>
  <si>
    <t>17908</t>
  </si>
  <si>
    <t>Rainier Prep Charter</t>
  </si>
  <si>
    <t>17910</t>
  </si>
  <si>
    <t>Rainier Valley Charter</t>
  </si>
  <si>
    <t>25116</t>
  </si>
  <si>
    <t>Raymond</t>
  </si>
  <si>
    <t>22009</t>
  </si>
  <si>
    <t>Reardan</t>
  </si>
  <si>
    <t>17403</t>
  </si>
  <si>
    <t>Renton</t>
  </si>
  <si>
    <t>10309</t>
  </si>
  <si>
    <t>Republic</t>
  </si>
  <si>
    <t>03400</t>
  </si>
  <si>
    <t>Richland</t>
  </si>
  <si>
    <t>06122</t>
  </si>
  <si>
    <t>Ridgefield</t>
  </si>
  <si>
    <t>01160</t>
  </si>
  <si>
    <t>Ritzville</t>
  </si>
  <si>
    <t>32416</t>
  </si>
  <si>
    <t>Riverside</t>
  </si>
  <si>
    <t>17407</t>
  </si>
  <si>
    <t>Riverview</t>
  </si>
  <si>
    <t>34401</t>
  </si>
  <si>
    <t>Rochester</t>
  </si>
  <si>
    <t>20403</t>
  </si>
  <si>
    <t>Roosevelt</t>
  </si>
  <si>
    <t>06901</t>
  </si>
  <si>
    <t>Rooted Schools Charter</t>
  </si>
  <si>
    <t>38320</t>
  </si>
  <si>
    <t>Rosalia</t>
  </si>
  <si>
    <t>13160</t>
  </si>
  <si>
    <t>Royal</t>
  </si>
  <si>
    <t>28149</t>
  </si>
  <si>
    <t>San Juan</t>
  </si>
  <si>
    <t>14104</t>
  </si>
  <si>
    <t>Satsop</t>
  </si>
  <si>
    <t>17001</t>
  </si>
  <si>
    <t>Seattle</t>
  </si>
  <si>
    <t>29101</t>
  </si>
  <si>
    <t>Sedro Woolley</t>
  </si>
  <si>
    <t>39119</t>
  </si>
  <si>
    <t>Selah</t>
  </si>
  <si>
    <t>26070</t>
  </si>
  <si>
    <t>Selkirk</t>
  </si>
  <si>
    <t>05323</t>
  </si>
  <si>
    <t>Sequim</t>
  </si>
  <si>
    <t>28010</t>
  </si>
  <si>
    <t>Shaw</t>
  </si>
  <si>
    <t>23309</t>
  </si>
  <si>
    <t>Shelton</t>
  </si>
  <si>
    <t>17412</t>
  </si>
  <si>
    <t>Shoreline</t>
  </si>
  <si>
    <t>30002</t>
  </si>
  <si>
    <t>Skamania</t>
  </si>
  <si>
    <t>17404</t>
  </si>
  <si>
    <t>Skykomish</t>
  </si>
  <si>
    <t>31201</t>
  </si>
  <si>
    <t>Snohomish</t>
  </si>
  <si>
    <t>17410</t>
  </si>
  <si>
    <t>Snoqualmie Valley</t>
  </si>
  <si>
    <t>13156</t>
  </si>
  <si>
    <t>Soap Lake</t>
  </si>
  <si>
    <t>25118</t>
  </si>
  <si>
    <t>South Bend</t>
  </si>
  <si>
    <t>18402</t>
  </si>
  <si>
    <t>South Kitsap</t>
  </si>
  <si>
    <t>15206</t>
  </si>
  <si>
    <t>South Whidbey</t>
  </si>
  <si>
    <t>23042</t>
  </si>
  <si>
    <t>Southside</t>
  </si>
  <si>
    <t>32081</t>
  </si>
  <si>
    <t>Spokane</t>
  </si>
  <si>
    <t>32901</t>
  </si>
  <si>
    <t>Spokane Int'l Charter</t>
  </si>
  <si>
    <t>22008</t>
  </si>
  <si>
    <t>Sprague</t>
  </si>
  <si>
    <t>38322</t>
  </si>
  <si>
    <t>St John</t>
  </si>
  <si>
    <t>31401</t>
  </si>
  <si>
    <t>Stanwood</t>
  </si>
  <si>
    <t>11054</t>
  </si>
  <si>
    <t>Star</t>
  </si>
  <si>
    <t>07035</t>
  </si>
  <si>
    <t>Starbuck</t>
  </si>
  <si>
    <t>04069</t>
  </si>
  <si>
    <t>Stehekin</t>
  </si>
  <si>
    <t>27001</t>
  </si>
  <si>
    <t>Steilacoom Hist.</t>
  </si>
  <si>
    <t>38304</t>
  </si>
  <si>
    <t>Steptoe</t>
  </si>
  <si>
    <t>30303</t>
  </si>
  <si>
    <t>Stevenson-Carson</t>
  </si>
  <si>
    <t>31311</t>
  </si>
  <si>
    <t>Sultan</t>
  </si>
  <si>
    <t>17905</t>
  </si>
  <si>
    <t>Summit Atlas Charter</t>
  </si>
  <si>
    <t>27905</t>
  </si>
  <si>
    <t>Summit Olympus Charter</t>
  </si>
  <si>
    <t>17902</t>
  </si>
  <si>
    <t>Summit Sierra Charter</t>
  </si>
  <si>
    <t>33202</t>
  </si>
  <si>
    <t>Summit Valley</t>
  </si>
  <si>
    <t>27320</t>
  </si>
  <si>
    <t>Sumner</t>
  </si>
  <si>
    <t>39201</t>
  </si>
  <si>
    <t>Sunnyside</t>
  </si>
  <si>
    <t>18902</t>
  </si>
  <si>
    <t>Suquamish Tribal</t>
  </si>
  <si>
    <t>27010</t>
  </si>
  <si>
    <t>Tacoma</t>
  </si>
  <si>
    <t>14077</t>
  </si>
  <si>
    <t>Taholah</t>
  </si>
  <si>
    <t>17409</t>
  </si>
  <si>
    <t>Tahoma</t>
  </si>
  <si>
    <t>38265</t>
  </si>
  <si>
    <t>Tekoa</t>
  </si>
  <si>
    <t>34402</t>
  </si>
  <si>
    <t>Tenino</t>
  </si>
  <si>
    <t>19400</t>
  </si>
  <si>
    <t>Thorp</t>
  </si>
  <si>
    <t>21237</t>
  </si>
  <si>
    <t>Toledo</t>
  </si>
  <si>
    <t>24404</t>
  </si>
  <si>
    <t>Tonasket</t>
  </si>
  <si>
    <t>39202</t>
  </si>
  <si>
    <t>Toppenish</t>
  </si>
  <si>
    <t>36300</t>
  </si>
  <si>
    <t>Touchet</t>
  </si>
  <si>
    <t>08130</t>
  </si>
  <si>
    <t>Toutle Lake</t>
  </si>
  <si>
    <t>20400</t>
  </si>
  <si>
    <t>Trout Lake</t>
  </si>
  <si>
    <t>17406</t>
  </si>
  <si>
    <t>Tukwila</t>
  </si>
  <si>
    <t>34033</t>
  </si>
  <si>
    <t>Tumwater</t>
  </si>
  <si>
    <t>39002</t>
  </si>
  <si>
    <t>Union Gap</t>
  </si>
  <si>
    <t>27083</t>
  </si>
  <si>
    <t>University Place</t>
  </si>
  <si>
    <t>33070</t>
  </si>
  <si>
    <t>Valley</t>
  </si>
  <si>
    <t>06037</t>
  </si>
  <si>
    <t>Vancouver</t>
  </si>
  <si>
    <t>17402</t>
  </si>
  <si>
    <t>Vashon Island</t>
  </si>
  <si>
    <t>34901</t>
  </si>
  <si>
    <t>Wa He Lut Tribal</t>
  </si>
  <si>
    <t>35200</t>
  </si>
  <si>
    <t>Wahkiakum</t>
  </si>
  <si>
    <t>13073</t>
  </si>
  <si>
    <t>Wahluke</t>
  </si>
  <si>
    <t>36401</t>
  </si>
  <si>
    <t>Waitsburg</t>
  </si>
  <si>
    <t>36140</t>
  </si>
  <si>
    <t>Walla Walla</t>
  </si>
  <si>
    <t>39207</t>
  </si>
  <si>
    <t>Wapato</t>
  </si>
  <si>
    <t>13146</t>
  </si>
  <si>
    <t>Warden</t>
  </si>
  <si>
    <t>06112</t>
  </si>
  <si>
    <t>Washougal</t>
  </si>
  <si>
    <t>01109</t>
  </si>
  <si>
    <t>Washtucna</t>
  </si>
  <si>
    <t>09209</t>
  </si>
  <si>
    <t>Waterville</t>
  </si>
  <si>
    <t>33049</t>
  </si>
  <si>
    <t>Wellpinit</t>
  </si>
  <si>
    <t>04246</t>
  </si>
  <si>
    <t>Wenatchee</t>
  </si>
  <si>
    <t>32363</t>
  </si>
  <si>
    <t>West Valley (Spok</t>
  </si>
  <si>
    <t>39208</t>
  </si>
  <si>
    <t>West Valley (Yak)</t>
  </si>
  <si>
    <t>37902</t>
  </si>
  <si>
    <t>Whatcom Interg'l Charter</t>
  </si>
  <si>
    <t>21303</t>
  </si>
  <si>
    <t>White Pass</t>
  </si>
  <si>
    <t>27416</t>
  </si>
  <si>
    <t>White River</t>
  </si>
  <si>
    <t>20405</t>
  </si>
  <si>
    <t>White Salmon</t>
  </si>
  <si>
    <t>17917</t>
  </si>
  <si>
    <t>Why Not You Charter</t>
  </si>
  <si>
    <t>22200</t>
  </si>
  <si>
    <t>Wilbur</t>
  </si>
  <si>
    <t>25160</t>
  </si>
  <si>
    <t>Willapa Valley</t>
  </si>
  <si>
    <t>13167</t>
  </si>
  <si>
    <t>Wilson Creek</t>
  </si>
  <si>
    <t>21232</t>
  </si>
  <si>
    <t>Winlock</t>
  </si>
  <si>
    <t>14117</t>
  </si>
  <si>
    <t>Wishkah Valley</t>
  </si>
  <si>
    <t>20094</t>
  </si>
  <si>
    <t>Wishram</t>
  </si>
  <si>
    <t>08404</t>
  </si>
  <si>
    <t>Woodland</t>
  </si>
  <si>
    <t>39901</t>
  </si>
  <si>
    <t>Yakama Nation Tribal</t>
  </si>
  <si>
    <t>39007</t>
  </si>
  <si>
    <t>Yakima</t>
  </si>
  <si>
    <t>34002</t>
  </si>
  <si>
    <t>Yelm</t>
  </si>
  <si>
    <t>39205</t>
  </si>
  <si>
    <t>Zillah</t>
  </si>
  <si>
    <t>incl P-223S</t>
  </si>
  <si>
    <t xml:space="preserve">   2022–23 from "Economic and Revenue Forecast," November 2023 rev.</t>
  </si>
  <si>
    <t>2024–25 School Year</t>
  </si>
  <si>
    <t>Adjusted to Constant 2024–25 Dollars</t>
  </si>
  <si>
    <t>2024–25</t>
  </si>
  <si>
    <t xml:space="preserve">The increases (decreases) over 2023–24 shown on this page are raw data increases (decreases). Included are terminated staff, new staff, staff </t>
  </si>
  <si>
    <t xml:space="preserve"> Table 5: Certificated Staff Increase (Decrease) over 2023–24</t>
  </si>
  <si>
    <t>Skill Center—Federal</t>
  </si>
  <si>
    <t xml:space="preserve">   2024–25 from "Economic and Revenue Forecast," September 2025 rev.</t>
  </si>
  <si>
    <t xml:space="preserve">   1996–2025 from "Economic and Revenue Forecast," September 2025 rev.</t>
  </si>
  <si>
    <t xml:space="preserve"> Table 6: Classified Staff Increase (Decrease) over 2023–24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</si>
</sst>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_(* #,##0.00000_);_(* \(#,##0.00000\);_(* &quot;-&quot;??_);_(@_)"/>
    <numFmt numFmtId="167" formatCode="0.00000"/>
    <numFmt numFmtId="168" formatCode="0.000"/>
    <numFmt numFmtId="169" formatCode="#,##0.0"/>
    <numFmt numFmtId="170" formatCode="_(* #,##0.000_);_(* \(#,##0.000\);_(* &quot;-&quot;???_);_(@_)"/>
    <numFmt numFmtId="171" formatCode="_(* #,##0.0_);_(* \(#,##0.0\);_(* &quot;-&quot;?_);_(@_)"/>
    <numFmt numFmtId="172" formatCode="#,##0.000"/>
    <numFmt numFmtId="173" formatCode="0.0%"/>
    <numFmt numFmtId="174" formatCode="00000"/>
    <numFmt numFmtId="175" formatCode="#,##0.0_);[Red]\(#,##0.0\)"/>
    <numFmt numFmtId="176" formatCode="0.000_);[Red]\(0.000\)"/>
    <numFmt numFmtId="177" formatCode="00"/>
  </numFmts>
  <fonts count="50" x14ac:knownFonts="1">
    <font>
      <sz val="10"/>
      <name val="Arial"/>
    </font>
    <font>
      <sz val="10"/>
      <name val="Arial"/>
      <family val="2"/>
    </font>
    <font>
      <b/>
      <sz val="14"/>
      <name val="Segoe UI"/>
      <family val="2"/>
    </font>
    <font>
      <sz val="14"/>
      <name val="Segoe UI"/>
      <family val="2"/>
    </font>
    <font>
      <b/>
      <sz val="12"/>
      <name val="Segoe UI"/>
      <family val="2"/>
    </font>
    <font>
      <sz val="12"/>
      <name val="Segoe UI"/>
      <family val="2"/>
    </font>
    <font>
      <sz val="8"/>
      <name val="Segoe UI"/>
      <family val="2"/>
    </font>
    <font>
      <b/>
      <sz val="8"/>
      <color indexed="10"/>
      <name val="Segoe UI"/>
      <family val="2"/>
    </font>
    <font>
      <b/>
      <sz val="8"/>
      <name val="Segoe UI"/>
      <family val="2"/>
    </font>
    <font>
      <b/>
      <sz val="8"/>
      <color indexed="16"/>
      <name val="Segoe UI"/>
      <family val="2"/>
    </font>
    <font>
      <sz val="8"/>
      <color indexed="10"/>
      <name val="Segoe UI"/>
      <family val="2"/>
    </font>
    <font>
      <sz val="8"/>
      <color indexed="16"/>
      <name val="Segoe UI"/>
      <family val="2"/>
    </font>
    <font>
      <sz val="8"/>
      <color indexed="12"/>
      <name val="Segoe UI"/>
      <family val="2"/>
    </font>
    <font>
      <b/>
      <sz val="8"/>
      <color indexed="12"/>
      <name val="Segoe UI"/>
      <family val="2"/>
    </font>
    <font>
      <sz val="8"/>
      <color indexed="14"/>
      <name val="Segoe UI"/>
      <family val="2"/>
    </font>
    <font>
      <b/>
      <sz val="11"/>
      <name val="Segoe UI"/>
      <family val="2"/>
    </font>
    <font>
      <sz val="11"/>
      <name val="Segoe UI"/>
      <family val="2"/>
    </font>
    <font>
      <sz val="11"/>
      <color indexed="14"/>
      <name val="Segoe UI"/>
      <family val="2"/>
    </font>
    <font>
      <sz val="11"/>
      <color indexed="28"/>
      <name val="Segoe UI"/>
      <family val="2"/>
    </font>
    <font>
      <sz val="11"/>
      <color indexed="10"/>
      <name val="Segoe UI"/>
      <family val="2"/>
    </font>
    <font>
      <sz val="11"/>
      <color indexed="50"/>
      <name val="Segoe UI"/>
      <family val="2"/>
    </font>
    <font>
      <sz val="11"/>
      <color indexed="25"/>
      <name val="Segoe UI"/>
      <family val="2"/>
    </font>
    <font>
      <sz val="11"/>
      <color indexed="39"/>
      <name val="Segoe UI"/>
      <family val="2"/>
    </font>
    <font>
      <sz val="11"/>
      <color indexed="53"/>
      <name val="Segoe UI"/>
      <family val="2"/>
    </font>
    <font>
      <sz val="11"/>
      <color indexed="33"/>
      <name val="Segoe UI"/>
      <family val="2"/>
    </font>
    <font>
      <sz val="11"/>
      <color indexed="12"/>
      <name val="Segoe UI"/>
      <family val="2"/>
    </font>
    <font>
      <sz val="11"/>
      <color rgb="FF0000FF"/>
      <name val="Segoe UI"/>
      <family val="2"/>
    </font>
    <font>
      <sz val="11"/>
      <color rgb="FFFF0000"/>
      <name val="Segoe UI"/>
      <family val="2"/>
    </font>
    <font>
      <b/>
      <u/>
      <sz val="11"/>
      <name val="Segoe UI"/>
      <family val="2"/>
    </font>
    <font>
      <strike/>
      <sz val="11"/>
      <name val="Segoe UI"/>
      <family val="2"/>
    </font>
    <font>
      <sz val="10"/>
      <color indexed="8"/>
      <name val="Segoe UI"/>
      <family val="2"/>
    </font>
    <font>
      <sz val="11"/>
      <color rgb="FF00B050"/>
      <name val="Segoe UI"/>
      <family val="2"/>
    </font>
    <font>
      <b/>
      <sz val="14"/>
      <color rgb="FFFFFFFF"/>
      <name val="Segoe UI"/>
      <family val="2"/>
    </font>
    <font>
      <b/>
      <sz val="12"/>
      <color rgb="FFFFFFFF"/>
      <name val="Segoe UI"/>
      <family val="2"/>
    </font>
    <font>
      <sz val="11"/>
      <color indexed="8"/>
      <name val="Segoe UI"/>
      <family val="2"/>
    </font>
    <font>
      <b/>
      <sz val="11"/>
      <color indexed="10"/>
      <name val="Segoe UI"/>
      <family val="2"/>
    </font>
    <font>
      <b/>
      <sz val="11"/>
      <color indexed="33"/>
      <name val="Segoe UI"/>
      <family val="2"/>
    </font>
    <font>
      <b/>
      <sz val="11"/>
      <color indexed="39"/>
      <name val="Segoe UI"/>
      <family val="2"/>
    </font>
    <font>
      <b/>
      <sz val="11"/>
      <color indexed="17"/>
      <name val="Segoe UI"/>
      <family val="2"/>
    </font>
    <font>
      <b/>
      <sz val="11"/>
      <color indexed="52"/>
      <name val="Segoe UI"/>
      <family val="2"/>
    </font>
    <font>
      <sz val="11"/>
      <color indexed="16"/>
      <name val="Segoe UI"/>
      <family val="2"/>
    </font>
    <font>
      <sz val="11"/>
      <color indexed="18"/>
      <name val="Segoe UI"/>
      <family val="2"/>
    </font>
    <font>
      <sz val="11"/>
      <color indexed="52"/>
      <name val="Segoe UI"/>
      <family val="2"/>
    </font>
    <font>
      <sz val="11"/>
      <color indexed="62"/>
      <name val="Segoe UI"/>
      <family val="2"/>
    </font>
    <font>
      <sz val="11"/>
      <color indexed="17"/>
      <name val="Segoe UI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D576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1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17"/>
      </left>
      <right/>
      <top style="thick">
        <color indexed="17"/>
      </top>
      <bottom/>
      <diagonal/>
    </border>
    <border>
      <left/>
      <right/>
      <top style="thick">
        <color indexed="17"/>
      </top>
      <bottom/>
      <diagonal/>
    </border>
    <border>
      <left/>
      <right style="thick">
        <color indexed="17"/>
      </right>
      <top style="thick">
        <color indexed="17"/>
      </top>
      <bottom/>
      <diagonal/>
    </border>
    <border>
      <left style="thick">
        <color indexed="17"/>
      </left>
      <right/>
      <top/>
      <bottom/>
      <diagonal/>
    </border>
    <border>
      <left/>
      <right style="thick">
        <color indexed="17"/>
      </right>
      <top/>
      <bottom/>
      <diagonal/>
    </border>
    <border>
      <left style="thick">
        <color indexed="17"/>
      </left>
      <right/>
      <top/>
      <bottom style="thick">
        <color indexed="17"/>
      </bottom>
      <diagonal/>
    </border>
    <border>
      <left/>
      <right/>
      <top/>
      <bottom style="thick">
        <color indexed="17"/>
      </bottom>
      <diagonal/>
    </border>
    <border>
      <left/>
      <right style="thick">
        <color indexed="17"/>
      </right>
      <top/>
      <bottom style="thick">
        <color indexed="17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thick">
        <color indexed="10"/>
      </top>
      <bottom/>
      <diagonal/>
    </border>
    <border>
      <left style="thick">
        <color indexed="10"/>
      </left>
      <right/>
      <top/>
      <bottom/>
      <diagonal/>
    </border>
    <border>
      <left style="thick">
        <color indexed="10"/>
      </left>
      <right/>
      <top style="thin">
        <color indexed="64"/>
      </top>
      <bottom style="thin">
        <color indexed="64"/>
      </bottom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 style="thick">
        <color indexed="1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/>
      <diagonal/>
    </border>
    <border>
      <left/>
      <right style="thick">
        <color indexed="10"/>
      </right>
      <top/>
      <bottom style="thick">
        <color indexed="10"/>
      </bottom>
      <diagonal/>
    </border>
    <border>
      <left/>
      <right style="thick">
        <color indexed="10"/>
      </right>
      <top/>
      <bottom/>
      <diagonal/>
    </border>
    <border>
      <left style="thick">
        <color indexed="10"/>
      </left>
      <right/>
      <top style="thick">
        <color indexed="10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ck">
        <color rgb="FFFF0000"/>
      </left>
      <right/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84">
    <xf numFmtId="0" fontId="0" fillId="0" borderId="0"/>
    <xf numFmtId="43" fontId="1" fillId="0" borderId="0" applyFont="0" applyFill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06">
    <xf numFmtId="0" fontId="0" fillId="0" borderId="0" xfId="0"/>
    <xf numFmtId="0" fontId="3" fillId="3" borderId="12" xfId="0" applyFont="1" applyFill="1" applyBorder="1" applyAlignment="1">
      <alignment horizontal="centerContinuous"/>
    </xf>
    <xf numFmtId="0" fontId="3" fillId="3" borderId="34" xfId="0" applyFont="1" applyFill="1" applyBorder="1" applyAlignment="1">
      <alignment horizontal="centerContinuous"/>
    </xf>
    <xf numFmtId="0" fontId="5" fillId="0" borderId="96" xfId="0" applyFont="1" applyBorder="1"/>
    <xf numFmtId="0" fontId="5" fillId="0" borderId="0" xfId="0" applyFont="1"/>
    <xf numFmtId="0" fontId="6" fillId="0" borderId="0" xfId="0" applyFont="1"/>
    <xf numFmtId="0" fontId="8" fillId="0" borderId="0" xfId="0" applyFont="1"/>
    <xf numFmtId="0" fontId="6" fillId="0" borderId="0" xfId="0" applyFont="1" applyAlignment="1">
      <alignment horizontal="center"/>
    </xf>
    <xf numFmtId="0" fontId="6" fillId="0" borderId="38" xfId="0" applyFont="1" applyBorder="1"/>
    <xf numFmtId="0" fontId="7" fillId="0" borderId="55" xfId="0" applyFont="1" applyBorder="1"/>
    <xf numFmtId="43" fontId="6" fillId="0" borderId="0" xfId="1" applyFont="1"/>
    <xf numFmtId="165" fontId="6" fillId="0" borderId="0" xfId="1" applyNumberFormat="1" applyFont="1"/>
    <xf numFmtId="43" fontId="6" fillId="0" borderId="0" xfId="0" applyNumberFormat="1" applyFont="1"/>
    <xf numFmtId="3" fontId="6" fillId="0" borderId="0" xfId="0" applyNumberFormat="1" applyFont="1"/>
    <xf numFmtId="0" fontId="7" fillId="0" borderId="0" xfId="0" applyFont="1"/>
    <xf numFmtId="3" fontId="6" fillId="0" borderId="0" xfId="0" quotePrefix="1" applyNumberFormat="1" applyFont="1"/>
    <xf numFmtId="3" fontId="6" fillId="0" borderId="0" xfId="0" applyNumberFormat="1" applyFont="1" applyAlignment="1">
      <alignment horizontal="center"/>
    </xf>
    <xf numFmtId="0" fontId="6" fillId="0" borderId="1" xfId="0" applyFont="1" applyBorder="1"/>
    <xf numFmtId="49" fontId="6" fillId="0" borderId="0" xfId="0" applyNumberFormat="1" applyFont="1" applyAlignment="1">
      <alignment horizontal="center"/>
    </xf>
    <xf numFmtId="0" fontId="6" fillId="0" borderId="9" xfId="0" applyFont="1" applyBorder="1"/>
    <xf numFmtId="41" fontId="6" fillId="0" borderId="10" xfId="0" applyNumberFormat="1" applyFont="1" applyBorder="1"/>
    <xf numFmtId="41" fontId="6" fillId="0" borderId="10" xfId="1" applyNumberFormat="1" applyFont="1" applyBorder="1"/>
    <xf numFmtId="41" fontId="6" fillId="0" borderId="73" xfId="0" applyNumberFormat="1" applyFont="1" applyBorder="1"/>
    <xf numFmtId="0" fontId="6" fillId="0" borderId="73" xfId="0" applyFont="1" applyBorder="1"/>
    <xf numFmtId="0" fontId="7" fillId="0" borderId="73" xfId="0" applyFont="1" applyBorder="1"/>
    <xf numFmtId="0" fontId="7" fillId="0" borderId="32" xfId="0" applyFont="1" applyBorder="1"/>
    <xf numFmtId="43" fontId="9" fillId="0" borderId="0" xfId="0" applyNumberFormat="1" applyFont="1"/>
    <xf numFmtId="0" fontId="6" fillId="0" borderId="13" xfId="0" applyFont="1" applyBorder="1"/>
    <xf numFmtId="41" fontId="6" fillId="0" borderId="0" xfId="0" applyNumberFormat="1" applyFont="1"/>
    <xf numFmtId="41" fontId="6" fillId="0" borderId="0" xfId="1" applyNumberFormat="1" applyFont="1"/>
    <xf numFmtId="41" fontId="6" fillId="0" borderId="55" xfId="0" applyNumberFormat="1" applyFont="1" applyBorder="1"/>
    <xf numFmtId="0" fontId="7" fillId="0" borderId="74" xfId="0" applyFont="1" applyBorder="1"/>
    <xf numFmtId="0" fontId="6" fillId="0" borderId="11" xfId="0" applyFont="1" applyBorder="1"/>
    <xf numFmtId="41" fontId="6" fillId="0" borderId="1" xfId="0" applyNumberFormat="1" applyFont="1" applyBorder="1"/>
    <xf numFmtId="41" fontId="6" fillId="0" borderId="1" xfId="1" applyNumberFormat="1" applyFont="1" applyBorder="1"/>
    <xf numFmtId="43" fontId="6" fillId="0" borderId="1" xfId="1" applyFont="1" applyBorder="1"/>
    <xf numFmtId="41" fontId="6" fillId="0" borderId="75" xfId="0" applyNumberFormat="1" applyFont="1" applyBorder="1"/>
    <xf numFmtId="43" fontId="7" fillId="0" borderId="75" xfId="0" applyNumberFormat="1" applyFont="1" applyBorder="1" applyAlignment="1">
      <alignment horizontal="center"/>
    </xf>
    <xf numFmtId="165" fontId="7" fillId="0" borderId="75" xfId="0" applyNumberFormat="1" applyFont="1" applyBorder="1" applyAlignment="1">
      <alignment horizontal="center"/>
    </xf>
    <xf numFmtId="166" fontId="10" fillId="0" borderId="33" xfId="1" applyNumberFormat="1" applyFont="1" applyBorder="1" applyAlignment="1">
      <alignment horizontal="center"/>
    </xf>
    <xf numFmtId="0" fontId="6" fillId="0" borderId="19" xfId="0" applyFont="1" applyBorder="1"/>
    <xf numFmtId="0" fontId="6" fillId="0" borderId="55" xfId="0" applyFont="1" applyBorder="1"/>
    <xf numFmtId="0" fontId="6" fillId="0" borderId="20" xfId="0" applyFont="1" applyBorder="1"/>
    <xf numFmtId="0" fontId="6" fillId="0" borderId="76" xfId="0" applyFont="1" applyBorder="1"/>
    <xf numFmtId="0" fontId="9" fillId="0" borderId="0" xfId="0" applyFont="1"/>
    <xf numFmtId="0" fontId="7" fillId="0" borderId="76" xfId="0" applyFont="1" applyBorder="1"/>
    <xf numFmtId="0" fontId="7" fillId="0" borderId="38" xfId="0" applyFont="1" applyBorder="1"/>
    <xf numFmtId="165" fontId="9" fillId="0" borderId="0" xfId="0" applyNumberFormat="1" applyFont="1"/>
    <xf numFmtId="165" fontId="9" fillId="0" borderId="0" xfId="1" applyNumberFormat="1" applyFont="1"/>
    <xf numFmtId="43" fontId="7" fillId="0" borderId="31" xfId="0" applyNumberFormat="1" applyFont="1" applyBorder="1"/>
    <xf numFmtId="166" fontId="10" fillId="0" borderId="36" xfId="1" applyNumberFormat="1" applyFont="1" applyBorder="1"/>
    <xf numFmtId="167" fontId="9" fillId="0" borderId="0" xfId="0" applyNumberFormat="1" applyFont="1"/>
    <xf numFmtId="0" fontId="6" fillId="0" borderId="10" xfId="0" applyFont="1" applyBorder="1"/>
    <xf numFmtId="43" fontId="10" fillId="0" borderId="13" xfId="1" applyFont="1" applyBorder="1"/>
    <xf numFmtId="0" fontId="10" fillId="0" borderId="76" xfId="0" applyFont="1" applyBorder="1"/>
    <xf numFmtId="43" fontId="10" fillId="0" borderId="38" xfId="0" applyNumberFormat="1" applyFont="1" applyBorder="1"/>
    <xf numFmtId="41" fontId="10" fillId="0" borderId="55" xfId="0" applyNumberFormat="1" applyFont="1" applyBorder="1"/>
    <xf numFmtId="0" fontId="10" fillId="0" borderId="0" xfId="0" applyFont="1"/>
    <xf numFmtId="165" fontId="7" fillId="0" borderId="75" xfId="1" applyNumberFormat="1" applyFont="1" applyBorder="1"/>
    <xf numFmtId="166" fontId="10" fillId="0" borderId="1" xfId="1" applyNumberFormat="1" applyFont="1" applyBorder="1"/>
    <xf numFmtId="43" fontId="10" fillId="0" borderId="11" xfId="0" applyNumberFormat="1" applyFont="1" applyBorder="1"/>
    <xf numFmtId="0" fontId="10" fillId="0" borderId="36" xfId="0" applyFont="1" applyBorder="1"/>
    <xf numFmtId="165" fontId="9" fillId="0" borderId="0" xfId="0" applyNumberFormat="1" applyFont="1" applyAlignment="1">
      <alignment horizontal="left"/>
    </xf>
    <xf numFmtId="165" fontId="7" fillId="0" borderId="55" xfId="1" applyNumberFormat="1" applyFont="1" applyBorder="1"/>
    <xf numFmtId="41" fontId="12" fillId="0" borderId="0" xfId="1" applyNumberFormat="1" applyFont="1"/>
    <xf numFmtId="0" fontId="13" fillId="0" borderId="19" xfId="0" applyFont="1" applyBorder="1"/>
    <xf numFmtId="0" fontId="13" fillId="0" borderId="20" xfId="0" applyFont="1" applyBorder="1"/>
    <xf numFmtId="43" fontId="12" fillId="0" borderId="55" xfId="0" applyNumberFormat="1" applyFont="1" applyBorder="1"/>
    <xf numFmtId="41" fontId="12" fillId="0" borderId="38" xfId="0" applyNumberFormat="1" applyFont="1" applyBorder="1"/>
    <xf numFmtId="0" fontId="12" fillId="0" borderId="76" xfId="0" applyFont="1" applyBorder="1"/>
    <xf numFmtId="0" fontId="12" fillId="0" borderId="0" xfId="0" applyFont="1"/>
    <xf numFmtId="43" fontId="13" fillId="0" borderId="75" xfId="0" applyNumberFormat="1" applyFont="1" applyBorder="1"/>
    <xf numFmtId="165" fontId="13" fillId="0" borderId="75" xfId="1" applyNumberFormat="1" applyFont="1" applyBorder="1"/>
    <xf numFmtId="166" fontId="12" fillId="0" borderId="36" xfId="1" applyNumberFormat="1" applyFont="1" applyBorder="1"/>
    <xf numFmtId="0" fontId="12" fillId="0" borderId="11" xfId="0" applyFont="1" applyBorder="1"/>
    <xf numFmtId="0" fontId="6" fillId="0" borderId="36" xfId="0" applyFont="1" applyBorder="1"/>
    <xf numFmtId="41" fontId="8" fillId="0" borderId="0" xfId="0" applyNumberFormat="1" applyFont="1"/>
    <xf numFmtId="0" fontId="14" fillId="0" borderId="0" xfId="0" applyFont="1"/>
    <xf numFmtId="43" fontId="14" fillId="0" borderId="0" xfId="1" applyFont="1"/>
    <xf numFmtId="43" fontId="10" fillId="0" borderId="0" xfId="0" applyNumberFormat="1" applyFont="1"/>
    <xf numFmtId="165" fontId="10" fillId="0" borderId="0" xfId="1" applyNumberFormat="1" applyFont="1"/>
    <xf numFmtId="41" fontId="7" fillId="0" borderId="0" xfId="0" applyNumberFormat="1" applyFont="1"/>
    <xf numFmtId="43" fontId="7" fillId="0" borderId="3" xfId="0" applyNumberFormat="1" applyFont="1" applyBorder="1"/>
    <xf numFmtId="0" fontId="10" fillId="0" borderId="3" xfId="0" applyFont="1" applyBorder="1"/>
    <xf numFmtId="41" fontId="10" fillId="0" borderId="0" xfId="0" applyNumberFormat="1" applyFont="1"/>
    <xf numFmtId="43" fontId="10" fillId="0" borderId="3" xfId="0" applyNumberFormat="1" applyFont="1" applyBorder="1"/>
    <xf numFmtId="165" fontId="10" fillId="0" borderId="3" xfId="1" applyNumberFormat="1" applyFont="1" applyBorder="1"/>
    <xf numFmtId="43" fontId="11" fillId="0" borderId="0" xfId="0" applyNumberFormat="1" applyFont="1"/>
    <xf numFmtId="0" fontId="16" fillId="0" borderId="0" xfId="0" applyFont="1"/>
    <xf numFmtId="172" fontId="16" fillId="0" borderId="0" xfId="0" applyNumberFormat="1" applyFont="1"/>
    <xf numFmtId="0" fontId="15" fillId="0" borderId="9" xfId="0" applyFont="1" applyBorder="1"/>
    <xf numFmtId="0" fontId="15" fillId="0" borderId="10" xfId="0" applyFont="1" applyBorder="1"/>
    <xf numFmtId="0" fontId="15" fillId="0" borderId="20" xfId="0" applyFont="1" applyBorder="1"/>
    <xf numFmtId="0" fontId="16" fillId="0" borderId="13" xfId="0" applyFont="1" applyBorder="1"/>
    <xf numFmtId="0" fontId="16" fillId="0" borderId="76" xfId="0" applyFont="1" applyBorder="1"/>
    <xf numFmtId="172" fontId="16" fillId="0" borderId="76" xfId="0" applyNumberFormat="1" applyFont="1" applyBorder="1"/>
    <xf numFmtId="0" fontId="16" fillId="0" borderId="13" xfId="0" applyFont="1" applyBorder="1" applyAlignment="1">
      <alignment horizontal="right"/>
    </xf>
    <xf numFmtId="172" fontId="16" fillId="0" borderId="76" xfId="0" applyNumberFormat="1" applyFont="1" applyBorder="1" applyAlignment="1">
      <alignment horizontal="right"/>
    </xf>
    <xf numFmtId="42" fontId="16" fillId="0" borderId="3" xfId="0" applyNumberFormat="1" applyFont="1" applyBorder="1"/>
    <xf numFmtId="0" fontId="16" fillId="0" borderId="3" xfId="0" applyFont="1" applyBorder="1"/>
    <xf numFmtId="42" fontId="16" fillId="0" borderId="115" xfId="0" applyNumberFormat="1" applyFont="1" applyBorder="1"/>
    <xf numFmtId="9" fontId="16" fillId="0" borderId="3" xfId="0" applyNumberFormat="1" applyFont="1" applyBorder="1"/>
    <xf numFmtId="172" fontId="16" fillId="0" borderId="28" xfId="0" applyNumberFormat="1" applyFont="1" applyBorder="1"/>
    <xf numFmtId="42" fontId="16" fillId="0" borderId="72" xfId="0" applyNumberFormat="1" applyFont="1" applyBorder="1" applyAlignment="1">
      <alignment horizontal="center"/>
    </xf>
    <xf numFmtId="172" fontId="16" fillId="0" borderId="116" xfId="0" applyNumberFormat="1" applyFont="1" applyBorder="1"/>
    <xf numFmtId="164" fontId="16" fillId="0" borderId="0" xfId="1" applyNumberFormat="1" applyFont="1"/>
    <xf numFmtId="172" fontId="16" fillId="0" borderId="76" xfId="1" applyNumberFormat="1" applyFont="1" applyBorder="1"/>
    <xf numFmtId="165" fontId="17" fillId="0" borderId="0" xfId="1" applyNumberFormat="1" applyFont="1"/>
    <xf numFmtId="17" fontId="17" fillId="0" borderId="76" xfId="0" applyNumberFormat="1" applyFont="1" applyBorder="1"/>
    <xf numFmtId="0" fontId="17" fillId="0" borderId="76" xfId="0" applyFont="1" applyBorder="1"/>
    <xf numFmtId="165" fontId="18" fillId="0" borderId="0" xfId="1" applyNumberFormat="1" applyFont="1"/>
    <xf numFmtId="17" fontId="18" fillId="0" borderId="76" xfId="0" applyNumberFormat="1" applyFont="1" applyBorder="1"/>
    <xf numFmtId="3" fontId="19" fillId="0" borderId="0" xfId="1" applyNumberFormat="1" applyFont="1"/>
    <xf numFmtId="17" fontId="19" fillId="0" borderId="76" xfId="0" applyNumberFormat="1" applyFont="1" applyBorder="1"/>
    <xf numFmtId="3" fontId="20" fillId="0" borderId="0" xfId="1" applyNumberFormat="1" applyFont="1"/>
    <xf numFmtId="17" fontId="20" fillId="0" borderId="76" xfId="0" applyNumberFormat="1" applyFont="1" applyBorder="1"/>
    <xf numFmtId="165" fontId="16" fillId="0" borderId="3" xfId="1" applyNumberFormat="1" applyFont="1" applyBorder="1"/>
    <xf numFmtId="3" fontId="21" fillId="0" borderId="0" xfId="1" applyNumberFormat="1" applyFont="1"/>
    <xf numFmtId="17" fontId="21" fillId="0" borderId="76" xfId="0" applyNumberFormat="1" applyFont="1" applyBorder="1"/>
    <xf numFmtId="0" fontId="16" fillId="0" borderId="29" xfId="0" applyFont="1" applyBorder="1"/>
    <xf numFmtId="9" fontId="16" fillId="0" borderId="30" xfId="0" applyNumberFormat="1" applyFont="1" applyBorder="1"/>
    <xf numFmtId="3" fontId="22" fillId="0" borderId="0" xfId="1" applyNumberFormat="1" applyFont="1"/>
    <xf numFmtId="17" fontId="22" fillId="0" borderId="76" xfId="0" applyNumberFormat="1" applyFont="1" applyBorder="1"/>
    <xf numFmtId="0" fontId="22" fillId="0" borderId="76" xfId="0" applyFont="1" applyBorder="1"/>
    <xf numFmtId="42" fontId="16" fillId="0" borderId="29" xfId="0" applyNumberFormat="1" applyFont="1" applyBorder="1"/>
    <xf numFmtId="42" fontId="16" fillId="0" borderId="78" xfId="0" applyNumberFormat="1" applyFont="1" applyBorder="1" applyAlignment="1">
      <alignment horizontal="center"/>
    </xf>
    <xf numFmtId="3" fontId="23" fillId="0" borderId="0" xfId="1" applyNumberFormat="1" applyFont="1"/>
    <xf numFmtId="17" fontId="23" fillId="0" borderId="76" xfId="0" applyNumberFormat="1" applyFont="1" applyBorder="1"/>
    <xf numFmtId="0" fontId="23" fillId="0" borderId="76" xfId="0" applyFont="1" applyBorder="1"/>
    <xf numFmtId="3" fontId="24" fillId="0" borderId="0" xfId="1" applyNumberFormat="1" applyFont="1"/>
    <xf numFmtId="17" fontId="24" fillId="0" borderId="76" xfId="0" applyNumberFormat="1" applyFont="1" applyBorder="1"/>
    <xf numFmtId="3" fontId="16" fillId="0" borderId="0" xfId="1" applyNumberFormat="1" applyFont="1"/>
    <xf numFmtId="17" fontId="16" fillId="0" borderId="76" xfId="0" applyNumberFormat="1" applyFont="1" applyBorder="1"/>
    <xf numFmtId="3" fontId="25" fillId="0" borderId="0" xfId="1" applyNumberFormat="1" applyFont="1"/>
    <xf numFmtId="17" fontId="25" fillId="0" borderId="76" xfId="0" applyNumberFormat="1" applyFont="1" applyBorder="1"/>
    <xf numFmtId="42" fontId="16" fillId="0" borderId="28" xfId="67" applyNumberFormat="1" applyFont="1" applyBorder="1"/>
    <xf numFmtId="0" fontId="16" fillId="0" borderId="29" xfId="67" applyFont="1" applyBorder="1"/>
    <xf numFmtId="42" fontId="16" fillId="0" borderId="3" xfId="67" applyNumberFormat="1" applyFont="1" applyBorder="1"/>
    <xf numFmtId="0" fontId="16" fillId="0" borderId="3" xfId="67" applyFont="1" applyBorder="1"/>
    <xf numFmtId="42" fontId="16" fillId="0" borderId="115" xfId="67" applyNumberFormat="1" applyFont="1" applyBorder="1"/>
    <xf numFmtId="9" fontId="16" fillId="0" borderId="3" xfId="67" applyNumberFormat="1" applyFont="1" applyBorder="1"/>
    <xf numFmtId="9" fontId="16" fillId="0" borderId="30" xfId="67" applyNumberFormat="1" applyFont="1" applyBorder="1"/>
    <xf numFmtId="172" fontId="16" fillId="0" borderId="28" xfId="67" applyNumberFormat="1" applyFont="1" applyBorder="1"/>
    <xf numFmtId="42" fontId="16" fillId="0" borderId="29" xfId="67" applyNumberFormat="1" applyFont="1" applyBorder="1"/>
    <xf numFmtId="42" fontId="16" fillId="0" borderId="78" xfId="67" applyNumberFormat="1" applyFont="1" applyBorder="1" applyAlignment="1">
      <alignment horizontal="center"/>
    </xf>
    <xf numFmtId="0" fontId="25" fillId="0" borderId="76" xfId="0" applyFont="1" applyBorder="1"/>
    <xf numFmtId="3" fontId="26" fillId="0" borderId="0" xfId="1" applyNumberFormat="1" applyFont="1"/>
    <xf numFmtId="17" fontId="26" fillId="0" borderId="76" xfId="0" applyNumberFormat="1" applyFont="1" applyBorder="1"/>
    <xf numFmtId="0" fontId="26" fillId="0" borderId="76" xfId="0" applyFont="1" applyBorder="1"/>
    <xf numFmtId="3" fontId="27" fillId="0" borderId="0" xfId="1" applyNumberFormat="1" applyFont="1"/>
    <xf numFmtId="17" fontId="27" fillId="0" borderId="76" xfId="0" applyNumberFormat="1" applyFont="1" applyBorder="1"/>
    <xf numFmtId="42" fontId="16" fillId="0" borderId="107" xfId="0" applyNumberFormat="1" applyFont="1" applyBorder="1"/>
    <xf numFmtId="0" fontId="16" fillId="0" borderId="68" xfId="0" applyFont="1" applyBorder="1"/>
    <xf numFmtId="0" fontId="16" fillId="0" borderId="107" xfId="0" applyFont="1" applyBorder="1"/>
    <xf numFmtId="42" fontId="16" fillId="0" borderId="117" xfId="0" applyNumberFormat="1" applyFont="1" applyBorder="1"/>
    <xf numFmtId="9" fontId="16" fillId="0" borderId="107" xfId="0" applyNumberFormat="1" applyFont="1" applyBorder="1"/>
    <xf numFmtId="9" fontId="16" fillId="0" borderId="7" xfId="0" applyNumberFormat="1" applyFont="1" applyBorder="1"/>
    <xf numFmtId="172" fontId="16" fillId="0" borderId="66" xfId="0" applyNumberFormat="1" applyFont="1" applyBorder="1"/>
    <xf numFmtId="42" fontId="16" fillId="0" borderId="68" xfId="0" applyNumberFormat="1" applyFont="1" applyBorder="1"/>
    <xf numFmtId="42" fontId="16" fillId="0" borderId="35" xfId="0" applyNumberFormat="1" applyFont="1" applyBorder="1" applyAlignment="1">
      <alignment horizontal="center"/>
    </xf>
    <xf numFmtId="0" fontId="16" fillId="0" borderId="11" xfId="0" applyFont="1" applyBorder="1"/>
    <xf numFmtId="172" fontId="16" fillId="0" borderId="36" xfId="0" applyNumberFormat="1" applyFont="1" applyBorder="1"/>
    <xf numFmtId="41" fontId="16" fillId="0" borderId="0" xfId="0" applyNumberFormat="1" applyFont="1"/>
    <xf numFmtId="164" fontId="16" fillId="0" borderId="0" xfId="1" applyNumberFormat="1" applyFont="1" applyAlignment="1">
      <alignment horizontal="center"/>
    </xf>
    <xf numFmtId="0" fontId="16" fillId="0" borderId="0" xfId="0" applyFont="1" applyAlignment="1">
      <alignment horizontal="center"/>
    </xf>
    <xf numFmtId="172" fontId="19" fillId="0" borderId="0" xfId="0" applyNumberFormat="1" applyFont="1"/>
    <xf numFmtId="0" fontId="28" fillId="0" borderId="0" xfId="0" applyFont="1"/>
    <xf numFmtId="0" fontId="3" fillId="0" borderId="0" xfId="0" applyFont="1"/>
    <xf numFmtId="172" fontId="3" fillId="0" borderId="0" xfId="0" applyNumberFormat="1" applyFont="1"/>
    <xf numFmtId="0" fontId="16" fillId="0" borderId="26" xfId="0" applyFont="1" applyBorder="1" applyAlignment="1">
      <alignment horizontal="center"/>
    </xf>
    <xf numFmtId="171" fontId="16" fillId="0" borderId="27" xfId="0" applyNumberFormat="1" applyFont="1" applyBorder="1" applyAlignment="1">
      <alignment horizontal="right"/>
    </xf>
    <xf numFmtId="42" fontId="16" fillId="0" borderId="21" xfId="0" applyNumberFormat="1" applyFont="1" applyBorder="1" applyAlignment="1">
      <alignment horizontal="right"/>
    </xf>
    <xf numFmtId="0" fontId="16" fillId="0" borderId="25" xfId="0" applyFont="1" applyBorder="1" applyAlignment="1">
      <alignment horizontal="center"/>
    </xf>
    <xf numFmtId="42" fontId="16" fillId="0" borderId="24" xfId="0" applyNumberFormat="1" applyFont="1" applyBorder="1" applyAlignment="1">
      <alignment horizontal="right"/>
    </xf>
    <xf numFmtId="171" fontId="16" fillId="0" borderId="28" xfId="1" applyNumberFormat="1" applyFont="1" applyFill="1" applyBorder="1" applyAlignment="1">
      <alignment horizontal="right"/>
    </xf>
    <xf numFmtId="42" fontId="16" fillId="0" borderId="23" xfId="1" applyNumberFormat="1" applyFont="1" applyFill="1" applyBorder="1" applyAlignment="1">
      <alignment horizontal="right"/>
    </xf>
    <xf numFmtId="171" fontId="16" fillId="0" borderId="29" xfId="1" applyNumberFormat="1" applyFont="1" applyFill="1" applyBorder="1" applyAlignment="1">
      <alignment horizontal="right"/>
    </xf>
    <xf numFmtId="0" fontId="16" fillId="0" borderId="41" xfId="0" applyFont="1" applyBorder="1" applyAlignment="1">
      <alignment horizontal="center"/>
    </xf>
    <xf numFmtId="171" fontId="16" fillId="0" borderId="42" xfId="1" applyNumberFormat="1" applyFont="1" applyFill="1" applyBorder="1" applyAlignment="1">
      <alignment horizontal="right"/>
    </xf>
    <xf numFmtId="42" fontId="16" fillId="0" borderId="43" xfId="1" applyNumberFormat="1" applyFont="1" applyFill="1" applyBorder="1" applyAlignment="1">
      <alignment horizontal="right"/>
    </xf>
    <xf numFmtId="171" fontId="16" fillId="0" borderId="44" xfId="1" applyNumberFormat="1" applyFont="1" applyFill="1" applyBorder="1" applyAlignment="1">
      <alignment horizontal="right"/>
    </xf>
    <xf numFmtId="42" fontId="16" fillId="0" borderId="45" xfId="0" applyNumberFormat="1" applyFont="1" applyBorder="1" applyAlignment="1">
      <alignment horizontal="right"/>
    </xf>
    <xf numFmtId="42" fontId="16" fillId="0" borderId="24" xfId="50" applyNumberFormat="1" applyFont="1" applyBorder="1" applyAlignment="1">
      <alignment horizontal="right"/>
    </xf>
    <xf numFmtId="0" fontId="16" fillId="0" borderId="77" xfId="0" applyFont="1" applyBorder="1" applyAlignment="1">
      <alignment horizontal="center"/>
    </xf>
    <xf numFmtId="171" fontId="16" fillId="0" borderId="66" xfId="1" applyNumberFormat="1" applyFont="1" applyFill="1" applyBorder="1" applyAlignment="1">
      <alignment horizontal="right"/>
    </xf>
    <xf numFmtId="42" fontId="16" fillId="0" borderId="67" xfId="1" applyNumberFormat="1" applyFont="1" applyFill="1" applyBorder="1" applyAlignment="1">
      <alignment horizontal="right"/>
    </xf>
    <xf numFmtId="171" fontId="16" fillId="0" borderId="68" xfId="1" applyNumberFormat="1" applyFont="1" applyFill="1" applyBorder="1" applyAlignment="1">
      <alignment horizontal="right"/>
    </xf>
    <xf numFmtId="42" fontId="16" fillId="0" borderId="69" xfId="0" applyNumberFormat="1" applyFont="1" applyBorder="1" applyAlignment="1">
      <alignment horizontal="right"/>
    </xf>
    <xf numFmtId="171" fontId="16" fillId="0" borderId="0" xfId="0" applyNumberFormat="1" applyFont="1"/>
    <xf numFmtId="3" fontId="16" fillId="0" borderId="0" xfId="0" applyNumberFormat="1" applyFont="1"/>
    <xf numFmtId="171" fontId="16" fillId="0" borderId="0" xfId="0" applyNumberFormat="1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16" fillId="0" borderId="0" xfId="1" applyNumberFormat="1" applyFont="1" applyFill="1"/>
    <xf numFmtId="0" fontId="16" fillId="0" borderId="3" xfId="0" applyFont="1" applyBorder="1" applyAlignment="1">
      <alignment horizontal="center"/>
    </xf>
    <xf numFmtId="0" fontId="16" fillId="0" borderId="18" xfId="0" applyFont="1" applyBorder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169" fontId="16" fillId="0" borderId="2" xfId="0" applyNumberFormat="1" applyFont="1" applyBorder="1"/>
    <xf numFmtId="169" fontId="16" fillId="0" borderId="3" xfId="0" applyNumberFormat="1" applyFont="1" applyBorder="1" applyAlignment="1">
      <alignment horizontal="center"/>
    </xf>
    <xf numFmtId="175" fontId="16" fillId="0" borderId="3" xfId="0" applyNumberFormat="1" applyFont="1" applyBorder="1"/>
    <xf numFmtId="175" fontId="16" fillId="0" borderId="40" xfId="0" applyNumberFormat="1" applyFont="1" applyBorder="1"/>
    <xf numFmtId="175" fontId="16" fillId="0" borderId="3" xfId="33" applyNumberFormat="1" applyFont="1" applyBorder="1"/>
    <xf numFmtId="175" fontId="16" fillId="7" borderId="78" xfId="0" applyNumberFormat="1" applyFont="1" applyFill="1" applyBorder="1"/>
    <xf numFmtId="169" fontId="16" fillId="0" borderId="0" xfId="0" applyNumberFormat="1" applyFont="1"/>
    <xf numFmtId="0" fontId="16" fillId="0" borderId="2" xfId="0" applyFont="1" applyBorder="1"/>
    <xf numFmtId="6" fontId="16" fillId="0" borderId="3" xfId="0" applyNumberFormat="1" applyFont="1" applyBorder="1" applyAlignment="1">
      <alignment horizontal="center"/>
    </xf>
    <xf numFmtId="42" fontId="16" fillId="0" borderId="3" xfId="0" applyNumberFormat="1" applyFont="1" applyBorder="1" applyAlignment="1">
      <alignment horizontal="center"/>
    </xf>
    <xf numFmtId="42" fontId="16" fillId="0" borderId="40" xfId="0" applyNumberFormat="1" applyFont="1" applyBorder="1"/>
    <xf numFmtId="42" fontId="16" fillId="0" borderId="40" xfId="2" applyNumberFormat="1" applyFont="1" applyBorder="1" applyAlignment="1"/>
    <xf numFmtId="42" fontId="16" fillId="0" borderId="3" xfId="2" applyNumberFormat="1" applyFont="1" applyBorder="1" applyAlignment="1"/>
    <xf numFmtId="42" fontId="16" fillId="7" borderId="72" xfId="2" applyNumberFormat="1" applyFont="1" applyFill="1" applyBorder="1" applyAlignment="1"/>
    <xf numFmtId="172" fontId="16" fillId="0" borderId="2" xfId="0" applyNumberFormat="1" applyFont="1" applyBorder="1"/>
    <xf numFmtId="172" fontId="16" fillId="0" borderId="3" xfId="0" applyNumberFormat="1" applyFont="1" applyBorder="1" applyAlignment="1">
      <alignment horizontal="center"/>
    </xf>
    <xf numFmtId="172" fontId="16" fillId="0" borderId="3" xfId="0" applyNumberFormat="1" applyFont="1" applyBorder="1" applyAlignment="1">
      <alignment horizontal="right"/>
    </xf>
    <xf numFmtId="172" fontId="16" fillId="0" borderId="3" xfId="33" applyNumberFormat="1" applyFont="1" applyBorder="1" applyAlignment="1">
      <alignment horizontal="right"/>
    </xf>
    <xf numFmtId="172" fontId="16" fillId="0" borderId="40" xfId="33" applyNumberFormat="1" applyFont="1" applyBorder="1" applyAlignment="1">
      <alignment horizontal="right"/>
    </xf>
    <xf numFmtId="172" fontId="16" fillId="7" borderId="72" xfId="33" applyNumberFormat="1" applyFont="1" applyFill="1" applyBorder="1" applyAlignment="1">
      <alignment horizontal="right"/>
    </xf>
    <xf numFmtId="170" fontId="16" fillId="0" borderId="3" xfId="0" applyNumberFormat="1" applyFont="1" applyBorder="1" applyAlignment="1">
      <alignment horizontal="center"/>
    </xf>
    <xf numFmtId="176" fontId="16" fillId="0" borderId="3" xfId="0" applyNumberFormat="1" applyFont="1" applyBorder="1" applyAlignment="1">
      <alignment horizontal="right"/>
    </xf>
    <xf numFmtId="172" fontId="16" fillId="6" borderId="3" xfId="0" applyNumberFormat="1" applyFont="1" applyFill="1" applyBorder="1" applyAlignment="1">
      <alignment horizontal="right"/>
    </xf>
    <xf numFmtId="172" fontId="16" fillId="6" borderId="3" xfId="33" applyNumberFormat="1" applyFont="1" applyFill="1" applyBorder="1" applyAlignment="1">
      <alignment horizontal="right"/>
    </xf>
    <xf numFmtId="172" fontId="16" fillId="6" borderId="40" xfId="33" applyNumberFormat="1" applyFont="1" applyFill="1" applyBorder="1" applyAlignment="1">
      <alignment horizontal="right"/>
    </xf>
    <xf numFmtId="172" fontId="16" fillId="6" borderId="72" xfId="33" applyNumberFormat="1" applyFont="1" applyFill="1" applyBorder="1" applyAlignment="1">
      <alignment horizontal="right"/>
    </xf>
    <xf numFmtId="176" fontId="16" fillId="0" borderId="40" xfId="0" applyNumberFormat="1" applyFont="1" applyBorder="1" applyAlignment="1">
      <alignment horizontal="right"/>
    </xf>
    <xf numFmtId="176" fontId="16" fillId="6" borderId="40" xfId="0" applyNumberFormat="1" applyFont="1" applyFill="1" applyBorder="1" applyAlignment="1">
      <alignment horizontal="right"/>
    </xf>
    <xf numFmtId="176" fontId="16" fillId="6" borderId="3" xfId="33" applyNumberFormat="1" applyFont="1" applyFill="1" applyBorder="1" applyAlignment="1">
      <alignment horizontal="right"/>
    </xf>
    <xf numFmtId="176" fontId="16" fillId="6" borderId="40" xfId="33" applyNumberFormat="1" applyFont="1" applyFill="1" applyBorder="1" applyAlignment="1">
      <alignment horizontal="right"/>
    </xf>
    <xf numFmtId="176" fontId="16" fillId="6" borderId="72" xfId="33" applyNumberFormat="1" applyFont="1" applyFill="1" applyBorder="1" applyAlignment="1">
      <alignment horizontal="right"/>
    </xf>
    <xf numFmtId="176" fontId="16" fillId="6" borderId="3" xfId="0" applyNumberFormat="1" applyFont="1" applyFill="1" applyBorder="1" applyAlignment="1">
      <alignment horizontal="right"/>
    </xf>
    <xf numFmtId="176" fontId="16" fillId="0" borderId="3" xfId="33" applyNumberFormat="1" applyFont="1" applyBorder="1" applyAlignment="1">
      <alignment horizontal="right"/>
    </xf>
    <xf numFmtId="176" fontId="16" fillId="0" borderId="40" xfId="33" applyNumberFormat="1" applyFont="1" applyBorder="1" applyAlignment="1">
      <alignment horizontal="right"/>
    </xf>
    <xf numFmtId="0" fontId="16" fillId="0" borderId="6" xfId="0" applyFont="1" applyBorder="1"/>
    <xf numFmtId="6" fontId="16" fillId="0" borderId="5" xfId="0" applyNumberFormat="1" applyFont="1" applyBorder="1" applyAlignment="1">
      <alignment horizontal="center"/>
    </xf>
    <xf numFmtId="42" fontId="16" fillId="0" borderId="5" xfId="0" applyNumberFormat="1" applyFont="1" applyBorder="1" applyAlignment="1">
      <alignment horizontal="center"/>
    </xf>
    <xf numFmtId="42" fontId="16" fillId="0" borderId="5" xfId="0" applyNumberFormat="1" applyFont="1" applyBorder="1"/>
    <xf numFmtId="42" fontId="16" fillId="0" borderId="70" xfId="2" applyNumberFormat="1" applyFont="1" applyBorder="1" applyAlignment="1"/>
    <xf numFmtId="0" fontId="16" fillId="0" borderId="71" xfId="0" applyFont="1" applyBorder="1" applyAlignment="1">
      <alignment horizontal="center" vertical="center"/>
    </xf>
    <xf numFmtId="175" fontId="16" fillId="0" borderId="40" xfId="33" applyNumberFormat="1" applyFont="1" applyBorder="1"/>
    <xf numFmtId="175" fontId="16" fillId="7" borderId="72" xfId="33" applyNumberFormat="1" applyFont="1" applyFill="1" applyBorder="1"/>
    <xf numFmtId="168" fontId="16" fillId="0" borderId="2" xfId="0" applyNumberFormat="1" applyFont="1" applyBorder="1"/>
    <xf numFmtId="168" fontId="16" fillId="0" borderId="3" xfId="0" applyNumberFormat="1" applyFont="1" applyBorder="1" applyAlignment="1">
      <alignment horizontal="center"/>
    </xf>
    <xf numFmtId="168" fontId="16" fillId="0" borderId="0" xfId="0" applyNumberFormat="1" applyFont="1"/>
    <xf numFmtId="3" fontId="16" fillId="0" borderId="6" xfId="0" applyNumberFormat="1" applyFont="1" applyBorder="1"/>
    <xf numFmtId="3" fontId="16" fillId="0" borderId="2" xfId="0" applyNumberFormat="1" applyFont="1" applyBorder="1"/>
    <xf numFmtId="42" fontId="16" fillId="0" borderId="50" xfId="0" applyNumberFormat="1" applyFont="1" applyBorder="1"/>
    <xf numFmtId="42" fontId="16" fillId="0" borderId="40" xfId="0" applyNumberFormat="1" applyFont="1" applyBorder="1" applyAlignment="1">
      <alignment horizontal="center"/>
    </xf>
    <xf numFmtId="42" fontId="16" fillId="0" borderId="40" xfId="2" applyNumberFormat="1" applyFont="1" applyBorder="1" applyAlignment="1">
      <alignment horizontal="center"/>
    </xf>
    <xf numFmtId="42" fontId="16" fillId="0" borderId="3" xfId="2" applyNumberFormat="1" applyFont="1" applyBorder="1" applyAlignment="1">
      <alignment horizontal="center"/>
    </xf>
    <xf numFmtId="42" fontId="16" fillId="7" borderId="72" xfId="2" applyNumberFormat="1" applyFont="1" applyFill="1" applyBorder="1" applyAlignment="1">
      <alignment horizontal="center"/>
    </xf>
    <xf numFmtId="6" fontId="16" fillId="0" borderId="52" xfId="0" applyNumberFormat="1" applyFont="1" applyBorder="1" applyAlignment="1">
      <alignment horizontal="center"/>
    </xf>
    <xf numFmtId="42" fontId="16" fillId="0" borderId="52" xfId="0" applyNumberFormat="1" applyFont="1" applyBorder="1" applyAlignment="1">
      <alignment horizontal="center"/>
    </xf>
    <xf numFmtId="172" fontId="16" fillId="0" borderId="52" xfId="0" applyNumberFormat="1" applyFont="1" applyBorder="1" applyAlignment="1">
      <alignment horizontal="right"/>
    </xf>
    <xf numFmtId="172" fontId="16" fillId="0" borderId="52" xfId="33" applyNumberFormat="1" applyFont="1" applyBorder="1" applyAlignment="1">
      <alignment horizontal="right"/>
    </xf>
    <xf numFmtId="172" fontId="16" fillId="0" borderId="50" xfId="33" applyNumberFormat="1" applyFont="1" applyBorder="1" applyAlignment="1">
      <alignment horizontal="right"/>
    </xf>
    <xf numFmtId="172" fontId="16" fillId="7" borderId="84" xfId="33" applyNumberFormat="1" applyFont="1" applyFill="1" applyBorder="1" applyAlignment="1">
      <alignment horizontal="right"/>
    </xf>
    <xf numFmtId="172" fontId="16" fillId="0" borderId="52" xfId="0" applyNumberFormat="1" applyFont="1" applyBorder="1" applyAlignment="1">
      <alignment horizontal="center"/>
    </xf>
    <xf numFmtId="172" fontId="16" fillId="0" borderId="4" xfId="0" applyNumberFormat="1" applyFont="1" applyBorder="1"/>
    <xf numFmtId="172" fontId="16" fillId="0" borderId="72" xfId="0" applyNumberFormat="1" applyFont="1" applyBorder="1" applyAlignment="1">
      <alignment horizontal="right"/>
    </xf>
    <xf numFmtId="172" fontId="16" fillId="7" borderId="72" xfId="0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2" xfId="0" applyFont="1" applyBorder="1" applyAlignment="1">
      <alignment horizontal="center"/>
    </xf>
    <xf numFmtId="42" fontId="16" fillId="0" borderId="22" xfId="0" applyNumberFormat="1" applyFont="1" applyBorder="1" applyAlignment="1">
      <alignment horizontal="center"/>
    </xf>
    <xf numFmtId="0" fontId="16" fillId="0" borderId="12" xfId="0" applyFont="1" applyBorder="1"/>
    <xf numFmtId="0" fontId="16" fillId="0" borderId="12" xfId="0" applyFont="1" applyBorder="1" applyAlignment="1">
      <alignment horizontal="center"/>
    </xf>
    <xf numFmtId="0" fontId="16" fillId="7" borderId="0" xfId="0" applyFont="1" applyFill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5" fillId="7" borderId="78" xfId="0" applyFont="1" applyFill="1" applyBorder="1" applyAlignment="1">
      <alignment horizontal="center"/>
    </xf>
    <xf numFmtId="41" fontId="16" fillId="0" borderId="21" xfId="0" applyNumberFormat="1" applyFont="1" applyBorder="1" applyAlignment="1">
      <alignment horizontal="center"/>
    </xf>
    <xf numFmtId="43" fontId="16" fillId="0" borderId="4" xfId="0" applyNumberFormat="1" applyFont="1" applyBorder="1" applyAlignment="1">
      <alignment horizontal="center"/>
    </xf>
    <xf numFmtId="43" fontId="16" fillId="0" borderId="54" xfId="0" applyNumberFormat="1" applyFont="1" applyBorder="1" applyAlignment="1">
      <alignment horizontal="center"/>
    </xf>
    <xf numFmtId="43" fontId="16" fillId="0" borderId="21" xfId="0" applyNumberFormat="1" applyFont="1" applyBorder="1" applyAlignment="1">
      <alignment horizontal="center"/>
    </xf>
    <xf numFmtId="43" fontId="16" fillId="4" borderId="4" xfId="0" applyNumberFormat="1" applyFont="1" applyFill="1" applyBorder="1" applyAlignment="1">
      <alignment horizontal="center"/>
    </xf>
    <xf numFmtId="43" fontId="16" fillId="4" borderId="54" xfId="0" applyNumberFormat="1" applyFont="1" applyFill="1" applyBorder="1" applyAlignment="1">
      <alignment horizontal="center"/>
    </xf>
    <xf numFmtId="43" fontId="16" fillId="4" borderId="104" xfId="0" applyNumberFormat="1" applyFont="1" applyFill="1" applyBorder="1" applyAlignment="1">
      <alignment horizontal="center"/>
    </xf>
    <xf numFmtId="43" fontId="16" fillId="4" borderId="21" xfId="0" applyNumberFormat="1" applyFont="1" applyFill="1" applyBorder="1" applyAlignment="1">
      <alignment horizontal="center"/>
    </xf>
    <xf numFmtId="43" fontId="16" fillId="4" borderId="105" xfId="0" applyNumberFormat="1" applyFont="1" applyFill="1" applyBorder="1" applyAlignment="1">
      <alignment horizontal="center"/>
    </xf>
    <xf numFmtId="41" fontId="16" fillId="0" borderId="4" xfId="0" applyNumberFormat="1" applyFont="1" applyBorder="1" applyAlignment="1">
      <alignment horizontal="center"/>
    </xf>
    <xf numFmtId="43" fontId="16" fillId="0" borderId="104" xfId="0" applyNumberFormat="1" applyFont="1" applyBorder="1" applyAlignment="1">
      <alignment horizontal="center"/>
    </xf>
    <xf numFmtId="41" fontId="16" fillId="0" borderId="24" xfId="0" applyNumberFormat="1" applyFont="1" applyBorder="1" applyAlignment="1">
      <alignment horizontal="center"/>
    </xf>
    <xf numFmtId="43" fontId="16" fillId="0" borderId="30" xfId="0" applyNumberFormat="1" applyFont="1" applyBorder="1" applyAlignment="1">
      <alignment horizontal="center"/>
    </xf>
    <xf numFmtId="43" fontId="16" fillId="0" borderId="3" xfId="0" applyNumberFormat="1" applyFont="1" applyBorder="1" applyAlignment="1">
      <alignment horizontal="center"/>
    </xf>
    <xf numFmtId="43" fontId="16" fillId="0" borderId="24" xfId="0" applyNumberFormat="1" applyFont="1" applyBorder="1" applyAlignment="1">
      <alignment horizontal="center"/>
    </xf>
    <xf numFmtId="41" fontId="16" fillId="0" borderId="30" xfId="0" applyNumberFormat="1" applyFont="1" applyBorder="1" applyAlignment="1">
      <alignment horizontal="center"/>
    </xf>
    <xf numFmtId="43" fontId="16" fillId="0" borderId="78" xfId="0" applyNumberFormat="1" applyFont="1" applyBorder="1" applyAlignment="1">
      <alignment horizontal="center"/>
    </xf>
    <xf numFmtId="0" fontId="16" fillId="0" borderId="97" xfId="0" applyFont="1" applyBorder="1" applyAlignment="1">
      <alignment horizontal="center"/>
    </xf>
    <xf numFmtId="41" fontId="16" fillId="0" borderId="76" xfId="0" applyNumberFormat="1" applyFont="1" applyBorder="1" applyAlignment="1">
      <alignment horizontal="center"/>
    </xf>
    <xf numFmtId="43" fontId="16" fillId="0" borderId="0" xfId="0" applyNumberFormat="1" applyFont="1" applyAlignment="1">
      <alignment horizontal="center"/>
    </xf>
    <xf numFmtId="43" fontId="16" fillId="0" borderId="38" xfId="0" applyNumberFormat="1" applyFont="1" applyBorder="1" applyAlignment="1">
      <alignment horizontal="center"/>
    </xf>
    <xf numFmtId="43" fontId="16" fillId="0" borderId="76" xfId="0" applyNumberFormat="1" applyFont="1" applyBorder="1" applyAlignment="1">
      <alignment horizontal="center"/>
    </xf>
    <xf numFmtId="41" fontId="16" fillId="0" borderId="0" xfId="0" applyNumberFormat="1" applyFont="1" applyAlignment="1">
      <alignment horizontal="center"/>
    </xf>
    <xf numFmtId="43" fontId="16" fillId="0" borderId="52" xfId="0" applyNumberFormat="1" applyFont="1" applyBorder="1" applyAlignment="1">
      <alignment horizontal="center"/>
    </xf>
    <xf numFmtId="43" fontId="16" fillId="0" borderId="100" xfId="0" applyNumberFormat="1" applyFont="1" applyBorder="1" applyAlignment="1">
      <alignment horizontal="center"/>
    </xf>
    <xf numFmtId="41" fontId="16" fillId="4" borderId="105" xfId="0" applyNumberFormat="1" applyFont="1" applyFill="1" applyBorder="1" applyAlignment="1">
      <alignment horizontal="center"/>
    </xf>
    <xf numFmtId="41" fontId="16" fillId="0" borderId="29" xfId="0" applyNumberFormat="1" applyFont="1" applyBorder="1" applyAlignment="1">
      <alignment horizontal="center"/>
    </xf>
    <xf numFmtId="43" fontId="16" fillId="0" borderId="72" xfId="0" applyNumberFormat="1" applyFont="1" applyBorder="1" applyAlignment="1">
      <alignment horizontal="center"/>
    </xf>
    <xf numFmtId="43" fontId="16" fillId="0" borderId="23" xfId="0" applyNumberFormat="1" applyFont="1" applyBorder="1" applyAlignment="1">
      <alignment horizontal="center"/>
    </xf>
    <xf numFmtId="41" fontId="16" fillId="4" borderId="13" xfId="0" applyNumberFormat="1" applyFont="1" applyFill="1" applyBorder="1" applyAlignment="1">
      <alignment horizontal="center"/>
    </xf>
    <xf numFmtId="43" fontId="16" fillId="4" borderId="38" xfId="0" applyNumberFormat="1" applyFont="1" applyFill="1" applyBorder="1" applyAlignment="1">
      <alignment horizontal="center"/>
    </xf>
    <xf numFmtId="43" fontId="16" fillId="4" borderId="100" xfId="0" applyNumberFormat="1" applyFont="1" applyFill="1" applyBorder="1" applyAlignment="1">
      <alignment horizontal="center"/>
    </xf>
    <xf numFmtId="41" fontId="16" fillId="4" borderId="106" xfId="0" applyNumberFormat="1" applyFont="1" applyFill="1" applyBorder="1" applyAlignment="1">
      <alignment horizontal="center"/>
    </xf>
    <xf numFmtId="43" fontId="16" fillId="4" borderId="3" xfId="0" applyNumberFormat="1" applyFont="1" applyFill="1" applyBorder="1" applyAlignment="1">
      <alignment horizontal="center"/>
    </xf>
    <xf numFmtId="43" fontId="16" fillId="4" borderId="78" xfId="0" applyNumberFormat="1" applyFont="1" applyFill="1" applyBorder="1" applyAlignment="1">
      <alignment horizontal="center"/>
    </xf>
    <xf numFmtId="41" fontId="16" fillId="0" borderId="69" xfId="0" applyNumberFormat="1" applyFont="1" applyBorder="1" applyAlignment="1">
      <alignment horizontal="center"/>
    </xf>
    <xf numFmtId="43" fontId="16" fillId="0" borderId="7" xfId="0" applyNumberFormat="1" applyFont="1" applyBorder="1" applyAlignment="1">
      <alignment horizontal="center"/>
    </xf>
    <xf numFmtId="43" fontId="16" fillId="0" borderId="107" xfId="0" applyNumberFormat="1" applyFont="1" applyBorder="1" applyAlignment="1">
      <alignment horizontal="center"/>
    </xf>
    <xf numFmtId="43" fontId="16" fillId="0" borderId="69" xfId="0" applyNumberFormat="1" applyFont="1" applyBorder="1" applyAlignment="1">
      <alignment horizontal="center"/>
    </xf>
    <xf numFmtId="41" fontId="16" fillId="0" borderId="7" xfId="0" applyNumberFormat="1" applyFont="1" applyBorder="1" applyAlignment="1">
      <alignment horizontal="center"/>
    </xf>
    <xf numFmtId="43" fontId="16" fillId="4" borderId="108" xfId="0" applyNumberFormat="1" applyFont="1" applyFill="1" applyBorder="1" applyAlignment="1">
      <alignment horizontal="center"/>
    </xf>
    <xf numFmtId="43" fontId="16" fillId="4" borderId="22" xfId="0" applyNumberFormat="1" applyFont="1" applyFill="1" applyBorder="1" applyAlignment="1">
      <alignment horizontal="center"/>
    </xf>
    <xf numFmtId="43" fontId="16" fillId="4" borderId="109" xfId="0" applyNumberFormat="1" applyFont="1" applyFill="1" applyBorder="1" applyAlignment="1">
      <alignment horizontal="center"/>
    </xf>
    <xf numFmtId="4" fontId="16" fillId="0" borderId="0" xfId="0" applyNumberFormat="1" applyFont="1" applyAlignment="1">
      <alignment horizontal="center"/>
    </xf>
    <xf numFmtId="0" fontId="29" fillId="0" borderId="0" xfId="0" applyFont="1"/>
    <xf numFmtId="2" fontId="29" fillId="0" borderId="0" xfId="0" applyNumberFormat="1" applyFont="1"/>
    <xf numFmtId="43" fontId="29" fillId="0" borderId="0" xfId="1" applyFont="1"/>
    <xf numFmtId="43" fontId="16" fillId="0" borderId="0" xfId="0" applyNumberFormat="1" applyFont="1"/>
    <xf numFmtId="43" fontId="16" fillId="0" borderId="0" xfId="1" applyFont="1"/>
    <xf numFmtId="0" fontId="5" fillId="0" borderId="97" xfId="0" applyFont="1" applyBorder="1"/>
    <xf numFmtId="0" fontId="5" fillId="0" borderId="76" xfId="0" applyFont="1" applyBorder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76" xfId="0" applyFont="1" applyBorder="1" applyAlignment="1">
      <alignment horizontal="centerContinuous"/>
    </xf>
    <xf numFmtId="0" fontId="4" fillId="0" borderId="13" xfId="0" applyFont="1" applyBorder="1" applyAlignment="1">
      <alignment horizontal="centerContinuous"/>
    </xf>
    <xf numFmtId="0" fontId="5" fillId="0" borderId="100" xfId="0" applyFont="1" applyBorder="1" applyAlignment="1">
      <alignment horizontal="centerContinuous"/>
    </xf>
    <xf numFmtId="0" fontId="5" fillId="2" borderId="0" xfId="0" applyFont="1" applyFill="1" applyAlignment="1">
      <alignment horizontal="centerContinuous"/>
    </xf>
    <xf numFmtId="0" fontId="5" fillId="2" borderId="76" xfId="0" applyFont="1" applyFill="1" applyBorder="1" applyAlignment="1">
      <alignment horizontal="centerContinuous"/>
    </xf>
    <xf numFmtId="0" fontId="5" fillId="2" borderId="100" xfId="0" applyFont="1" applyFill="1" applyBorder="1" applyAlignment="1">
      <alignment horizontal="centerContinuous"/>
    </xf>
    <xf numFmtId="0" fontId="4" fillId="0" borderId="0" xfId="0" applyFont="1"/>
    <xf numFmtId="0" fontId="4" fillId="0" borderId="38" xfId="0" applyFont="1" applyBorder="1"/>
    <xf numFmtId="0" fontId="4" fillId="0" borderId="76" xfId="0" applyFont="1" applyBorder="1"/>
    <xf numFmtId="0" fontId="4" fillId="0" borderId="13" xfId="0" applyFont="1" applyBorder="1"/>
    <xf numFmtId="0" fontId="4" fillId="0" borderId="100" xfId="0" applyFont="1" applyBorder="1"/>
    <xf numFmtId="0" fontId="4" fillId="0" borderId="1" xfId="0" applyFont="1" applyBorder="1"/>
    <xf numFmtId="0" fontId="4" fillId="0" borderId="31" xfId="0" applyFont="1" applyBorder="1"/>
    <xf numFmtId="0" fontId="4" fillId="0" borderId="36" xfId="0" applyFont="1" applyBorder="1"/>
    <xf numFmtId="0" fontId="4" fillId="0" borderId="11" xfId="0" applyFont="1" applyBorder="1"/>
    <xf numFmtId="0" fontId="4" fillId="0" borderId="99" xfId="0" applyFont="1" applyBorder="1"/>
    <xf numFmtId="0" fontId="3" fillId="3" borderId="1" xfId="0" applyFont="1" applyFill="1" applyBorder="1" applyAlignment="1">
      <alignment horizontal="centerContinuous"/>
    </xf>
    <xf numFmtId="0" fontId="3" fillId="3" borderId="99" xfId="0" applyFont="1" applyFill="1" applyBorder="1" applyAlignment="1">
      <alignment horizontal="centerContinuous"/>
    </xf>
    <xf numFmtId="42" fontId="16" fillId="0" borderId="0" xfId="0" applyNumberFormat="1" applyFont="1"/>
    <xf numFmtId="173" fontId="16" fillId="0" borderId="0" xfId="0" applyNumberFormat="1" applyFont="1"/>
    <xf numFmtId="0" fontId="16" fillId="0" borderId="8" xfId="0" applyFont="1" applyBorder="1"/>
    <xf numFmtId="171" fontId="16" fillId="0" borderId="8" xfId="0" applyNumberFormat="1" applyFont="1" applyBorder="1" applyAlignment="1">
      <alignment horizontal="center"/>
    </xf>
    <xf numFmtId="42" fontId="16" fillId="0" borderId="14" xfId="0" applyNumberFormat="1" applyFont="1" applyBorder="1" applyAlignment="1">
      <alignment horizontal="center"/>
    </xf>
    <xf numFmtId="171" fontId="16" fillId="0" borderId="15" xfId="0" applyNumberFormat="1" applyFont="1" applyBorder="1" applyAlignment="1">
      <alignment horizontal="center"/>
    </xf>
    <xf numFmtId="42" fontId="16" fillId="0" borderId="16" xfId="0" applyNumberFormat="1" applyFont="1" applyBorder="1" applyAlignment="1">
      <alignment horizontal="center"/>
    </xf>
    <xf numFmtId="173" fontId="16" fillId="0" borderId="16" xfId="0" applyNumberFormat="1" applyFont="1" applyBorder="1" applyAlignment="1">
      <alignment horizontal="right"/>
    </xf>
    <xf numFmtId="173" fontId="16" fillId="0" borderId="37" xfId="0" applyNumberFormat="1" applyFont="1" applyBorder="1" applyAlignment="1">
      <alignment horizontal="right"/>
    </xf>
    <xf numFmtId="0" fontId="16" fillId="2" borderId="17" xfId="0" applyFont="1" applyFill="1" applyBorder="1"/>
    <xf numFmtId="171" fontId="16" fillId="2" borderId="11" xfId="0" applyNumberFormat="1" applyFont="1" applyFill="1" applyBorder="1" applyAlignment="1">
      <alignment horizontal="center"/>
    </xf>
    <xf numFmtId="42" fontId="16" fillId="2" borderId="33" xfId="0" applyNumberFormat="1" applyFont="1" applyFill="1" applyBorder="1" applyAlignment="1">
      <alignment horizontal="center"/>
    </xf>
    <xf numFmtId="171" fontId="16" fillId="2" borderId="1" xfId="0" applyNumberFormat="1" applyFont="1" applyFill="1" applyBorder="1" applyAlignment="1">
      <alignment horizontal="center"/>
    </xf>
    <xf numFmtId="42" fontId="16" fillId="2" borderId="31" xfId="0" applyNumberFormat="1" applyFont="1" applyFill="1" applyBorder="1" applyAlignment="1">
      <alignment horizontal="center"/>
    </xf>
    <xf numFmtId="173" fontId="16" fillId="2" borderId="31" xfId="0" applyNumberFormat="1" applyFont="1" applyFill="1" applyBorder="1" applyAlignment="1">
      <alignment horizontal="right"/>
    </xf>
    <xf numFmtId="173" fontId="16" fillId="2" borderId="36" xfId="0" applyNumberFormat="1" applyFont="1" applyFill="1" applyBorder="1" applyAlignment="1">
      <alignment horizontal="right"/>
    </xf>
    <xf numFmtId="42" fontId="16" fillId="0" borderId="0" xfId="0" applyNumberFormat="1" applyFont="1" applyAlignment="1">
      <alignment horizontal="center"/>
    </xf>
    <xf numFmtId="173" fontId="16" fillId="0" borderId="0" xfId="0" applyNumberFormat="1" applyFont="1" applyAlignment="1">
      <alignment horizontal="right"/>
    </xf>
    <xf numFmtId="0" fontId="16" fillId="2" borderId="11" xfId="0" applyFont="1" applyFill="1" applyBorder="1"/>
    <xf numFmtId="173" fontId="16" fillId="0" borderId="0" xfId="0" applyNumberFormat="1" applyFont="1" applyAlignment="1">
      <alignment horizontal="center"/>
    </xf>
    <xf numFmtId="174" fontId="30" fillId="0" borderId="0" xfId="0" applyNumberFormat="1" applyFont="1" applyAlignment="1">
      <alignment horizontal="left"/>
    </xf>
    <xf numFmtId="0" fontId="30" fillId="0" borderId="0" xfId="0" applyFont="1"/>
    <xf numFmtId="3" fontId="30" fillId="0" borderId="0" xfId="0" applyNumberFormat="1" applyFont="1" applyAlignment="1">
      <alignment horizontal="right"/>
    </xf>
    <xf numFmtId="4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0" fontId="30" fillId="0" borderId="0" xfId="0" applyFont="1" applyAlignment="1">
      <alignment horizontal="left"/>
    </xf>
    <xf numFmtId="4" fontId="30" fillId="0" borderId="65" xfId="0" applyNumberFormat="1" applyFont="1" applyBorder="1" applyAlignment="1">
      <alignment horizontal="right"/>
    </xf>
    <xf numFmtId="3" fontId="30" fillId="0" borderId="0" xfId="0" applyNumberFormat="1" applyFont="1"/>
    <xf numFmtId="177" fontId="30" fillId="0" borderId="0" xfId="0" applyNumberFormat="1" applyFont="1" applyAlignment="1">
      <alignment horizontal="left"/>
    </xf>
    <xf numFmtId="169" fontId="30" fillId="0" borderId="0" xfId="0" applyNumberFormat="1" applyFont="1"/>
    <xf numFmtId="3" fontId="31" fillId="0" borderId="0" xfId="1" applyNumberFormat="1" applyFont="1"/>
    <xf numFmtId="17" fontId="31" fillId="0" borderId="76" xfId="0" applyNumberFormat="1" applyFont="1" applyBorder="1"/>
    <xf numFmtId="44" fontId="16" fillId="0" borderId="40" xfId="33" applyNumberFormat="1" applyFont="1" applyBorder="1" applyAlignment="1">
      <alignment horizontal="right"/>
    </xf>
    <xf numFmtId="44" fontId="16" fillId="0" borderId="72" xfId="33" applyNumberFormat="1" applyFont="1" applyBorder="1" applyAlignment="1">
      <alignment horizontal="right"/>
    </xf>
    <xf numFmtId="44" fontId="16" fillId="0" borderId="70" xfId="2" applyFont="1" applyFill="1" applyBorder="1" applyAlignment="1">
      <alignment horizontal="right"/>
    </xf>
    <xf numFmtId="44" fontId="16" fillId="0" borderId="81" xfId="2" applyFont="1" applyFill="1" applyBorder="1" applyAlignment="1">
      <alignment horizontal="right"/>
    </xf>
    <xf numFmtId="44" fontId="16" fillId="0" borderId="40" xfId="2" applyFont="1" applyFill="1" applyBorder="1" applyAlignment="1">
      <alignment horizontal="right"/>
    </xf>
    <xf numFmtId="42" fontId="16" fillId="0" borderId="72" xfId="2" applyNumberFormat="1" applyFont="1" applyFill="1" applyBorder="1" applyAlignment="1">
      <alignment horizontal="right"/>
    </xf>
    <xf numFmtId="44" fontId="16" fillId="0" borderId="72" xfId="2" applyFont="1" applyFill="1" applyBorder="1" applyAlignment="1">
      <alignment horizontal="right"/>
    </xf>
    <xf numFmtId="3" fontId="19" fillId="0" borderId="0" xfId="0" applyNumberFormat="1" applyFont="1" applyAlignment="1">
      <alignment horizontal="center"/>
    </xf>
    <xf numFmtId="4" fontId="19" fillId="0" borderId="0" xfId="0" applyNumberFormat="1" applyFont="1" applyAlignment="1">
      <alignment horizontal="center"/>
    </xf>
    <xf numFmtId="0" fontId="2" fillId="0" borderId="0" xfId="0" applyFont="1"/>
    <xf numFmtId="0" fontId="5" fillId="0" borderId="80" xfId="0" applyFont="1" applyBorder="1"/>
    <xf numFmtId="0" fontId="5" fillId="0" borderId="48" xfId="0" applyFont="1" applyBorder="1" applyAlignment="1">
      <alignment horizontal="center"/>
    </xf>
    <xf numFmtId="0" fontId="5" fillId="0" borderId="48" xfId="33" applyFont="1" applyBorder="1" applyAlignment="1">
      <alignment horizontal="center"/>
    </xf>
    <xf numFmtId="0" fontId="5" fillId="7" borderId="98" xfId="33" applyFont="1" applyFill="1" applyBorder="1" applyAlignment="1">
      <alignment horizontal="center"/>
    </xf>
    <xf numFmtId="173" fontId="4" fillId="2" borderId="79" xfId="0" applyNumberFormat="1" applyFont="1" applyFill="1" applyBorder="1" applyAlignment="1">
      <alignment horizontal="centerContinuous"/>
    </xf>
    <xf numFmtId="173" fontId="4" fillId="2" borderId="82" xfId="0" applyNumberFormat="1" applyFont="1" applyFill="1" applyBorder="1" applyAlignment="1">
      <alignment horizontal="centerContinuous"/>
    </xf>
    <xf numFmtId="0" fontId="5" fillId="2" borderId="9" xfId="0" applyFont="1" applyFill="1" applyBorder="1"/>
    <xf numFmtId="0" fontId="5" fillId="2" borderId="9" xfId="0" applyFont="1" applyFill="1" applyBorder="1" applyAlignment="1">
      <alignment horizontal="centerContinuous"/>
    </xf>
    <xf numFmtId="42" fontId="5" fillId="2" borderId="32" xfId="0" applyNumberFormat="1" applyFont="1" applyFill="1" applyBorder="1" applyAlignment="1">
      <alignment horizontal="centerContinuous"/>
    </xf>
    <xf numFmtId="0" fontId="5" fillId="2" borderId="10" xfId="0" applyFont="1" applyFill="1" applyBorder="1" applyAlignment="1">
      <alignment horizontal="centerContinuous"/>
    </xf>
    <xf numFmtId="42" fontId="5" fillId="2" borderId="10" xfId="0" applyNumberFormat="1" applyFont="1" applyFill="1" applyBorder="1" applyAlignment="1">
      <alignment horizontal="centerContinuous"/>
    </xf>
    <xf numFmtId="173" fontId="5" fillId="2" borderId="10" xfId="0" applyNumberFormat="1" applyFont="1" applyFill="1" applyBorder="1" applyAlignment="1">
      <alignment horizontal="centerContinuous"/>
    </xf>
    <xf numFmtId="173" fontId="5" fillId="2" borderId="20" xfId="0" applyNumberFormat="1" applyFont="1" applyFill="1" applyBorder="1" applyAlignment="1">
      <alignment horizontal="centerContinuous"/>
    </xf>
    <xf numFmtId="0" fontId="5" fillId="2" borderId="11" xfId="0" applyFont="1" applyFill="1" applyBorder="1"/>
    <xf numFmtId="0" fontId="5" fillId="2" borderId="11" xfId="0" applyFont="1" applyFill="1" applyBorder="1" applyAlignment="1">
      <alignment horizontal="center"/>
    </xf>
    <xf numFmtId="42" fontId="5" fillId="2" borderId="33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42" fontId="5" fillId="2" borderId="31" xfId="0" applyNumberFormat="1" applyFont="1" applyFill="1" applyBorder="1" applyAlignment="1">
      <alignment horizontal="center"/>
    </xf>
    <xf numFmtId="173" fontId="5" fillId="2" borderId="31" xfId="0" applyNumberFormat="1" applyFont="1" applyFill="1" applyBorder="1" applyAlignment="1">
      <alignment horizontal="center"/>
    </xf>
    <xf numFmtId="173" fontId="5" fillId="2" borderId="36" xfId="0" applyNumberFormat="1" applyFont="1" applyFill="1" applyBorder="1" applyAlignment="1">
      <alignment horizontal="center"/>
    </xf>
    <xf numFmtId="171" fontId="5" fillId="2" borderId="10" xfId="0" applyNumberFormat="1" applyFont="1" applyFill="1" applyBorder="1" applyAlignment="1">
      <alignment horizontal="centerContinuous"/>
    </xf>
    <xf numFmtId="171" fontId="5" fillId="2" borderId="11" xfId="0" applyNumberFormat="1" applyFont="1" applyFill="1" applyBorder="1" applyAlignment="1">
      <alignment horizontal="center"/>
    </xf>
    <xf numFmtId="171" fontId="5" fillId="2" borderId="1" xfId="0" applyNumberFormat="1" applyFont="1" applyFill="1" applyBorder="1" applyAlignment="1">
      <alignment horizontal="center"/>
    </xf>
    <xf numFmtId="173" fontId="5" fillId="2" borderId="31" xfId="0" applyNumberFormat="1" applyFont="1" applyFill="1" applyBorder="1" applyAlignment="1">
      <alignment horizontal="right"/>
    </xf>
    <xf numFmtId="0" fontId="5" fillId="0" borderId="76" xfId="0" applyFont="1" applyBorder="1" applyAlignment="1">
      <alignment horizontal="center"/>
    </xf>
    <xf numFmtId="0" fontId="5" fillId="2" borderId="0" xfId="0" quotePrefix="1" applyFont="1" applyFill="1" applyAlignment="1">
      <alignment horizontal="centerContinuous"/>
    </xf>
    <xf numFmtId="0" fontId="5" fillId="2" borderId="76" xfId="0" applyFont="1" applyFill="1" applyBorder="1" applyAlignment="1">
      <alignment horizontal="center"/>
    </xf>
    <xf numFmtId="0" fontId="5" fillId="2" borderId="101" xfId="0" applyFont="1" applyFill="1" applyBorder="1" applyAlignment="1">
      <alignment horizontal="center"/>
    </xf>
    <xf numFmtId="0" fontId="5" fillId="2" borderId="118" xfId="0" applyFont="1" applyFill="1" applyBorder="1" applyAlignment="1">
      <alignment horizontal="center"/>
    </xf>
    <xf numFmtId="0" fontId="5" fillId="0" borderId="97" xfId="0" applyFont="1" applyBorder="1" applyAlignment="1">
      <alignment horizontal="center"/>
    </xf>
    <xf numFmtId="0" fontId="5" fillId="2" borderId="38" xfId="0" applyFont="1" applyFill="1" applyBorder="1" applyAlignment="1">
      <alignment horizontal="centerContinuous"/>
    </xf>
    <xf numFmtId="0" fontId="5" fillId="2" borderId="55" xfId="0" applyFont="1" applyFill="1" applyBorder="1" applyAlignment="1">
      <alignment horizontal="centerContinuous"/>
    </xf>
    <xf numFmtId="0" fontId="5" fillId="2" borderId="0" xfId="0" applyFont="1" applyFill="1" applyAlignment="1">
      <alignment horizontal="center"/>
    </xf>
    <xf numFmtId="0" fontId="5" fillId="2" borderId="65" xfId="0" quotePrefix="1" applyFont="1" applyFill="1" applyBorder="1" applyAlignment="1">
      <alignment horizontal="centerContinuous"/>
    </xf>
    <xf numFmtId="0" fontId="5" fillId="2" borderId="100" xfId="0" applyFont="1" applyFill="1" applyBorder="1" applyAlignment="1">
      <alignment horizontal="center"/>
    </xf>
    <xf numFmtId="0" fontId="5" fillId="0" borderId="102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5" fillId="2" borderId="31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/>
    </xf>
    <xf numFmtId="0" fontId="5" fillId="2" borderId="103" xfId="0" applyFont="1" applyFill="1" applyBorder="1" applyAlignment="1">
      <alignment horizontal="center"/>
    </xf>
    <xf numFmtId="0" fontId="5" fillId="2" borderId="99" xfId="0" applyFont="1" applyFill="1" applyBorder="1" applyAlignment="1">
      <alignment horizontal="center"/>
    </xf>
    <xf numFmtId="0" fontId="5" fillId="2" borderId="114" xfId="0" applyFont="1" applyFill="1" applyBorder="1" applyAlignment="1">
      <alignment horizontal="center"/>
    </xf>
    <xf numFmtId="0" fontId="5" fillId="2" borderId="33" xfId="0" applyFont="1" applyFill="1" applyBorder="1" applyAlignment="1">
      <alignment horizontal="center"/>
    </xf>
    <xf numFmtId="0" fontId="5" fillId="0" borderId="110" xfId="0" applyFont="1" applyBorder="1" applyAlignment="1">
      <alignment horizontal="center"/>
    </xf>
    <xf numFmtId="0" fontId="5" fillId="0" borderId="111" xfId="0" applyFont="1" applyBorder="1" applyAlignment="1">
      <alignment horizontal="center"/>
    </xf>
    <xf numFmtId="0" fontId="5" fillId="0" borderId="113" xfId="0" applyFont="1" applyBorder="1" applyAlignment="1">
      <alignment horizontal="center"/>
    </xf>
    <xf numFmtId="0" fontId="5" fillId="0" borderId="18" xfId="0" applyFont="1" applyBorder="1"/>
    <xf numFmtId="0" fontId="5" fillId="0" borderId="2" xfId="0" applyFont="1" applyBorder="1"/>
    <xf numFmtId="0" fontId="5" fillId="4" borderId="9" xfId="0" applyFont="1" applyFill="1" applyBorder="1" applyAlignment="1">
      <alignment horizontal="centerContinuous"/>
    </xf>
    <xf numFmtId="0" fontId="5" fillId="4" borderId="10" xfId="0" applyFont="1" applyFill="1" applyBorder="1" applyAlignment="1">
      <alignment horizontal="centerContinuous"/>
    </xf>
    <xf numFmtId="0" fontId="5" fillId="4" borderId="20" xfId="0" applyFont="1" applyFill="1" applyBorder="1" applyAlignment="1">
      <alignment horizontal="centerContinuous"/>
    </xf>
    <xf numFmtId="0" fontId="5" fillId="4" borderId="110" xfId="0" applyFont="1" applyFill="1" applyBorder="1" applyAlignment="1">
      <alignment horizontal="center"/>
    </xf>
    <xf numFmtId="172" fontId="5" fillId="4" borderId="47" xfId="0" applyNumberFormat="1" applyFont="1" applyFill="1" applyBorder="1" applyAlignment="1">
      <alignment horizontal="centerContinuous"/>
    </xf>
    <xf numFmtId="0" fontId="5" fillId="4" borderId="48" xfId="0" applyFont="1" applyFill="1" applyBorder="1" applyAlignment="1">
      <alignment horizontal="centerContinuous"/>
    </xf>
    <xf numFmtId="0" fontId="5" fillId="4" borderId="98" xfId="0" applyFont="1" applyFill="1" applyBorder="1" applyAlignment="1">
      <alignment horizontal="centerContinuous"/>
    </xf>
    <xf numFmtId="0" fontId="5" fillId="4" borderId="11" xfId="0" applyFont="1" applyFill="1" applyBorder="1" applyAlignment="1">
      <alignment horizontal="centerContinuous"/>
    </xf>
    <xf numFmtId="0" fontId="5" fillId="4" borderId="1" xfId="0" applyFont="1" applyFill="1" applyBorder="1" applyAlignment="1">
      <alignment horizontal="centerContinuous"/>
    </xf>
    <xf numFmtId="0" fontId="5" fillId="4" borderId="36" xfId="0" applyFont="1" applyFill="1" applyBorder="1" applyAlignment="1">
      <alignment horizontal="centerContinuous"/>
    </xf>
    <xf numFmtId="0" fontId="5" fillId="4" borderId="111" xfId="0" applyFont="1" applyFill="1" applyBorder="1" applyAlignment="1">
      <alignment horizontal="center"/>
    </xf>
    <xf numFmtId="0" fontId="5" fillId="4" borderId="112" xfId="0" applyFont="1" applyFill="1" applyBorder="1" applyAlignment="1">
      <alignment horizontal="centerContinuous"/>
    </xf>
    <xf numFmtId="0" fontId="5" fillId="4" borderId="73" xfId="0" applyFont="1" applyFill="1" applyBorder="1" applyAlignment="1">
      <alignment horizontal="centerContinuous"/>
    </xf>
    <xf numFmtId="0" fontId="5" fillId="4" borderId="83" xfId="0" applyFont="1" applyFill="1" applyBorder="1" applyAlignment="1">
      <alignment horizontal="centerContinuous"/>
    </xf>
    <xf numFmtId="0" fontId="5" fillId="0" borderId="2" xfId="0" applyFont="1" applyBorder="1" applyAlignment="1">
      <alignment horizontal="center"/>
    </xf>
    <xf numFmtId="0" fontId="5" fillId="4" borderId="19" xfId="0" applyFont="1" applyFill="1" applyBorder="1" applyAlignment="1">
      <alignment horizontal="centerContinuous"/>
    </xf>
    <xf numFmtId="0" fontId="5" fillId="4" borderId="32" xfId="0" applyFont="1" applyFill="1" applyBorder="1" applyAlignment="1">
      <alignment horizontal="centerContinuous"/>
    </xf>
    <xf numFmtId="0" fontId="5" fillId="4" borderId="101" xfId="0" applyFont="1" applyFill="1" applyBorder="1" applyAlignment="1">
      <alignment horizontal="centerContinuous"/>
    </xf>
    <xf numFmtId="0" fontId="5" fillId="4" borderId="38" xfId="0" applyFont="1" applyFill="1" applyBorder="1" applyAlignment="1">
      <alignment horizontal="centerContinuous"/>
    </xf>
    <xf numFmtId="0" fontId="5" fillId="4" borderId="65" xfId="0" applyFont="1" applyFill="1" applyBorder="1" applyAlignment="1">
      <alignment horizontal="centerContinuous"/>
    </xf>
    <xf numFmtId="0" fontId="5" fillId="4" borderId="118" xfId="0" applyFont="1" applyFill="1" applyBorder="1" applyAlignment="1">
      <alignment horizontal="centerContinuous"/>
    </xf>
    <xf numFmtId="0" fontId="5" fillId="0" borderId="6" xfId="0" applyFont="1" applyBorder="1" applyAlignment="1">
      <alignment horizontal="center"/>
    </xf>
    <xf numFmtId="0" fontId="5" fillId="4" borderId="114" xfId="0" applyFont="1" applyFill="1" applyBorder="1" applyAlignment="1">
      <alignment horizontal="centerContinuous"/>
    </xf>
    <xf numFmtId="0" fontId="5" fillId="4" borderId="31" xfId="0" applyFont="1" applyFill="1" applyBorder="1" applyAlignment="1">
      <alignment horizontal="centerContinuous"/>
    </xf>
    <xf numFmtId="0" fontId="5" fillId="4" borderId="33" xfId="0" applyFont="1" applyFill="1" applyBorder="1" applyAlignment="1">
      <alignment horizontal="centerContinuous"/>
    </xf>
    <xf numFmtId="0" fontId="5" fillId="4" borderId="113" xfId="0" applyFont="1" applyFill="1" applyBorder="1" applyAlignment="1">
      <alignment horizontal="center"/>
    </xf>
    <xf numFmtId="0" fontId="5" fillId="4" borderId="116" xfId="0" applyFont="1" applyFill="1" applyBorder="1" applyAlignment="1">
      <alignment horizontal="centerContinuous"/>
    </xf>
    <xf numFmtId="0" fontId="5" fillId="4" borderId="54" xfId="0" applyFont="1" applyFill="1" applyBorder="1" applyAlignment="1">
      <alignment horizontal="centerContinuous"/>
    </xf>
    <xf numFmtId="0" fontId="5" fillId="4" borderId="53" xfId="0" applyFont="1" applyFill="1" applyBorder="1" applyAlignment="1">
      <alignment horizontal="centerContinuous"/>
    </xf>
    <xf numFmtId="0" fontId="5" fillId="4" borderId="120" xfId="0" applyFont="1" applyFill="1" applyBorder="1" applyAlignment="1">
      <alignment horizontal="centerContinuous"/>
    </xf>
    <xf numFmtId="173" fontId="4" fillId="2" borderId="79" xfId="0" applyNumberFormat="1" applyFont="1" applyFill="1" applyBorder="1" applyAlignment="1">
      <alignment horizontal="center"/>
    </xf>
    <xf numFmtId="43" fontId="6" fillId="0" borderId="10" xfId="1" applyFont="1" applyBorder="1"/>
    <xf numFmtId="41" fontId="12" fillId="0" borderId="10" xfId="1" applyNumberFormat="1" applyFont="1" applyBorder="1"/>
    <xf numFmtId="41" fontId="7" fillId="0" borderId="29" xfId="1" applyNumberFormat="1" applyFont="1" applyBorder="1"/>
    <xf numFmtId="41" fontId="6" fillId="0" borderId="79" xfId="0" applyNumberFormat="1" applyFont="1" applyBorder="1"/>
    <xf numFmtId="43" fontId="6" fillId="0" borderId="79" xfId="1" applyFont="1" applyBorder="1"/>
    <xf numFmtId="43" fontId="16" fillId="0" borderId="22" xfId="0" applyNumberFormat="1" applyFont="1" applyBorder="1" applyAlignment="1">
      <alignment horizontal="center"/>
    </xf>
    <xf numFmtId="43" fontId="16" fillId="0" borderId="121" xfId="0" applyNumberFormat="1" applyFont="1" applyBorder="1" applyAlignment="1">
      <alignment horizontal="center"/>
    </xf>
    <xf numFmtId="4" fontId="34" fillId="0" borderId="65" xfId="0" applyNumberFormat="1" applyFont="1" applyBorder="1" applyAlignment="1">
      <alignment horizontal="right"/>
    </xf>
    <xf numFmtId="0" fontId="35" fillId="5" borderId="47" xfId="0" applyFont="1" applyFill="1" applyBorder="1"/>
    <xf numFmtId="0" fontId="16" fillId="5" borderId="48" xfId="0" applyFont="1" applyFill="1" applyBorder="1"/>
    <xf numFmtId="0" fontId="16" fillId="5" borderId="49" xfId="0" applyFont="1" applyFill="1" applyBorder="1"/>
    <xf numFmtId="0" fontId="15" fillId="0" borderId="0" xfId="0" applyFont="1"/>
    <xf numFmtId="0" fontId="35" fillId="0" borderId="0" xfId="0" quotePrefix="1" applyFont="1" applyAlignment="1">
      <alignment horizontal="centerContinuous"/>
    </xf>
    <xf numFmtId="0" fontId="15" fillId="0" borderId="0" xfId="0" applyFont="1" applyAlignment="1">
      <alignment horizontal="centerContinuous"/>
    </xf>
    <xf numFmtId="0" fontId="16" fillId="0" borderId="0" xfId="0" applyFont="1" applyAlignment="1">
      <alignment horizontal="centerContinuous"/>
    </xf>
    <xf numFmtId="0" fontId="15" fillId="0" borderId="0" xfId="0" applyFont="1" applyAlignment="1">
      <alignment horizontal="right"/>
    </xf>
    <xf numFmtId="49" fontId="15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39" xfId="0" applyFont="1" applyBorder="1" applyAlignment="1">
      <alignment horizontal="center"/>
    </xf>
    <xf numFmtId="43" fontId="16" fillId="0" borderId="3" xfId="1" applyFont="1" applyBorder="1"/>
    <xf numFmtId="0" fontId="35" fillId="0" borderId="50" xfId="0" applyFont="1" applyBorder="1"/>
    <xf numFmtId="0" fontId="16" fillId="0" borderId="51" xfId="0" applyFont="1" applyBorder="1"/>
    <xf numFmtId="0" fontId="16" fillId="0" borderId="52" xfId="0" applyFont="1" applyBorder="1"/>
    <xf numFmtId="0" fontId="36" fillId="0" borderId="52" xfId="0" applyFont="1" applyBorder="1" applyAlignment="1">
      <alignment horizontal="center"/>
    </xf>
    <xf numFmtId="0" fontId="35" fillId="0" borderId="53" xfId="0" applyFont="1" applyBorder="1" applyAlignment="1">
      <alignment horizontal="center"/>
    </xf>
    <xf numFmtId="43" fontId="16" fillId="0" borderId="4" xfId="0" applyNumberFormat="1" applyFont="1" applyBorder="1"/>
    <xf numFmtId="4" fontId="35" fillId="0" borderId="54" xfId="0" applyNumberFormat="1" applyFont="1" applyBorder="1"/>
    <xf numFmtId="43" fontId="36" fillId="0" borderId="54" xfId="1" applyFont="1" applyBorder="1"/>
    <xf numFmtId="4" fontId="16" fillId="0" borderId="0" xfId="0" applyNumberFormat="1" applyFont="1"/>
    <xf numFmtId="4" fontId="16" fillId="0" borderId="38" xfId="0" applyNumberFormat="1" applyFont="1" applyBorder="1"/>
    <xf numFmtId="0" fontId="16" fillId="0" borderId="38" xfId="0" applyFont="1" applyBorder="1"/>
    <xf numFmtId="43" fontId="16" fillId="0" borderId="38" xfId="0" applyNumberFormat="1" applyFont="1" applyBorder="1"/>
    <xf numFmtId="43" fontId="36" fillId="0" borderId="50" xfId="1" applyFont="1" applyBorder="1"/>
    <xf numFmtId="0" fontId="36" fillId="0" borderId="44" xfId="0" applyFont="1" applyBorder="1"/>
    <xf numFmtId="4" fontId="16" fillId="0" borderId="52" xfId="0" applyNumberFormat="1" applyFont="1" applyBorder="1"/>
    <xf numFmtId="4" fontId="35" fillId="0" borderId="53" xfId="0" applyNumberFormat="1" applyFont="1" applyBorder="1"/>
    <xf numFmtId="0" fontId="35" fillId="0" borderId="55" xfId="0" applyFont="1" applyBorder="1"/>
    <xf numFmtId="4" fontId="35" fillId="0" borderId="39" xfId="0" applyNumberFormat="1" applyFont="1" applyBorder="1"/>
    <xf numFmtId="43" fontId="36" fillId="0" borderId="56" xfId="1" applyFont="1" applyBorder="1"/>
    <xf numFmtId="0" fontId="36" fillId="0" borderId="27" xfId="0" applyFont="1" applyBorder="1"/>
    <xf numFmtId="0" fontId="35" fillId="0" borderId="3" xfId="0" applyFont="1" applyBorder="1"/>
    <xf numFmtId="0" fontId="35" fillId="0" borderId="3" xfId="0" applyFont="1" applyBorder="1" applyAlignment="1">
      <alignment horizontal="center"/>
    </xf>
    <xf numFmtId="43" fontId="37" fillId="0" borderId="51" xfId="1" applyFont="1" applyBorder="1"/>
    <xf numFmtId="0" fontId="37" fillId="0" borderId="51" xfId="0" applyFont="1" applyBorder="1"/>
    <xf numFmtId="43" fontId="37" fillId="0" borderId="0" xfId="1" applyFont="1"/>
    <xf numFmtId="0" fontId="37" fillId="0" borderId="0" xfId="0" applyFont="1"/>
    <xf numFmtId="43" fontId="16" fillId="0" borderId="3" xfId="1" applyFont="1" applyBorder="1" applyAlignment="1">
      <alignment horizontal="right"/>
    </xf>
    <xf numFmtId="0" fontId="16" fillId="0" borderId="3" xfId="0" applyFont="1" applyBorder="1" applyAlignment="1">
      <alignment horizontal="right"/>
    </xf>
    <xf numFmtId="0" fontId="16" fillId="0" borderId="54" xfId="0" applyFont="1" applyBorder="1"/>
    <xf numFmtId="43" fontId="37" fillId="0" borderId="103" xfId="1" applyFont="1" applyBorder="1"/>
    <xf numFmtId="0" fontId="37" fillId="0" borderId="4" xfId="0" applyFont="1" applyBorder="1"/>
    <xf numFmtId="43" fontId="15" fillId="0" borderId="3" xfId="1" applyFont="1" applyBorder="1" applyAlignment="1">
      <alignment horizontal="right"/>
    </xf>
    <xf numFmtId="43" fontId="15" fillId="0" borderId="3" xfId="1" applyFont="1" applyBorder="1"/>
    <xf numFmtId="0" fontId="16" fillId="0" borderId="0" xfId="0" applyFont="1" applyAlignment="1">
      <alignment horizontal="right"/>
    </xf>
    <xf numFmtId="43" fontId="37" fillId="0" borderId="39" xfId="1" applyFont="1" applyBorder="1"/>
    <xf numFmtId="49" fontId="15" fillId="0" borderId="52" xfId="0" applyNumberFormat="1" applyFont="1" applyBorder="1" applyAlignment="1">
      <alignment horizontal="center"/>
    </xf>
    <xf numFmtId="0" fontId="15" fillId="0" borderId="52" xfId="0" applyFont="1" applyBorder="1" applyAlignment="1">
      <alignment horizontal="center"/>
    </xf>
    <xf numFmtId="0" fontId="38" fillId="0" borderId="57" xfId="0" applyFont="1" applyBorder="1" applyAlignment="1">
      <alignment horizontal="right"/>
    </xf>
    <xf numFmtId="2" fontId="15" fillId="0" borderId="58" xfId="0" applyNumberFormat="1" applyFont="1" applyBorder="1" applyAlignment="1">
      <alignment horizontal="center"/>
    </xf>
    <xf numFmtId="0" fontId="15" fillId="0" borderId="58" xfId="0" applyFont="1" applyBorder="1" applyAlignment="1">
      <alignment horizontal="center"/>
    </xf>
    <xf numFmtId="0" fontId="15" fillId="0" borderId="59" xfId="0" applyFont="1" applyBorder="1" applyAlignment="1">
      <alignment horizontal="center"/>
    </xf>
    <xf numFmtId="49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38" fillId="0" borderId="60" xfId="0" applyFont="1" applyBorder="1" applyAlignment="1">
      <alignment horizontal="right"/>
    </xf>
    <xf numFmtId="43" fontId="38" fillId="0" borderId="0" xfId="1" applyFont="1"/>
    <xf numFmtId="43" fontId="38" fillId="0" borderId="0" xfId="1" applyFont="1" applyAlignment="1">
      <alignment horizontal="center"/>
    </xf>
    <xf numFmtId="43" fontId="38" fillId="0" borderId="61" xfId="1" applyFont="1" applyBorder="1" applyAlignment="1">
      <alignment horizontal="center"/>
    </xf>
    <xf numFmtId="0" fontId="38" fillId="0" borderId="0" xfId="0" applyFont="1" applyAlignment="1">
      <alignment horizontal="right"/>
    </xf>
    <xf numFmtId="49" fontId="38" fillId="0" borderId="0" xfId="0" applyNumberFormat="1" applyFont="1" applyAlignment="1">
      <alignment horizontal="center"/>
    </xf>
    <xf numFmtId="0" fontId="38" fillId="0" borderId="0" xfId="0" applyFont="1" applyAlignment="1">
      <alignment horizontal="center"/>
    </xf>
    <xf numFmtId="0" fontId="38" fillId="0" borderId="62" xfId="0" applyFont="1" applyBorder="1" applyAlignment="1">
      <alignment horizontal="right"/>
    </xf>
    <xf numFmtId="43" fontId="38" fillId="0" borderId="63" xfId="1" applyFont="1" applyBorder="1"/>
    <xf numFmtId="43" fontId="38" fillId="0" borderId="64" xfId="1" applyFont="1" applyBorder="1"/>
    <xf numFmtId="2" fontId="38" fillId="0" borderId="0" xfId="0" applyNumberFormat="1" applyFont="1" applyAlignment="1">
      <alignment horizontal="center"/>
    </xf>
    <xf numFmtId="3" fontId="34" fillId="0" borderId="0" xfId="0" applyNumberFormat="1" applyFont="1" applyAlignment="1">
      <alignment horizontal="right"/>
    </xf>
    <xf numFmtId="165" fontId="16" fillId="0" borderId="0" xfId="1" applyNumberFormat="1" applyFont="1"/>
    <xf numFmtId="0" fontId="16" fillId="0" borderId="65" xfId="0" applyFont="1" applyBorder="1" applyAlignment="1">
      <alignment horizontal="center"/>
    </xf>
    <xf numFmtId="0" fontId="16" fillId="0" borderId="65" xfId="0" applyFont="1" applyBorder="1" applyAlignment="1">
      <alignment horizontal="right"/>
    </xf>
    <xf numFmtId="165" fontId="16" fillId="0" borderId="38" xfId="1" applyNumberFormat="1" applyFont="1" applyBorder="1"/>
    <xf numFmtId="0" fontId="35" fillId="0" borderId="51" xfId="0" applyFont="1" applyBorder="1"/>
    <xf numFmtId="0" fontId="35" fillId="0" borderId="53" xfId="0" applyFont="1" applyBorder="1"/>
    <xf numFmtId="165" fontId="16" fillId="0" borderId="4" xfId="1" applyNumberFormat="1" applyFont="1" applyBorder="1"/>
    <xf numFmtId="165" fontId="35" fillId="0" borderId="54" xfId="0" applyNumberFormat="1" applyFont="1" applyBorder="1"/>
    <xf numFmtId="165" fontId="36" fillId="0" borderId="54" xfId="1" applyNumberFormat="1" applyFont="1" applyFill="1" applyBorder="1"/>
    <xf numFmtId="0" fontId="35" fillId="0" borderId="4" xfId="0" applyFont="1" applyBorder="1"/>
    <xf numFmtId="165" fontId="16" fillId="0" borderId="65" xfId="0" applyNumberFormat="1" applyFont="1" applyBorder="1"/>
    <xf numFmtId="165" fontId="16" fillId="0" borderId="38" xfId="0" applyNumberFormat="1" applyFont="1" applyBorder="1"/>
    <xf numFmtId="165" fontId="16" fillId="0" borderId="52" xfId="1" applyNumberFormat="1" applyFont="1" applyBorder="1"/>
    <xf numFmtId="0" fontId="35" fillId="0" borderId="0" xfId="0" applyFont="1"/>
    <xf numFmtId="0" fontId="36" fillId="0" borderId="0" xfId="0" applyFont="1" applyAlignment="1">
      <alignment horizontal="center"/>
    </xf>
    <xf numFmtId="165" fontId="35" fillId="0" borderId="38" xfId="0" applyNumberFormat="1" applyFont="1" applyBorder="1"/>
    <xf numFmtId="165" fontId="36" fillId="0" borderId="0" xfId="1" applyNumberFormat="1" applyFont="1"/>
    <xf numFmtId="41" fontId="36" fillId="0" borderId="0" xfId="1" applyNumberFormat="1" applyFont="1"/>
    <xf numFmtId="165" fontId="16" fillId="0" borderId="3" xfId="0" applyNumberFormat="1" applyFont="1" applyBorder="1"/>
    <xf numFmtId="165" fontId="15" fillId="0" borderId="3" xfId="1" applyNumberFormat="1" applyFont="1" applyBorder="1"/>
    <xf numFmtId="0" fontId="16" fillId="0" borderId="0" xfId="3" applyFont="1"/>
    <xf numFmtId="0" fontId="16" fillId="0" borderId="4" xfId="3" applyFont="1" applyBorder="1" applyAlignment="1">
      <alignment horizontal="centerContinuous"/>
    </xf>
    <xf numFmtId="3" fontId="16" fillId="0" borderId="4" xfId="3" applyNumberFormat="1" applyFont="1" applyBorder="1" applyAlignment="1">
      <alignment horizontal="centerContinuous"/>
    </xf>
    <xf numFmtId="0" fontId="34" fillId="0" borderId="4" xfId="3" applyFont="1" applyBorder="1" applyAlignment="1">
      <alignment horizontal="centerContinuous"/>
    </xf>
    <xf numFmtId="3" fontId="25" fillId="0" borderId="4" xfId="3" applyNumberFormat="1" applyFont="1" applyBorder="1" applyAlignment="1">
      <alignment horizontal="centerContinuous"/>
    </xf>
    <xf numFmtId="165" fontId="16" fillId="0" borderId="55" xfId="1" applyNumberFormat="1" applyFont="1" applyBorder="1"/>
    <xf numFmtId="0" fontId="40" fillId="0" borderId="50" xfId="3" applyFont="1" applyBorder="1"/>
    <xf numFmtId="0" fontId="40" fillId="0" borderId="44" xfId="3" applyFont="1" applyBorder="1"/>
    <xf numFmtId="3" fontId="41" fillId="0" borderId="50" xfId="3" quotePrefix="1" applyNumberFormat="1" applyFont="1" applyBorder="1"/>
    <xf numFmtId="3" fontId="41" fillId="0" borderId="44" xfId="3" quotePrefix="1" applyNumberFormat="1" applyFont="1" applyBorder="1"/>
    <xf numFmtId="0" fontId="19" fillId="0" borderId="50" xfId="3" applyFont="1" applyBorder="1"/>
    <xf numFmtId="0" fontId="19" fillId="0" borderId="44" xfId="3" applyFont="1" applyBorder="1"/>
    <xf numFmtId="0" fontId="25" fillId="0" borderId="50" xfId="3" applyFont="1" applyBorder="1"/>
    <xf numFmtId="0" fontId="25" fillId="0" borderId="44" xfId="3" applyFont="1" applyBorder="1"/>
    <xf numFmtId="0" fontId="42" fillId="0" borderId="50" xfId="3" applyFont="1" applyBorder="1"/>
    <xf numFmtId="0" fontId="42" fillId="0" borderId="44" xfId="3" applyFont="1" applyBorder="1"/>
    <xf numFmtId="3" fontId="17" fillId="0" borderId="50" xfId="3" quotePrefix="1" applyNumberFormat="1" applyFont="1" applyBorder="1"/>
    <xf numFmtId="3" fontId="17" fillId="0" borderId="44" xfId="3" quotePrefix="1" applyNumberFormat="1" applyFont="1" applyBorder="1"/>
    <xf numFmtId="43" fontId="16" fillId="0" borderId="0" xfId="1" applyFont="1" applyAlignment="1">
      <alignment horizontal="center"/>
    </xf>
    <xf numFmtId="165" fontId="16" fillId="0" borderId="55" xfId="1" applyNumberFormat="1" applyFont="1" applyBorder="1" applyAlignment="1">
      <alignment horizontal="center"/>
    </xf>
    <xf numFmtId="0" fontId="40" fillId="0" borderId="65" xfId="3" applyFont="1" applyBorder="1" applyAlignment="1">
      <alignment horizontal="center"/>
    </xf>
    <xf numFmtId="3" fontId="40" fillId="0" borderId="55" xfId="3" applyNumberFormat="1" applyFont="1" applyBorder="1" applyAlignment="1">
      <alignment horizontal="center"/>
    </xf>
    <xf numFmtId="0" fontId="41" fillId="0" borderId="65" xfId="3" applyFont="1" applyBorder="1" applyAlignment="1">
      <alignment horizontal="center"/>
    </xf>
    <xf numFmtId="3" fontId="41" fillId="0" borderId="55" xfId="3" applyNumberFormat="1" applyFont="1" applyBorder="1" applyAlignment="1">
      <alignment horizontal="center"/>
    </xf>
    <xf numFmtId="0" fontId="19" fillId="0" borderId="65" xfId="3" applyFont="1" applyBorder="1" applyAlignment="1">
      <alignment horizontal="center"/>
    </xf>
    <xf numFmtId="3" fontId="19" fillId="0" borderId="55" xfId="3" applyNumberFormat="1" applyFont="1" applyBorder="1" applyAlignment="1">
      <alignment horizontal="center"/>
    </xf>
    <xf numFmtId="0" fontId="25" fillId="0" borderId="65" xfId="3" applyFont="1" applyBorder="1" applyAlignment="1">
      <alignment horizontal="center"/>
    </xf>
    <xf numFmtId="3" fontId="25" fillId="0" borderId="55" xfId="3" applyNumberFormat="1" applyFont="1" applyBorder="1" applyAlignment="1">
      <alignment horizontal="center"/>
    </xf>
    <xf numFmtId="0" fontId="42" fillId="0" borderId="65" xfId="3" applyFont="1" applyBorder="1" applyAlignment="1">
      <alignment horizontal="center"/>
    </xf>
    <xf numFmtId="3" fontId="42" fillId="0" borderId="55" xfId="3" applyNumberFormat="1" applyFont="1" applyBorder="1" applyAlignment="1">
      <alignment horizontal="center"/>
    </xf>
    <xf numFmtId="0" fontId="17" fillId="0" borderId="65" xfId="3" applyFont="1" applyBorder="1" applyAlignment="1">
      <alignment horizontal="center"/>
    </xf>
    <xf numFmtId="3" fontId="17" fillId="0" borderId="55" xfId="3" applyNumberFormat="1" applyFont="1" applyBorder="1" applyAlignment="1">
      <alignment horizontal="center"/>
    </xf>
    <xf numFmtId="0" fontId="40" fillId="0" borderId="65" xfId="3" quotePrefix="1" applyFont="1" applyBorder="1"/>
    <xf numFmtId="0" fontId="40" fillId="0" borderId="55" xfId="3" quotePrefix="1" applyFont="1" applyBorder="1"/>
    <xf numFmtId="3" fontId="41" fillId="0" borderId="65" xfId="3" quotePrefix="1" applyNumberFormat="1" applyFont="1" applyBorder="1"/>
    <xf numFmtId="3" fontId="41" fillId="0" borderId="55" xfId="3" quotePrefix="1" applyNumberFormat="1" applyFont="1" applyBorder="1"/>
    <xf numFmtId="0" fontId="19" fillId="0" borderId="65" xfId="3" applyFont="1" applyBorder="1"/>
    <xf numFmtId="3" fontId="19" fillId="0" borderId="55" xfId="3" quotePrefix="1" applyNumberFormat="1" applyFont="1" applyBorder="1" applyAlignment="1">
      <alignment horizontal="center" shrinkToFit="1"/>
    </xf>
    <xf numFmtId="0" fontId="25" fillId="0" borderId="65" xfId="3" applyFont="1" applyBorder="1"/>
    <xf numFmtId="3" fontId="25" fillId="0" borderId="55" xfId="3" applyNumberFormat="1" applyFont="1" applyBorder="1"/>
    <xf numFmtId="0" fontId="42" fillId="0" borderId="65" xfId="3" quotePrefix="1" applyFont="1" applyBorder="1" applyAlignment="1">
      <alignment horizontal="centerContinuous"/>
    </xf>
    <xf numFmtId="3" fontId="42" fillId="0" borderId="55" xfId="3" applyNumberFormat="1" applyFont="1" applyBorder="1" applyAlignment="1">
      <alignment horizontal="centerContinuous"/>
    </xf>
    <xf numFmtId="3" fontId="17" fillId="0" borderId="65" xfId="3" quotePrefix="1" applyNumberFormat="1" applyFont="1" applyBorder="1"/>
    <xf numFmtId="3" fontId="17" fillId="0" borderId="55" xfId="3" quotePrefix="1" applyNumberFormat="1" applyFont="1" applyBorder="1"/>
    <xf numFmtId="177" fontId="34" fillId="0" borderId="0" xfId="0" applyNumberFormat="1" applyFont="1" applyAlignment="1">
      <alignment horizontal="left"/>
    </xf>
    <xf numFmtId="0" fontId="34" fillId="0" borderId="0" xfId="0" applyFont="1" applyAlignment="1">
      <alignment horizontal="left"/>
    </xf>
    <xf numFmtId="43" fontId="16" fillId="0" borderId="65" xfId="3" applyNumberFormat="1" applyFont="1" applyBorder="1"/>
    <xf numFmtId="41" fontId="16" fillId="0" borderId="55" xfId="3" applyNumberFormat="1" applyFont="1" applyBorder="1"/>
    <xf numFmtId="43" fontId="43" fillId="0" borderId="65" xfId="3" applyNumberFormat="1" applyFont="1" applyBorder="1"/>
    <xf numFmtId="41" fontId="43" fillId="0" borderId="55" xfId="3" applyNumberFormat="1" applyFont="1" applyBorder="1"/>
    <xf numFmtId="43" fontId="19" fillId="0" borderId="65" xfId="3" applyNumberFormat="1" applyFont="1" applyBorder="1"/>
    <xf numFmtId="41" fontId="19" fillId="0" borderId="55" xfId="3" applyNumberFormat="1" applyFont="1" applyBorder="1"/>
    <xf numFmtId="43" fontId="25" fillId="0" borderId="65" xfId="3" applyNumberFormat="1" applyFont="1" applyBorder="1"/>
    <xf numFmtId="41" fontId="25" fillId="0" borderId="55" xfId="3" applyNumberFormat="1" applyFont="1" applyBorder="1"/>
    <xf numFmtId="43" fontId="42" fillId="0" borderId="65" xfId="3" applyNumberFormat="1" applyFont="1" applyBorder="1"/>
    <xf numFmtId="41" fontId="42" fillId="0" borderId="55" xfId="3" applyNumberFormat="1" applyFont="1" applyBorder="1"/>
    <xf numFmtId="43" fontId="17" fillId="0" borderId="65" xfId="3" applyNumberFormat="1" applyFont="1" applyBorder="1"/>
    <xf numFmtId="41" fontId="17" fillId="0" borderId="55" xfId="3" applyNumberFormat="1" applyFont="1" applyBorder="1"/>
    <xf numFmtId="43" fontId="16" fillId="0" borderId="65" xfId="1" applyFont="1" applyBorder="1"/>
    <xf numFmtId="41" fontId="16" fillId="0" borderId="55" xfId="1" applyNumberFormat="1" applyFont="1" applyBorder="1"/>
    <xf numFmtId="43" fontId="40" fillId="0" borderId="65" xfId="21" applyNumberFormat="1" applyFont="1" applyBorder="1"/>
    <xf numFmtId="41" fontId="40" fillId="0" borderId="55" xfId="1" applyNumberFormat="1" applyFont="1" applyBorder="1"/>
    <xf numFmtId="43" fontId="43" fillId="0" borderId="65" xfId="21" applyNumberFormat="1" applyFont="1" applyBorder="1"/>
    <xf numFmtId="41" fontId="43" fillId="0" borderId="55" xfId="1" applyNumberFormat="1" applyFont="1" applyBorder="1"/>
    <xf numFmtId="43" fontId="19" fillId="0" borderId="65" xfId="21" applyNumberFormat="1" applyFont="1" applyBorder="1"/>
    <xf numFmtId="41" fontId="19" fillId="0" borderId="55" xfId="1" applyNumberFormat="1" applyFont="1" applyBorder="1"/>
    <xf numFmtId="43" fontId="25" fillId="0" borderId="65" xfId="21" applyNumberFormat="1" applyFont="1" applyBorder="1"/>
    <xf numFmtId="41" fontId="25" fillId="0" borderId="55" xfId="1" applyNumberFormat="1" applyFont="1" applyBorder="1"/>
    <xf numFmtId="43" fontId="42" fillId="0" borderId="65" xfId="21" applyNumberFormat="1" applyFont="1" applyBorder="1"/>
    <xf numFmtId="41" fontId="42" fillId="0" borderId="55" xfId="1" applyNumberFormat="1" applyFont="1" applyBorder="1"/>
    <xf numFmtId="43" fontId="17" fillId="0" borderId="65" xfId="21" applyNumberFormat="1" applyFont="1" applyBorder="1"/>
    <xf numFmtId="41" fontId="17" fillId="0" borderId="55" xfId="1" applyNumberFormat="1" applyFont="1" applyBorder="1"/>
    <xf numFmtId="177" fontId="34" fillId="0" borderId="0" xfId="3" applyNumberFormat="1" applyFont="1" applyAlignment="1">
      <alignment horizontal="left"/>
    </xf>
    <xf numFmtId="43" fontId="16" fillId="0" borderId="55" xfId="1" applyFont="1" applyBorder="1"/>
    <xf numFmtId="43" fontId="40" fillId="0" borderId="65" xfId="3" applyNumberFormat="1" applyFont="1" applyBorder="1"/>
    <xf numFmtId="43" fontId="16" fillId="0" borderId="65" xfId="1" applyFont="1" applyBorder="1" applyAlignment="1"/>
    <xf numFmtId="165" fontId="16" fillId="0" borderId="55" xfId="1" applyNumberFormat="1" applyFont="1" applyBorder="1" applyAlignment="1"/>
    <xf numFmtId="41" fontId="40" fillId="0" borderId="55" xfId="1" applyNumberFormat="1" applyFont="1" applyBorder="1" applyAlignment="1"/>
    <xf numFmtId="41" fontId="43" fillId="0" borderId="55" xfId="1" applyNumberFormat="1" applyFont="1" applyBorder="1" applyAlignment="1"/>
    <xf numFmtId="41" fontId="19" fillId="0" borderId="55" xfId="1" applyNumberFormat="1" applyFont="1" applyBorder="1" applyAlignment="1"/>
    <xf numFmtId="41" fontId="42" fillId="0" borderId="55" xfId="1" applyNumberFormat="1" applyFont="1" applyBorder="1" applyAlignment="1"/>
    <xf numFmtId="41" fontId="17" fillId="0" borderId="55" xfId="1" applyNumberFormat="1" applyFont="1" applyBorder="1" applyAlignment="1"/>
    <xf numFmtId="41" fontId="25" fillId="0" borderId="55" xfId="1" applyNumberFormat="1" applyFont="1" applyBorder="1" applyAlignment="1"/>
    <xf numFmtId="3" fontId="19" fillId="0" borderId="55" xfId="1" applyNumberFormat="1" applyFont="1" applyBorder="1"/>
    <xf numFmtId="43" fontId="16" fillId="0" borderId="65" xfId="3" applyNumberFormat="1" applyFont="1" applyBorder="1" applyAlignment="1">
      <alignment horizontal="center"/>
    </xf>
    <xf numFmtId="41" fontId="16" fillId="0" borderId="55" xfId="3" applyNumberFormat="1" applyFont="1" applyBorder="1" applyAlignment="1">
      <alignment horizontal="center"/>
    </xf>
    <xf numFmtId="43" fontId="43" fillId="0" borderId="65" xfId="3" applyNumberFormat="1" applyFont="1" applyBorder="1" applyAlignment="1">
      <alignment horizontal="center"/>
    </xf>
    <xf numFmtId="41" fontId="43" fillId="0" borderId="55" xfId="3" applyNumberFormat="1" applyFont="1" applyBorder="1" applyAlignment="1">
      <alignment horizontal="center"/>
    </xf>
    <xf numFmtId="43" fontId="19" fillId="0" borderId="65" xfId="3" applyNumberFormat="1" applyFont="1" applyBorder="1" applyAlignment="1">
      <alignment horizontal="center"/>
    </xf>
    <xf numFmtId="41" fontId="19" fillId="0" borderId="55" xfId="3" applyNumberFormat="1" applyFont="1" applyBorder="1" applyAlignment="1">
      <alignment horizontal="center"/>
    </xf>
    <xf numFmtId="43" fontId="25" fillId="0" borderId="65" xfId="3" applyNumberFormat="1" applyFont="1" applyBorder="1" applyAlignment="1">
      <alignment horizontal="center"/>
    </xf>
    <xf numFmtId="41" fontId="25" fillId="0" borderId="55" xfId="3" applyNumberFormat="1" applyFont="1" applyBorder="1" applyAlignment="1">
      <alignment horizontal="center"/>
    </xf>
    <xf numFmtId="43" fontId="42" fillId="0" borderId="65" xfId="3" applyNumberFormat="1" applyFont="1" applyBorder="1" applyAlignment="1">
      <alignment horizontal="center"/>
    </xf>
    <xf numFmtId="41" fontId="42" fillId="0" borderId="55" xfId="3" applyNumberFormat="1" applyFont="1" applyBorder="1" applyAlignment="1">
      <alignment horizontal="center"/>
    </xf>
    <xf numFmtId="43" fontId="17" fillId="0" borderId="65" xfId="3" applyNumberFormat="1" applyFont="1" applyBorder="1" applyAlignment="1">
      <alignment horizontal="center"/>
    </xf>
    <xf numFmtId="41" fontId="17" fillId="0" borderId="55" xfId="3" applyNumberFormat="1" applyFont="1" applyBorder="1" applyAlignment="1">
      <alignment horizontal="center"/>
    </xf>
    <xf numFmtId="3" fontId="34" fillId="0" borderId="0" xfId="0" applyNumberFormat="1" applyFont="1" applyAlignment="1">
      <alignment horizontal="left"/>
    </xf>
    <xf numFmtId="41" fontId="40" fillId="0" borderId="55" xfId="1" applyNumberFormat="1" applyFont="1" applyFill="1" applyBorder="1"/>
    <xf numFmtId="41" fontId="43" fillId="0" borderId="55" xfId="1" applyNumberFormat="1" applyFont="1" applyFill="1" applyBorder="1"/>
    <xf numFmtId="0" fontId="34" fillId="0" borderId="0" xfId="3" applyFont="1" applyAlignment="1">
      <alignment horizontal="left"/>
    </xf>
    <xf numFmtId="3" fontId="34" fillId="0" borderId="55" xfId="3" applyNumberFormat="1" applyFont="1" applyBorder="1" applyAlignment="1">
      <alignment horizontal="right"/>
    </xf>
    <xf numFmtId="0" fontId="40" fillId="0" borderId="65" xfId="3" applyFont="1" applyBorder="1"/>
    <xf numFmtId="3" fontId="16" fillId="0" borderId="55" xfId="3" applyNumberFormat="1" applyFont="1" applyBorder="1"/>
    <xf numFmtId="0" fontId="34" fillId="0" borderId="65" xfId="3" applyFont="1" applyBorder="1"/>
    <xf numFmtId="3" fontId="19" fillId="0" borderId="55" xfId="3" applyNumberFormat="1" applyFont="1" applyBorder="1"/>
    <xf numFmtId="0" fontId="42" fillId="0" borderId="65" xfId="3" applyFont="1" applyBorder="1"/>
    <xf numFmtId="3" fontId="42" fillId="0" borderId="55" xfId="3" applyNumberFormat="1" applyFont="1" applyBorder="1"/>
    <xf numFmtId="0" fontId="17" fillId="0" borderId="65" xfId="3" applyFont="1" applyBorder="1"/>
    <xf numFmtId="3" fontId="17" fillId="0" borderId="55" xfId="3" applyNumberFormat="1" applyFont="1" applyBorder="1"/>
    <xf numFmtId="4" fontId="34" fillId="0" borderId="0" xfId="3" applyNumberFormat="1" applyFont="1" applyAlignment="1">
      <alignment horizontal="right"/>
    </xf>
    <xf numFmtId="0" fontId="16" fillId="0" borderId="65" xfId="3" applyFont="1" applyBorder="1"/>
    <xf numFmtId="43" fontId="40" fillId="0" borderId="3" xfId="3" applyNumberFormat="1" applyFont="1" applyBorder="1"/>
    <xf numFmtId="41" fontId="40" fillId="0" borderId="54" xfId="3" applyNumberFormat="1" applyFont="1" applyBorder="1"/>
    <xf numFmtId="43" fontId="41" fillId="0" borderId="3" xfId="3" applyNumberFormat="1" applyFont="1" applyBorder="1"/>
    <xf numFmtId="41" fontId="41" fillId="0" borderId="54" xfId="3" applyNumberFormat="1" applyFont="1" applyBorder="1"/>
    <xf numFmtId="43" fontId="19" fillId="0" borderId="3" xfId="3" applyNumberFormat="1" applyFont="1" applyBorder="1"/>
    <xf numFmtId="41" fontId="19" fillId="0" borderId="54" xfId="3" applyNumberFormat="1" applyFont="1" applyBorder="1"/>
    <xf numFmtId="43" fontId="25" fillId="0" borderId="3" xfId="3" applyNumberFormat="1" applyFont="1" applyBorder="1"/>
    <xf numFmtId="41" fontId="25" fillId="0" borderId="54" xfId="3" applyNumberFormat="1" applyFont="1" applyBorder="1"/>
    <xf numFmtId="43" fontId="42" fillId="0" borderId="3" xfId="3" applyNumberFormat="1" applyFont="1" applyBorder="1"/>
    <xf numFmtId="41" fontId="42" fillId="0" borderId="54" xfId="3" applyNumberFormat="1" applyFont="1" applyBorder="1"/>
    <xf numFmtId="43" fontId="17" fillId="0" borderId="3" xfId="3" applyNumberFormat="1" applyFont="1" applyBorder="1"/>
    <xf numFmtId="41" fontId="17" fillId="0" borderId="54" xfId="3" applyNumberFormat="1" applyFont="1" applyBorder="1"/>
    <xf numFmtId="43" fontId="34" fillId="0" borderId="52" xfId="3" applyNumberFormat="1" applyFont="1" applyBorder="1"/>
    <xf numFmtId="41" fontId="40" fillId="0" borderId="3" xfId="1" applyNumberFormat="1" applyFont="1" applyBorder="1"/>
    <xf numFmtId="41" fontId="41" fillId="0" borderId="3" xfId="1" applyNumberFormat="1" applyFont="1" applyFill="1" applyBorder="1"/>
    <xf numFmtId="41" fontId="19" fillId="0" borderId="3" xfId="1" applyNumberFormat="1" applyFont="1" applyBorder="1"/>
    <xf numFmtId="43" fontId="25" fillId="0" borderId="52" xfId="3" applyNumberFormat="1" applyFont="1" applyBorder="1"/>
    <xf numFmtId="41" fontId="25" fillId="0" borderId="3" xfId="1" applyNumberFormat="1" applyFont="1" applyBorder="1"/>
    <xf numFmtId="41" fontId="42" fillId="0" borderId="3" xfId="1" applyNumberFormat="1" applyFont="1" applyBorder="1"/>
    <xf numFmtId="41" fontId="17" fillId="0" borderId="3" xfId="1" applyNumberFormat="1" applyFont="1" applyBorder="1"/>
    <xf numFmtId="43" fontId="41" fillId="0" borderId="65" xfId="3" applyNumberFormat="1" applyFont="1" applyBorder="1"/>
    <xf numFmtId="41" fontId="41" fillId="0" borderId="55" xfId="1" applyNumberFormat="1" applyFont="1" applyBorder="1"/>
    <xf numFmtId="165" fontId="44" fillId="0" borderId="0" xfId="1" applyNumberFormat="1" applyFont="1"/>
    <xf numFmtId="43" fontId="44" fillId="0" borderId="65" xfId="3" applyNumberFormat="1" applyFont="1" applyBorder="1"/>
    <xf numFmtId="41" fontId="44" fillId="0" borderId="55" xfId="1" applyNumberFormat="1" applyFont="1" applyBorder="1"/>
    <xf numFmtId="41" fontId="44" fillId="0" borderId="55" xfId="3" applyNumberFormat="1" applyFont="1" applyBorder="1"/>
    <xf numFmtId="43" fontId="44" fillId="0" borderId="53" xfId="3" applyNumberFormat="1" applyFont="1" applyBorder="1"/>
    <xf numFmtId="41" fontId="44" fillId="0" borderId="27" xfId="3" applyNumberFormat="1" applyFont="1" applyBorder="1"/>
    <xf numFmtId="41" fontId="16" fillId="0" borderId="27" xfId="3" applyNumberFormat="1" applyFont="1" applyBorder="1"/>
    <xf numFmtId="43" fontId="16" fillId="0" borderId="51" xfId="3" applyNumberFormat="1" applyFont="1" applyBorder="1"/>
    <xf numFmtId="41" fontId="16" fillId="0" borderId="51" xfId="3" applyNumberFormat="1" applyFont="1" applyBorder="1"/>
    <xf numFmtId="43" fontId="25" fillId="0" borderId="51" xfId="3" applyNumberFormat="1" applyFont="1" applyBorder="1"/>
    <xf numFmtId="41" fontId="25" fillId="0" borderId="44" xfId="3" applyNumberFormat="1" applyFont="1" applyBorder="1"/>
    <xf numFmtId="43" fontId="19" fillId="0" borderId="50" xfId="3" applyNumberFormat="1" applyFont="1" applyBorder="1"/>
    <xf numFmtId="41" fontId="42" fillId="0" borderId="44" xfId="3" applyNumberFormat="1" applyFont="1" applyBorder="1"/>
    <xf numFmtId="43" fontId="16" fillId="0" borderId="50" xfId="3" applyNumberFormat="1" applyFont="1" applyBorder="1"/>
    <xf numFmtId="43" fontId="16" fillId="0" borderId="0" xfId="3" applyNumberFormat="1" applyFont="1"/>
    <xf numFmtId="41" fontId="16" fillId="0" borderId="0" xfId="3" applyNumberFormat="1" applyFont="1"/>
    <xf numFmtId="43" fontId="25" fillId="0" borderId="0" xfId="3" applyNumberFormat="1" applyFont="1"/>
    <xf numFmtId="43" fontId="19" fillId="0" borderId="55" xfId="3" applyNumberFormat="1" applyFont="1" applyBorder="1"/>
    <xf numFmtId="0" fontId="16" fillId="0" borderId="0" xfId="3" applyFont="1" applyAlignment="1">
      <alignment horizontal="left"/>
    </xf>
    <xf numFmtId="43" fontId="19" fillId="0" borderId="53" xfId="3" applyNumberFormat="1" applyFont="1" applyBorder="1"/>
    <xf numFmtId="43" fontId="35" fillId="0" borderId="27" xfId="3" applyNumberFormat="1" applyFont="1" applyBorder="1"/>
    <xf numFmtId="41" fontId="25" fillId="0" borderId="0" xfId="3" applyNumberFormat="1" applyFont="1"/>
    <xf numFmtId="43" fontId="19" fillId="0" borderId="0" xfId="3" applyNumberFormat="1" applyFont="1"/>
    <xf numFmtId="43" fontId="35" fillId="0" borderId="0" xfId="3" applyNumberFormat="1" applyFont="1"/>
    <xf numFmtId="0" fontId="16" fillId="0" borderId="0" xfId="12" applyFont="1"/>
    <xf numFmtId="0" fontId="35" fillId="0" borderId="95" xfId="12" applyFont="1" applyBorder="1"/>
    <xf numFmtId="0" fontId="16" fillId="0" borderId="85" xfId="12" applyFont="1" applyBorder="1"/>
    <xf numFmtId="43" fontId="16" fillId="0" borderId="85" xfId="12" applyNumberFormat="1" applyFont="1" applyBorder="1"/>
    <xf numFmtId="41" fontId="16" fillId="0" borderId="85" xfId="12" applyNumberFormat="1" applyFont="1" applyBorder="1"/>
    <xf numFmtId="41" fontId="25" fillId="0" borderId="85" xfId="12" applyNumberFormat="1" applyFont="1" applyBorder="1"/>
    <xf numFmtId="41" fontId="16" fillId="0" borderId="92" xfId="12" applyNumberFormat="1" applyFont="1" applyBorder="1"/>
    <xf numFmtId="177" fontId="34" fillId="0" borderId="119" xfId="0" applyNumberFormat="1" applyFont="1" applyBorder="1" applyAlignment="1">
      <alignment horizontal="right"/>
    </xf>
    <xf numFmtId="43" fontId="16" fillId="0" borderId="0" xfId="12" applyNumberFormat="1" applyFont="1"/>
    <xf numFmtId="41" fontId="16" fillId="0" borderId="0" xfId="12" applyNumberFormat="1" applyFont="1"/>
    <xf numFmtId="41" fontId="16" fillId="0" borderId="94" xfId="12" applyNumberFormat="1" applyFont="1" applyBorder="1"/>
    <xf numFmtId="0" fontId="16" fillId="0" borderId="86" xfId="12" applyFont="1" applyBorder="1"/>
    <xf numFmtId="0" fontId="16" fillId="0" borderId="119" xfId="12" applyFont="1" applyBorder="1"/>
    <xf numFmtId="0" fontId="16" fillId="0" borderId="86" xfId="12" applyFont="1" applyBorder="1" applyAlignment="1">
      <alignment horizontal="right"/>
    </xf>
    <xf numFmtId="4" fontId="16" fillId="0" borderId="87" xfId="1" applyNumberFormat="1" applyFont="1" applyBorder="1"/>
    <xf numFmtId="4" fontId="16" fillId="0" borderId="30" xfId="12" applyNumberFormat="1" applyFont="1" applyBorder="1"/>
    <xf numFmtId="43" fontId="16" fillId="0" borderId="3" xfId="12" applyNumberFormat="1" applyFont="1" applyBorder="1"/>
    <xf numFmtId="41" fontId="16" fillId="0" borderId="30" xfId="12" applyNumberFormat="1" applyFont="1" applyBorder="1"/>
    <xf numFmtId="41" fontId="16" fillId="0" borderId="90" xfId="12" applyNumberFormat="1" applyFont="1" applyBorder="1"/>
    <xf numFmtId="0" fontId="16" fillId="0" borderId="0" xfId="12" applyFont="1" applyAlignment="1">
      <alignment horizontal="left"/>
    </xf>
    <xf numFmtId="3" fontId="16" fillId="0" borderId="88" xfId="12" applyNumberFormat="1" applyFont="1" applyBorder="1"/>
    <xf numFmtId="3" fontId="16" fillId="0" borderId="89" xfId="12" applyNumberFormat="1" applyFont="1" applyBorder="1"/>
    <xf numFmtId="43" fontId="16" fillId="0" borderId="91" xfId="12" applyNumberFormat="1" applyFont="1" applyBorder="1"/>
    <xf numFmtId="41" fontId="16" fillId="0" borderId="89" xfId="12" applyNumberFormat="1" applyFont="1" applyBorder="1"/>
    <xf numFmtId="41" fontId="16" fillId="0" borderId="93" xfId="12" applyNumberFormat="1" applyFont="1" applyBorder="1"/>
    <xf numFmtId="0" fontId="16" fillId="2" borderId="40" xfId="12" applyFont="1" applyFill="1" applyBorder="1" applyAlignment="1">
      <alignment horizontal="left"/>
    </xf>
    <xf numFmtId="0" fontId="16" fillId="2" borderId="30" xfId="12" applyFont="1" applyFill="1" applyBorder="1"/>
    <xf numFmtId="0" fontId="16" fillId="2" borderId="3" xfId="12" applyFont="1" applyFill="1" applyBorder="1"/>
    <xf numFmtId="43" fontId="16" fillId="2" borderId="3" xfId="1" applyFont="1" applyFill="1" applyBorder="1" applyAlignment="1"/>
    <xf numFmtId="2" fontId="16" fillId="0" borderId="0" xfId="12" applyNumberFormat="1" applyFont="1"/>
    <xf numFmtId="0" fontId="16" fillId="2" borderId="4" xfId="12" applyFont="1" applyFill="1" applyBorder="1"/>
    <xf numFmtId="0" fontId="16" fillId="2" borderId="54" xfId="12" applyFont="1" applyFill="1" applyBorder="1"/>
    <xf numFmtId="43" fontId="16" fillId="2" borderId="54" xfId="1" applyFont="1" applyFill="1" applyBorder="1" applyAlignment="1"/>
    <xf numFmtId="43" fontId="16" fillId="2" borderId="3" xfId="12" applyNumberFormat="1" applyFont="1" applyFill="1" applyBorder="1"/>
    <xf numFmtId="0" fontId="16" fillId="0" borderId="0" xfId="0" applyFont="1" applyAlignment="1">
      <alignment horizontal="left"/>
    </xf>
    <xf numFmtId="3" fontId="25" fillId="0" borderId="0" xfId="0" applyNumberFormat="1" applyFont="1"/>
    <xf numFmtId="3" fontId="39" fillId="0" borderId="0" xfId="0" applyNumberFormat="1" applyFont="1"/>
    <xf numFmtId="0" fontId="45" fillId="0" borderId="0" xfId="0" applyFont="1" applyAlignment="1">
      <alignment horizontal="right"/>
    </xf>
    <xf numFmtId="165" fontId="47" fillId="9" borderId="0" xfId="1" applyNumberFormat="1" applyFont="1" applyFill="1" applyAlignment="1"/>
    <xf numFmtId="165" fontId="47" fillId="0" borderId="0" xfId="1" applyNumberFormat="1" applyFont="1" applyFill="1" applyAlignment="1"/>
    <xf numFmtId="43" fontId="46" fillId="0" borderId="0" xfId="1" applyFont="1" applyFill="1" applyAlignment="1"/>
    <xf numFmtId="43" fontId="47" fillId="0" borderId="0" xfId="1" applyFont="1" applyFill="1" applyAlignment="1"/>
    <xf numFmtId="0" fontId="0" fillId="0" borderId="0" xfId="0" applyAlignment="1">
      <alignment horizontal="right"/>
    </xf>
    <xf numFmtId="43" fontId="46" fillId="0" borderId="0" xfId="1" applyFont="1"/>
    <xf numFmtId="0" fontId="45" fillId="0" borderId="0" xfId="0" applyFont="1" applyAlignment="1">
      <alignment horizontal="center"/>
    </xf>
    <xf numFmtId="43" fontId="47" fillId="0" borderId="0" xfId="1" applyFont="1" applyAlignment="1">
      <alignment horizontal="center"/>
    </xf>
    <xf numFmtId="0" fontId="45" fillId="0" borderId="30" xfId="0" quotePrefix="1" applyFont="1" applyBorder="1" applyAlignment="1">
      <alignment vertical="top"/>
    </xf>
    <xf numFmtId="0" fontId="45" fillId="0" borderId="30" xfId="0" applyFont="1" applyBorder="1" applyAlignment="1">
      <alignment vertical="top"/>
    </xf>
    <xf numFmtId="43" fontId="47" fillId="0" borderId="30" xfId="1" applyFont="1" applyBorder="1" applyAlignment="1">
      <alignment vertical="top"/>
    </xf>
    <xf numFmtId="49" fontId="48" fillId="0" borderId="0" xfId="0" applyNumberFormat="1" applyFont="1"/>
    <xf numFmtId="0" fontId="48" fillId="0" borderId="0" xfId="0" applyFont="1"/>
    <xf numFmtId="43" fontId="0" fillId="0" borderId="0" xfId="0" applyNumberFormat="1"/>
    <xf numFmtId="0" fontId="49" fillId="0" borderId="0" xfId="0" applyFont="1" applyAlignment="1">
      <alignment horizontal="left"/>
    </xf>
    <xf numFmtId="49" fontId="48" fillId="0" borderId="0" xfId="0" quotePrefix="1" applyNumberFormat="1" applyFont="1"/>
    <xf numFmtId="0" fontId="48" fillId="0" borderId="0" xfId="0" quotePrefix="1" applyFont="1" applyAlignment="1">
      <alignment horizontal="left"/>
    </xf>
    <xf numFmtId="0" fontId="48" fillId="0" borderId="0" xfId="0" quotePrefix="1" applyFont="1"/>
    <xf numFmtId="0" fontId="48" fillId="0" borderId="0" xfId="0" applyFont="1" applyAlignment="1">
      <alignment horizontal="left"/>
    </xf>
    <xf numFmtId="165" fontId="46" fillId="0" borderId="0" xfId="1" applyNumberFormat="1" applyFont="1" applyFill="1" applyAlignment="1"/>
    <xf numFmtId="3" fontId="16" fillId="0" borderId="1" xfId="1" applyNumberFormat="1" applyFont="1" applyBorder="1"/>
    <xf numFmtId="17" fontId="16" fillId="0" borderId="36" xfId="0" applyNumberFormat="1" applyFont="1" applyBorder="1"/>
    <xf numFmtId="43" fontId="47" fillId="10" borderId="30" xfId="1" applyFont="1" applyFill="1" applyBorder="1" applyAlignment="1">
      <alignment vertical="top"/>
    </xf>
    <xf numFmtId="0" fontId="33" fillId="8" borderId="13" xfId="0" applyFont="1" applyFill="1" applyBorder="1" applyAlignment="1">
      <alignment horizontal="center" vertical="center" wrapText="1"/>
    </xf>
    <xf numFmtId="0" fontId="33" fillId="8" borderId="0" xfId="0" applyFont="1" applyFill="1" applyAlignment="1">
      <alignment horizontal="center" vertical="center" wrapText="1"/>
    </xf>
    <xf numFmtId="0" fontId="33" fillId="8" borderId="100" xfId="0" applyFont="1" applyFill="1" applyBorder="1" applyAlignment="1">
      <alignment horizontal="center" vertical="center" wrapText="1"/>
    </xf>
    <xf numFmtId="0" fontId="33" fillId="8" borderId="11" xfId="0" applyFont="1" applyFill="1" applyBorder="1" applyAlignment="1">
      <alignment horizontal="center" vertical="center" wrapText="1"/>
    </xf>
    <xf numFmtId="0" fontId="33" fillId="8" borderId="1" xfId="0" applyFont="1" applyFill="1" applyBorder="1" applyAlignment="1">
      <alignment horizontal="center" vertical="center" wrapText="1"/>
    </xf>
    <xf numFmtId="0" fontId="33" fillId="8" borderId="99" xfId="0" applyFont="1" applyFill="1" applyBorder="1" applyAlignment="1">
      <alignment horizontal="center" vertical="center" wrapText="1"/>
    </xf>
    <xf numFmtId="0" fontId="33" fillId="8" borderId="76" xfId="0" applyFont="1" applyFill="1" applyBorder="1" applyAlignment="1">
      <alignment horizontal="center" vertical="center" wrapText="1"/>
    </xf>
    <xf numFmtId="0" fontId="33" fillId="8" borderId="36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/>
    </xf>
    <xf numFmtId="0" fontId="5" fillId="2" borderId="49" xfId="0" applyFont="1" applyFill="1" applyBorder="1" applyAlignment="1">
      <alignment horizontal="center"/>
    </xf>
    <xf numFmtId="0" fontId="5" fillId="2" borderId="47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20" xfId="0" applyFont="1" applyFill="1" applyBorder="1" applyAlignment="1">
      <alignment horizontal="center"/>
    </xf>
    <xf numFmtId="0" fontId="33" fillId="8" borderId="105" xfId="0" applyFont="1" applyFill="1" applyBorder="1" applyAlignment="1">
      <alignment horizontal="center" vertical="center" wrapText="1"/>
    </xf>
    <xf numFmtId="0" fontId="33" fillId="8" borderId="4" xfId="0" applyFont="1" applyFill="1" applyBorder="1" applyAlignment="1">
      <alignment horizontal="center" vertical="center" wrapText="1"/>
    </xf>
    <xf numFmtId="0" fontId="5" fillId="2" borderId="13" xfId="0" quotePrefix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76" xfId="0" applyFont="1" applyFill="1" applyBorder="1" applyAlignment="1">
      <alignment horizontal="center"/>
    </xf>
    <xf numFmtId="0" fontId="5" fillId="2" borderId="65" xfId="0" quotePrefix="1" applyFont="1" applyFill="1" applyBorder="1" applyAlignment="1">
      <alignment horizontal="center"/>
    </xf>
    <xf numFmtId="0" fontId="5" fillId="2" borderId="0" xfId="0" quotePrefix="1" applyFont="1" applyFill="1" applyAlignment="1">
      <alignment horizontal="center"/>
    </xf>
    <xf numFmtId="0" fontId="32" fillId="8" borderId="13" xfId="0" applyFont="1" applyFill="1" applyBorder="1" applyAlignment="1">
      <alignment horizontal="center" vertical="center" wrapText="1"/>
    </xf>
    <xf numFmtId="0" fontId="32" fillId="8" borderId="0" xfId="0" applyFont="1" applyFill="1" applyAlignment="1">
      <alignment horizontal="center" vertical="center" wrapText="1"/>
    </xf>
    <xf numFmtId="0" fontId="32" fillId="8" borderId="100" xfId="0" applyFont="1" applyFill="1" applyBorder="1" applyAlignment="1">
      <alignment horizontal="center" vertical="center" wrapText="1"/>
    </xf>
    <xf numFmtId="0" fontId="32" fillId="8" borderId="11" xfId="0" applyFont="1" applyFill="1" applyBorder="1" applyAlignment="1">
      <alignment horizontal="center" vertical="center" wrapText="1"/>
    </xf>
    <xf numFmtId="0" fontId="32" fillId="8" borderId="1" xfId="0" applyFont="1" applyFill="1" applyBorder="1" applyAlignment="1">
      <alignment horizontal="center" vertical="center" wrapText="1"/>
    </xf>
    <xf numFmtId="0" fontId="32" fillId="8" borderId="99" xfId="0" applyFont="1" applyFill="1" applyBorder="1" applyAlignment="1">
      <alignment horizontal="center" vertical="center" wrapText="1"/>
    </xf>
    <xf numFmtId="0" fontId="32" fillId="8" borderId="9" xfId="0" applyFont="1" applyFill="1" applyBorder="1" applyAlignment="1">
      <alignment horizontal="center" vertical="center" wrapText="1"/>
    </xf>
    <xf numFmtId="0" fontId="32" fillId="8" borderId="10" xfId="0" applyFont="1" applyFill="1" applyBorder="1" applyAlignment="1">
      <alignment horizontal="center" vertical="center" wrapText="1"/>
    </xf>
    <xf numFmtId="0" fontId="32" fillId="8" borderId="20" xfId="0" applyFont="1" applyFill="1" applyBorder="1" applyAlignment="1">
      <alignment horizontal="center" vertical="center" wrapText="1"/>
    </xf>
    <xf numFmtId="0" fontId="32" fillId="8" borderId="36" xfId="0" applyFont="1" applyFill="1" applyBorder="1" applyAlignment="1">
      <alignment horizontal="center" vertical="center" wrapText="1"/>
    </xf>
    <xf numFmtId="3" fontId="30" fillId="0" borderId="0" xfId="0" applyNumberFormat="1" applyFont="1" applyAlignment="1">
      <alignment horizontal="center"/>
    </xf>
  </cellXfs>
  <cellStyles count="84">
    <cellStyle name="Comma" xfId="1" builtinId="3"/>
    <cellStyle name="Currency" xfId="2" builtinId="4"/>
    <cellStyle name="Normal" xfId="0" builtinId="0"/>
    <cellStyle name="Normal 10 10" xfId="3" xr:uid="{00000000-0005-0000-0000-000003000000}"/>
    <cellStyle name="Normal 10 2" xfId="4" xr:uid="{00000000-0005-0000-0000-000004000000}"/>
    <cellStyle name="Normal 10 3" xfId="5" xr:uid="{00000000-0005-0000-0000-000005000000}"/>
    <cellStyle name="Normal 10 4" xfId="6" xr:uid="{00000000-0005-0000-0000-000006000000}"/>
    <cellStyle name="Normal 10 5" xfId="7" xr:uid="{00000000-0005-0000-0000-000007000000}"/>
    <cellStyle name="Normal 10 6" xfId="8" xr:uid="{00000000-0005-0000-0000-000008000000}"/>
    <cellStyle name="Normal 10 7" xfId="9" xr:uid="{00000000-0005-0000-0000-000009000000}"/>
    <cellStyle name="Normal 10 8" xfId="10" xr:uid="{00000000-0005-0000-0000-00000A000000}"/>
    <cellStyle name="Normal 10 9" xfId="11" xr:uid="{00000000-0005-0000-0000-00000B000000}"/>
    <cellStyle name="Normal 11 10" xfId="12" xr:uid="{00000000-0005-0000-0000-00000C000000}"/>
    <cellStyle name="Normal 11 2" xfId="13" xr:uid="{00000000-0005-0000-0000-00000D000000}"/>
    <cellStyle name="Normal 11 3" xfId="14" xr:uid="{00000000-0005-0000-0000-00000E000000}"/>
    <cellStyle name="Normal 11 4" xfId="15" xr:uid="{00000000-0005-0000-0000-00000F000000}"/>
    <cellStyle name="Normal 11 5" xfId="16" xr:uid="{00000000-0005-0000-0000-000010000000}"/>
    <cellStyle name="Normal 11 6" xfId="17" xr:uid="{00000000-0005-0000-0000-000011000000}"/>
    <cellStyle name="Normal 11 7" xfId="18" xr:uid="{00000000-0005-0000-0000-000012000000}"/>
    <cellStyle name="Normal 11 8" xfId="19" xr:uid="{00000000-0005-0000-0000-000013000000}"/>
    <cellStyle name="Normal 11 9" xfId="20" xr:uid="{00000000-0005-0000-0000-000014000000}"/>
    <cellStyle name="Normal 12 10" xfId="21" xr:uid="{00000000-0005-0000-0000-000015000000}"/>
    <cellStyle name="Normal 12 2" xfId="22" xr:uid="{00000000-0005-0000-0000-000016000000}"/>
    <cellStyle name="Normal 12 3" xfId="23" xr:uid="{00000000-0005-0000-0000-000017000000}"/>
    <cellStyle name="Normal 12 4" xfId="24" xr:uid="{00000000-0005-0000-0000-000018000000}"/>
    <cellStyle name="Normal 12 5" xfId="25" xr:uid="{00000000-0005-0000-0000-000019000000}"/>
    <cellStyle name="Normal 12 6" xfId="26" xr:uid="{00000000-0005-0000-0000-00001A000000}"/>
    <cellStyle name="Normal 12 7" xfId="27" xr:uid="{00000000-0005-0000-0000-00001B000000}"/>
    <cellStyle name="Normal 12 8" xfId="28" xr:uid="{00000000-0005-0000-0000-00001C000000}"/>
    <cellStyle name="Normal 12 9" xfId="29" xr:uid="{00000000-0005-0000-0000-00001D000000}"/>
    <cellStyle name="Normal 13 2" xfId="30" xr:uid="{00000000-0005-0000-0000-00001E000000}"/>
    <cellStyle name="Normal 14 2" xfId="31" xr:uid="{00000000-0005-0000-0000-00001F000000}"/>
    <cellStyle name="Normal 15 2" xfId="32" xr:uid="{00000000-0005-0000-0000-000020000000}"/>
    <cellStyle name="Normal 2" xfId="33" xr:uid="{00000000-0005-0000-0000-000021000000}"/>
    <cellStyle name="Normal 2 10" xfId="34" xr:uid="{00000000-0005-0000-0000-000022000000}"/>
    <cellStyle name="Normal 2 11" xfId="35" xr:uid="{00000000-0005-0000-0000-000023000000}"/>
    <cellStyle name="Normal 2 12" xfId="36" xr:uid="{00000000-0005-0000-0000-000024000000}"/>
    <cellStyle name="Normal 2 13" xfId="37" xr:uid="{00000000-0005-0000-0000-000025000000}"/>
    <cellStyle name="Normal 2 14" xfId="38" xr:uid="{00000000-0005-0000-0000-000026000000}"/>
    <cellStyle name="Normal 2 15" xfId="39" xr:uid="{00000000-0005-0000-0000-000027000000}"/>
    <cellStyle name="Normal 2 16" xfId="40" xr:uid="{00000000-0005-0000-0000-000028000000}"/>
    <cellStyle name="Normal 2 17" xfId="41" xr:uid="{00000000-0005-0000-0000-000029000000}"/>
    <cellStyle name="Normal 2 2" xfId="42" xr:uid="{00000000-0005-0000-0000-00002A000000}"/>
    <cellStyle name="Normal 2 3" xfId="43" xr:uid="{00000000-0005-0000-0000-00002B000000}"/>
    <cellStyle name="Normal 2 4" xfId="44" xr:uid="{00000000-0005-0000-0000-00002C000000}"/>
    <cellStyle name="Normal 2 5" xfId="45" xr:uid="{00000000-0005-0000-0000-00002D000000}"/>
    <cellStyle name="Normal 2 6" xfId="46" xr:uid="{00000000-0005-0000-0000-00002E000000}"/>
    <cellStyle name="Normal 2 7" xfId="47" xr:uid="{00000000-0005-0000-0000-00002F000000}"/>
    <cellStyle name="Normal 2 8" xfId="48" xr:uid="{00000000-0005-0000-0000-000030000000}"/>
    <cellStyle name="Normal 2 9" xfId="49" xr:uid="{00000000-0005-0000-0000-000031000000}"/>
    <cellStyle name="Normal 4" xfId="50" xr:uid="{00000000-0005-0000-0000-000032000000}"/>
    <cellStyle name="Normal 4 10" xfId="51" xr:uid="{00000000-0005-0000-0000-000033000000}"/>
    <cellStyle name="Normal 4 11" xfId="52" xr:uid="{00000000-0005-0000-0000-000034000000}"/>
    <cellStyle name="Normal 4 12" xfId="53" xr:uid="{00000000-0005-0000-0000-000035000000}"/>
    <cellStyle name="Normal 4 13" xfId="54" xr:uid="{00000000-0005-0000-0000-000036000000}"/>
    <cellStyle name="Normal 4 14" xfId="55" xr:uid="{00000000-0005-0000-0000-000037000000}"/>
    <cellStyle name="Normal 4 15" xfId="56" xr:uid="{00000000-0005-0000-0000-000038000000}"/>
    <cellStyle name="Normal 4 16" xfId="57" xr:uid="{00000000-0005-0000-0000-000039000000}"/>
    <cellStyle name="Normal 4 17" xfId="58" xr:uid="{00000000-0005-0000-0000-00003A000000}"/>
    <cellStyle name="Normal 4 2" xfId="59" xr:uid="{00000000-0005-0000-0000-00003B000000}"/>
    <cellStyle name="Normal 4 3" xfId="60" xr:uid="{00000000-0005-0000-0000-00003C000000}"/>
    <cellStyle name="Normal 4 4" xfId="61" xr:uid="{00000000-0005-0000-0000-00003D000000}"/>
    <cellStyle name="Normal 4 5" xfId="62" xr:uid="{00000000-0005-0000-0000-00003E000000}"/>
    <cellStyle name="Normal 4 6" xfId="63" xr:uid="{00000000-0005-0000-0000-00003F000000}"/>
    <cellStyle name="Normal 4 7" xfId="64" xr:uid="{00000000-0005-0000-0000-000040000000}"/>
    <cellStyle name="Normal 4 8" xfId="65" xr:uid="{00000000-0005-0000-0000-000041000000}"/>
    <cellStyle name="Normal 4 9" xfId="66" xr:uid="{00000000-0005-0000-0000-000042000000}"/>
    <cellStyle name="Normal 5" xfId="67" xr:uid="{00000000-0005-0000-0000-000043000000}"/>
    <cellStyle name="Normal 5 10" xfId="68" xr:uid="{00000000-0005-0000-0000-000044000000}"/>
    <cellStyle name="Normal 5 11" xfId="69" xr:uid="{00000000-0005-0000-0000-000045000000}"/>
    <cellStyle name="Normal 5 12" xfId="70" xr:uid="{00000000-0005-0000-0000-000046000000}"/>
    <cellStyle name="Normal 5 13" xfId="71" xr:uid="{00000000-0005-0000-0000-000047000000}"/>
    <cellStyle name="Normal 5 14" xfId="72" xr:uid="{00000000-0005-0000-0000-000048000000}"/>
    <cellStyle name="Normal 5 15" xfId="73" xr:uid="{00000000-0005-0000-0000-000049000000}"/>
    <cellStyle name="Normal 5 16" xfId="74" xr:uid="{00000000-0005-0000-0000-00004A000000}"/>
    <cellStyle name="Normal 5 17" xfId="75" xr:uid="{00000000-0005-0000-0000-00004B000000}"/>
    <cellStyle name="Normal 5 2" xfId="76" xr:uid="{00000000-0005-0000-0000-00004C000000}"/>
    <cellStyle name="Normal 5 3" xfId="77" xr:uid="{00000000-0005-0000-0000-00004D000000}"/>
    <cellStyle name="Normal 5 4" xfId="78" xr:uid="{00000000-0005-0000-0000-00004E000000}"/>
    <cellStyle name="Normal 5 5" xfId="79" xr:uid="{00000000-0005-0000-0000-00004F000000}"/>
    <cellStyle name="Normal 5 6" xfId="80" xr:uid="{00000000-0005-0000-0000-000050000000}"/>
    <cellStyle name="Normal 5 7" xfId="81" xr:uid="{00000000-0005-0000-0000-000051000000}"/>
    <cellStyle name="Normal 5 8" xfId="82" xr:uid="{00000000-0005-0000-0000-000052000000}"/>
    <cellStyle name="Normal 5 9" xfId="83" xr:uid="{00000000-0005-0000-0000-00005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47625</xdr:colOff>
      <xdr:row>26</xdr:row>
      <xdr:rowOff>47625</xdr:rowOff>
    </xdr:from>
    <xdr:to>
      <xdr:col>18</xdr:col>
      <xdr:colOff>714375</xdr:colOff>
      <xdr:row>27</xdr:row>
      <xdr:rowOff>123825</xdr:rowOff>
    </xdr:to>
    <xdr:sp macro="" textlink="">
      <xdr:nvSpPr>
        <xdr:cNvPr id="652674" name="Line 1">
          <a:extLst>
            <a:ext uri="{FF2B5EF4-FFF2-40B4-BE49-F238E27FC236}">
              <a16:creationId xmlns:a16="http://schemas.microsoft.com/office/drawing/2014/main" id="{00000000-0008-0000-0400-000082F50900}"/>
            </a:ext>
          </a:extLst>
        </xdr:cNvPr>
        <xdr:cNvSpPr>
          <a:spLocks noChangeShapeType="1"/>
        </xdr:cNvSpPr>
      </xdr:nvSpPr>
      <xdr:spPr bwMode="auto">
        <a:xfrm flipH="1" flipV="1">
          <a:off x="12439650" y="3667125"/>
          <a:ext cx="552450" cy="219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47625</xdr:colOff>
      <xdr:row>85</xdr:row>
      <xdr:rowOff>19050</xdr:rowOff>
    </xdr:from>
    <xdr:to>
      <xdr:col>18</xdr:col>
      <xdr:colOff>762000</xdr:colOff>
      <xdr:row>86</xdr:row>
      <xdr:rowOff>0</xdr:rowOff>
    </xdr:to>
    <xdr:sp macro="" textlink="">
      <xdr:nvSpPr>
        <xdr:cNvPr id="652675" name="Line 2">
          <a:extLst>
            <a:ext uri="{FF2B5EF4-FFF2-40B4-BE49-F238E27FC236}">
              <a16:creationId xmlns:a16="http://schemas.microsoft.com/office/drawing/2014/main" id="{00000000-0008-0000-0400-000083F50900}"/>
            </a:ext>
          </a:extLst>
        </xdr:cNvPr>
        <xdr:cNvSpPr>
          <a:spLocks noChangeShapeType="1"/>
        </xdr:cNvSpPr>
      </xdr:nvSpPr>
      <xdr:spPr bwMode="auto">
        <a:xfrm flipH="1" flipV="1">
          <a:off x="12439650" y="12125325"/>
          <a:ext cx="552450" cy="1238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714</xdr:row>
      <xdr:rowOff>104775</xdr:rowOff>
    </xdr:from>
    <xdr:to>
      <xdr:col>5</xdr:col>
      <xdr:colOff>0</xdr:colOff>
      <xdr:row>714</xdr:row>
      <xdr:rowOff>104775</xdr:rowOff>
    </xdr:to>
    <xdr:sp macro="" textlink="">
      <xdr:nvSpPr>
        <xdr:cNvPr id="732381" name="Line 2">
          <a:extLst>
            <a:ext uri="{FF2B5EF4-FFF2-40B4-BE49-F238E27FC236}">
              <a16:creationId xmlns:a16="http://schemas.microsoft.com/office/drawing/2014/main" id="{00000000-0008-0000-0800-0000DD2C0B00}"/>
            </a:ext>
          </a:extLst>
        </xdr:cNvPr>
        <xdr:cNvSpPr>
          <a:spLocks noChangeShapeType="1"/>
        </xdr:cNvSpPr>
      </xdr:nvSpPr>
      <xdr:spPr bwMode="auto">
        <a:xfrm flipV="1">
          <a:off x="3067050" y="968311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5"/>
  <sheetViews>
    <sheetView zoomScale="75" zoomScaleNormal="75" workbookViewId="0">
      <selection activeCell="I70" sqref="I70"/>
    </sheetView>
  </sheetViews>
  <sheetFormatPr defaultColWidth="9.109375" defaultRowHeight="16.8" x14ac:dyDescent="0.4"/>
  <cols>
    <col min="1" max="1" width="11.5546875" style="88" customWidth="1"/>
    <col min="2" max="2" width="11" style="88" bestFit="1" customWidth="1"/>
    <col min="3" max="3" width="2.5546875" style="88" customWidth="1"/>
    <col min="4" max="4" width="9.88671875" style="88" customWidth="1"/>
    <col min="5" max="5" width="2.5546875" style="88" customWidth="1"/>
    <col min="6" max="6" width="13.44140625" style="88" bestFit="1" customWidth="1"/>
    <col min="7" max="7" width="12.88671875" style="88" customWidth="1"/>
    <col min="8" max="8" width="10.88671875" style="88" bestFit="1" customWidth="1"/>
    <col min="9" max="9" width="8.109375" style="89" bestFit="1" customWidth="1"/>
    <col min="10" max="10" width="12.88671875" style="88" customWidth="1"/>
    <col min="11" max="11" width="10.88671875" style="88" bestFit="1" customWidth="1"/>
    <col min="12" max="12" width="13.109375" style="88" customWidth="1"/>
    <col min="13" max="13" width="9.109375" style="88" customWidth="1"/>
    <col min="14" max="14" width="16" style="88" bestFit="1" customWidth="1"/>
    <col min="15" max="15" width="10" style="88" customWidth="1"/>
    <col min="16" max="16" width="9.44140625" style="88" bestFit="1" customWidth="1"/>
    <col min="17" max="17" width="9.109375" style="88"/>
    <col min="18" max="18" width="16.33203125" style="88" customWidth="1"/>
    <col min="19" max="19" width="9.5546875" style="89" bestFit="1" customWidth="1"/>
    <col min="20" max="16384" width="9.109375" style="88"/>
  </cols>
  <sheetData>
    <row r="1" spans="1:19" s="167" customFormat="1" ht="20.399999999999999" x14ac:dyDescent="0.45">
      <c r="A1" s="775" t="s">
        <v>311</v>
      </c>
      <c r="B1" s="776"/>
      <c r="C1" s="776"/>
      <c r="D1" s="776"/>
      <c r="E1" s="776"/>
      <c r="F1" s="776"/>
      <c r="G1" s="776"/>
      <c r="H1" s="776"/>
      <c r="I1" s="776"/>
      <c r="J1" s="776"/>
      <c r="K1" s="776"/>
      <c r="L1" s="777"/>
      <c r="S1" s="168"/>
    </row>
    <row r="2" spans="1:19" s="167" customFormat="1" ht="21" thickBot="1" x14ac:dyDescent="0.5">
      <c r="A2" s="778" t="s">
        <v>404</v>
      </c>
      <c r="B2" s="779"/>
      <c r="C2" s="779"/>
      <c r="D2" s="779"/>
      <c r="E2" s="779"/>
      <c r="F2" s="779"/>
      <c r="G2" s="779"/>
      <c r="H2" s="779"/>
      <c r="I2" s="779"/>
      <c r="J2" s="779"/>
      <c r="K2" s="779"/>
      <c r="L2" s="780"/>
      <c r="S2" s="168"/>
    </row>
    <row r="3" spans="1:19" ht="19.8" thickBot="1" x14ac:dyDescent="0.5">
      <c r="A3" s="429"/>
      <c r="B3" s="431" t="s">
        <v>319</v>
      </c>
      <c r="C3" s="432"/>
      <c r="D3" s="432"/>
      <c r="E3" s="433"/>
      <c r="F3" s="434" t="s">
        <v>322</v>
      </c>
      <c r="G3" s="431" t="s">
        <v>325</v>
      </c>
      <c r="H3" s="433"/>
      <c r="I3" s="435" t="s">
        <v>1151</v>
      </c>
      <c r="J3" s="436"/>
      <c r="K3" s="436"/>
      <c r="L3" s="437"/>
      <c r="N3" s="90" t="s">
        <v>0</v>
      </c>
      <c r="O3" s="91"/>
      <c r="P3" s="92"/>
      <c r="R3" s="90" t="s">
        <v>374</v>
      </c>
      <c r="S3" s="92"/>
    </row>
    <row r="4" spans="1:19" ht="19.8" thickBot="1" x14ac:dyDescent="0.5">
      <c r="A4" s="430"/>
      <c r="B4" s="438" t="s">
        <v>320</v>
      </c>
      <c r="C4" s="439"/>
      <c r="D4" s="439"/>
      <c r="E4" s="440"/>
      <c r="F4" s="441" t="s">
        <v>286</v>
      </c>
      <c r="G4" s="438" t="s">
        <v>326</v>
      </c>
      <c r="H4" s="440"/>
      <c r="I4" s="442" t="s">
        <v>65</v>
      </c>
      <c r="J4" s="443" t="s">
        <v>1</v>
      </c>
      <c r="K4" s="431"/>
      <c r="L4" s="444" t="s">
        <v>402</v>
      </c>
      <c r="N4" s="93" t="s">
        <v>303</v>
      </c>
      <c r="P4" s="94"/>
      <c r="R4" s="93" t="s">
        <v>166</v>
      </c>
      <c r="S4" s="95"/>
    </row>
    <row r="5" spans="1:19" ht="19.2" x14ac:dyDescent="0.45">
      <c r="A5" s="445" t="s">
        <v>65</v>
      </c>
      <c r="B5" s="442" t="s">
        <v>321</v>
      </c>
      <c r="C5" s="446"/>
      <c r="D5" s="446" t="s">
        <v>321</v>
      </c>
      <c r="E5" s="447"/>
      <c r="F5" s="441" t="s">
        <v>323</v>
      </c>
      <c r="G5" s="442" t="s">
        <v>321</v>
      </c>
      <c r="H5" s="446" t="s">
        <v>321</v>
      </c>
      <c r="I5" s="448" t="s">
        <v>71</v>
      </c>
      <c r="J5" s="449" t="s">
        <v>321</v>
      </c>
      <c r="K5" s="450" t="s">
        <v>321</v>
      </c>
      <c r="L5" s="451" t="s">
        <v>403</v>
      </c>
      <c r="N5" s="93"/>
      <c r="P5" s="94"/>
      <c r="R5" s="93"/>
      <c r="S5" s="95"/>
    </row>
    <row r="6" spans="1:19" ht="19.8" thickBot="1" x14ac:dyDescent="0.5">
      <c r="A6" s="452" t="s">
        <v>71</v>
      </c>
      <c r="B6" s="453" t="s">
        <v>69</v>
      </c>
      <c r="C6" s="454"/>
      <c r="D6" s="454" t="s">
        <v>64</v>
      </c>
      <c r="E6" s="455"/>
      <c r="F6" s="456" t="s">
        <v>324</v>
      </c>
      <c r="G6" s="453" t="s">
        <v>69</v>
      </c>
      <c r="H6" s="454" t="s">
        <v>64</v>
      </c>
      <c r="I6" s="457" t="s">
        <v>2</v>
      </c>
      <c r="J6" s="458" t="s">
        <v>69</v>
      </c>
      <c r="K6" s="459" t="s">
        <v>64</v>
      </c>
      <c r="L6" s="460" t="s">
        <v>324</v>
      </c>
      <c r="N6" s="96" t="s">
        <v>176</v>
      </c>
      <c r="O6" s="88" t="s">
        <v>0</v>
      </c>
      <c r="P6" s="94"/>
      <c r="R6" s="96" t="s">
        <v>176</v>
      </c>
      <c r="S6" s="97" t="s">
        <v>2</v>
      </c>
    </row>
    <row r="7" spans="1:19" ht="15" hidden="1" customHeight="1" x14ac:dyDescent="0.4">
      <c r="A7" s="169" t="s">
        <v>191</v>
      </c>
      <c r="B7" s="98">
        <v>5652</v>
      </c>
      <c r="C7" s="99" t="s">
        <v>378</v>
      </c>
      <c r="D7" s="98"/>
      <c r="E7" s="99"/>
      <c r="F7" s="100">
        <v>2345</v>
      </c>
      <c r="G7" s="101">
        <f t="shared" ref="G7:G40" si="0">+B7/F7</f>
        <v>2.4102345415778252</v>
      </c>
      <c r="H7" s="99"/>
      <c r="I7" s="102">
        <v>0.29799999999999999</v>
      </c>
      <c r="J7" s="98">
        <f t="shared" ref="J7:J15" si="1">+B7*$I$58/$I7</f>
        <v>42225.624161073822</v>
      </c>
      <c r="K7" s="98"/>
      <c r="L7" s="103">
        <f t="shared" ref="L7:L15" si="2">+F7*I$58/$I7</f>
        <v>17519.300894854587</v>
      </c>
      <c r="N7" s="93">
        <v>1960</v>
      </c>
      <c r="P7" s="94"/>
      <c r="R7" s="93">
        <v>1960</v>
      </c>
      <c r="S7" s="95">
        <v>0.29799999999999999</v>
      </c>
    </row>
    <row r="8" spans="1:19" ht="15" hidden="1" customHeight="1" x14ac:dyDescent="0.4">
      <c r="A8" s="169" t="s">
        <v>192</v>
      </c>
      <c r="B8" s="98">
        <v>5745</v>
      </c>
      <c r="C8" s="99" t="s">
        <v>378</v>
      </c>
      <c r="D8" s="98"/>
      <c r="E8" s="99"/>
      <c r="F8" s="100">
        <v>2424</v>
      </c>
      <c r="G8" s="101">
        <f t="shared" si="0"/>
        <v>2.370049504950495</v>
      </c>
      <c r="H8" s="99"/>
      <c r="I8" s="104">
        <f t="shared" ref="I8:I49" si="3">((+S7*4)+(S8*8))/12</f>
        <v>0.29866666666666664</v>
      </c>
      <c r="J8" s="98">
        <f t="shared" si="1"/>
        <v>42824.614955357145</v>
      </c>
      <c r="K8" s="98"/>
      <c r="L8" s="103">
        <f t="shared" si="2"/>
        <v>18069.080357142859</v>
      </c>
      <c r="M8" s="105"/>
      <c r="N8" s="93">
        <v>1961</v>
      </c>
      <c r="P8" s="94"/>
      <c r="R8" s="93">
        <v>1961</v>
      </c>
      <c r="S8" s="95">
        <v>0.29899999999999999</v>
      </c>
    </row>
    <row r="9" spans="1:19" ht="15" hidden="1" customHeight="1" x14ac:dyDescent="0.4">
      <c r="A9" s="169" t="s">
        <v>193</v>
      </c>
      <c r="B9" s="98">
        <v>6147</v>
      </c>
      <c r="C9" s="99" t="s">
        <v>378</v>
      </c>
      <c r="D9" s="98"/>
      <c r="E9" s="99"/>
      <c r="F9" s="100">
        <v>2572</v>
      </c>
      <c r="G9" s="101">
        <f t="shared" si="0"/>
        <v>2.3899688958009331</v>
      </c>
      <c r="H9" s="99"/>
      <c r="I9" s="104">
        <f t="shared" si="3"/>
        <v>0.30166666666666669</v>
      </c>
      <c r="J9" s="98">
        <f t="shared" si="1"/>
        <v>45365.53922651933</v>
      </c>
      <c r="K9" s="98"/>
      <c r="L9" s="103">
        <f t="shared" si="2"/>
        <v>18981.644198895025</v>
      </c>
      <c r="M9" s="105"/>
      <c r="N9" s="93">
        <v>1962</v>
      </c>
      <c r="P9" s="94"/>
      <c r="R9" s="93">
        <v>1962</v>
      </c>
      <c r="S9" s="95">
        <v>0.30299999999999999</v>
      </c>
    </row>
    <row r="10" spans="1:19" ht="15" hidden="1" customHeight="1" x14ac:dyDescent="0.4">
      <c r="A10" s="169" t="s">
        <v>194</v>
      </c>
      <c r="B10" s="98">
        <v>6424</v>
      </c>
      <c r="C10" s="99" t="s">
        <v>378</v>
      </c>
      <c r="D10" s="98"/>
      <c r="E10" s="99"/>
      <c r="F10" s="100">
        <v>2629</v>
      </c>
      <c r="G10" s="101">
        <f t="shared" si="0"/>
        <v>2.4435146443514646</v>
      </c>
      <c r="H10" s="99"/>
      <c r="I10" s="104">
        <f t="shared" si="3"/>
        <v>0.30499999999999999</v>
      </c>
      <c r="J10" s="98">
        <f t="shared" si="1"/>
        <v>46891.689617486343</v>
      </c>
      <c r="K10" s="98"/>
      <c r="L10" s="103">
        <f t="shared" si="2"/>
        <v>19190.263387978142</v>
      </c>
      <c r="M10" s="105"/>
      <c r="N10" s="93">
        <v>1963</v>
      </c>
      <c r="P10" s="94"/>
      <c r="R10" s="93">
        <v>1963</v>
      </c>
      <c r="S10" s="95">
        <v>0.30599999999999999</v>
      </c>
    </row>
    <row r="11" spans="1:19" ht="15" hidden="1" customHeight="1" x14ac:dyDescent="0.4">
      <c r="A11" s="169" t="s">
        <v>195</v>
      </c>
      <c r="B11" s="98">
        <v>6566</v>
      </c>
      <c r="C11" s="99" t="s">
        <v>379</v>
      </c>
      <c r="D11" s="98"/>
      <c r="E11" s="99"/>
      <c r="F11" s="100">
        <v>2736</v>
      </c>
      <c r="G11" s="101">
        <f t="shared" si="0"/>
        <v>2.3998538011695905</v>
      </c>
      <c r="H11" s="99"/>
      <c r="I11" s="104">
        <f t="shared" si="3"/>
        <v>0.30866666666666664</v>
      </c>
      <c r="J11" s="98">
        <f t="shared" si="1"/>
        <v>47358.87041036717</v>
      </c>
      <c r="K11" s="98"/>
      <c r="L11" s="103">
        <f t="shared" si="2"/>
        <v>19734.064794816415</v>
      </c>
      <c r="M11" s="105"/>
      <c r="N11" s="93">
        <v>1964</v>
      </c>
      <c r="P11" s="94"/>
      <c r="R11" s="93">
        <v>1964</v>
      </c>
      <c r="S11" s="106">
        <v>0.31</v>
      </c>
    </row>
    <row r="12" spans="1:19" hidden="1" x14ac:dyDescent="0.4">
      <c r="A12" s="169" t="s">
        <v>196</v>
      </c>
      <c r="B12" s="98">
        <v>6865</v>
      </c>
      <c r="C12" s="99" t="s">
        <v>379</v>
      </c>
      <c r="D12" s="98"/>
      <c r="E12" s="99"/>
      <c r="F12" s="100">
        <v>2910</v>
      </c>
      <c r="G12" s="101">
        <f t="shared" si="0"/>
        <v>2.359106529209622</v>
      </c>
      <c r="H12" s="99"/>
      <c r="I12" s="104">
        <f t="shared" si="3"/>
        <v>0.3133333333333333</v>
      </c>
      <c r="J12" s="98">
        <f t="shared" si="1"/>
        <v>48778.015957446813</v>
      </c>
      <c r="K12" s="98"/>
      <c r="L12" s="103">
        <f t="shared" si="2"/>
        <v>20676.47872340426</v>
      </c>
      <c r="M12" s="105"/>
      <c r="N12" s="93">
        <v>1965</v>
      </c>
      <c r="P12" s="94"/>
      <c r="R12" s="93">
        <v>1965</v>
      </c>
      <c r="S12" s="95">
        <v>0.315</v>
      </c>
    </row>
    <row r="13" spans="1:19" hidden="1" x14ac:dyDescent="0.4">
      <c r="A13" s="169" t="s">
        <v>197</v>
      </c>
      <c r="B13" s="98">
        <v>7174</v>
      </c>
      <c r="C13" s="99" t="s">
        <v>380</v>
      </c>
      <c r="D13" s="98"/>
      <c r="E13" s="99"/>
      <c r="F13" s="100">
        <v>3219</v>
      </c>
      <c r="G13" s="101">
        <f t="shared" si="0"/>
        <v>2.2286424355389873</v>
      </c>
      <c r="H13" s="99"/>
      <c r="I13" s="104">
        <f t="shared" si="3"/>
        <v>0.32166666666666671</v>
      </c>
      <c r="J13" s="98">
        <f t="shared" si="1"/>
        <v>49653.001036269423</v>
      </c>
      <c r="K13" s="98"/>
      <c r="L13" s="103">
        <f t="shared" si="2"/>
        <v>22279.482901554402</v>
      </c>
      <c r="M13" s="105"/>
      <c r="N13" s="93">
        <v>1966</v>
      </c>
      <c r="P13" s="94"/>
      <c r="R13" s="93">
        <v>1966</v>
      </c>
      <c r="S13" s="95">
        <v>0.32500000000000001</v>
      </c>
    </row>
    <row r="14" spans="1:19" hidden="1" x14ac:dyDescent="0.4">
      <c r="A14" s="169" t="s">
        <v>198</v>
      </c>
      <c r="B14" s="98">
        <v>7673</v>
      </c>
      <c r="C14" s="99" t="s">
        <v>380</v>
      </c>
      <c r="D14" s="98"/>
      <c r="E14" s="99"/>
      <c r="F14" s="100">
        <v>3396</v>
      </c>
      <c r="G14" s="101">
        <f t="shared" si="0"/>
        <v>2.2594228504122498</v>
      </c>
      <c r="H14" s="99"/>
      <c r="I14" s="104">
        <f t="shared" si="3"/>
        <v>0.33100000000000002</v>
      </c>
      <c r="J14" s="98">
        <f t="shared" si="1"/>
        <v>51609.231621349441</v>
      </c>
      <c r="K14" s="98"/>
      <c r="L14" s="103">
        <f t="shared" si="2"/>
        <v>22841.776435045314</v>
      </c>
      <c r="M14" s="105"/>
      <c r="N14" s="93">
        <v>1967</v>
      </c>
      <c r="P14" s="94"/>
      <c r="R14" s="93">
        <v>1967</v>
      </c>
      <c r="S14" s="95">
        <v>0.33400000000000002</v>
      </c>
    </row>
    <row r="15" spans="1:19" hidden="1" x14ac:dyDescent="0.4">
      <c r="A15" s="169" t="s">
        <v>199</v>
      </c>
      <c r="B15" s="98">
        <v>8377</v>
      </c>
      <c r="C15" s="99" t="s">
        <v>380</v>
      </c>
      <c r="D15" s="98"/>
      <c r="E15" s="99"/>
      <c r="F15" s="100">
        <v>3658</v>
      </c>
      <c r="G15" s="101">
        <f t="shared" si="0"/>
        <v>2.2900492072170584</v>
      </c>
      <c r="H15" s="99"/>
      <c r="I15" s="104">
        <f t="shared" si="3"/>
        <v>0.34333333333333332</v>
      </c>
      <c r="J15" s="98">
        <f t="shared" si="1"/>
        <v>54320.371844660192</v>
      </c>
      <c r="K15" s="98"/>
      <c r="L15" s="103">
        <f t="shared" si="2"/>
        <v>23720.176699029125</v>
      </c>
      <c r="M15" s="105"/>
      <c r="N15" s="93">
        <v>1968</v>
      </c>
      <c r="P15" s="94"/>
      <c r="R15" s="93">
        <v>1968</v>
      </c>
      <c r="S15" s="95">
        <v>0.34799999999999998</v>
      </c>
    </row>
    <row r="16" spans="1:19" ht="15" hidden="1" customHeight="1" x14ac:dyDescent="0.4">
      <c r="A16" s="169" t="s">
        <v>200</v>
      </c>
      <c r="B16" s="98">
        <f>+'Table 2'!K16</f>
        <v>8815</v>
      </c>
      <c r="C16" s="99" t="s">
        <v>379</v>
      </c>
      <c r="D16" s="98">
        <f>+'Table 2'!M16</f>
        <v>5814</v>
      </c>
      <c r="E16" s="99" t="s">
        <v>376</v>
      </c>
      <c r="F16" s="100">
        <v>4034</v>
      </c>
      <c r="G16" s="101">
        <f t="shared" si="0"/>
        <v>2.1851760039662866</v>
      </c>
      <c r="H16" s="101">
        <f t="shared" ref="H16:H33" si="4">D16/F16</f>
        <v>1.4412493802677244</v>
      </c>
      <c r="I16" s="104">
        <f t="shared" si="3"/>
        <v>0.36066666666666664</v>
      </c>
      <c r="J16" s="98">
        <f t="shared" ref="J16:J47" si="5">+B16*$I$72/$I16</f>
        <v>78153.692236598901</v>
      </c>
      <c r="K16" s="98">
        <f t="shared" ref="K16:K47" si="6">+D16*$I$72/$I16</f>
        <v>51546.859519408506</v>
      </c>
      <c r="L16" s="103">
        <f t="shared" ref="L16:L47" si="7">+F16*I$72/$I16</f>
        <v>35765.399260628474</v>
      </c>
      <c r="M16" s="105"/>
      <c r="N16" s="93">
        <v>1969</v>
      </c>
      <c r="P16" s="94"/>
      <c r="R16" s="93">
        <v>1969</v>
      </c>
      <c r="S16" s="95">
        <v>0.36699999999999999</v>
      </c>
    </row>
    <row r="17" spans="1:19" ht="15" hidden="1" customHeight="1" x14ac:dyDescent="0.4">
      <c r="A17" s="169" t="s">
        <v>201</v>
      </c>
      <c r="B17" s="98">
        <f>+'Table 2'!K17</f>
        <v>9728</v>
      </c>
      <c r="C17" s="99" t="s">
        <v>377</v>
      </c>
      <c r="D17" s="98">
        <f>+'Table 2'!M17</f>
        <v>6411</v>
      </c>
      <c r="E17" s="99" t="s">
        <v>376</v>
      </c>
      <c r="F17" s="100">
        <v>4165</v>
      </c>
      <c r="G17" s="101">
        <f t="shared" si="0"/>
        <v>2.3356542617046818</v>
      </c>
      <c r="H17" s="101">
        <f t="shared" si="4"/>
        <v>1.5392557022809124</v>
      </c>
      <c r="I17" s="104">
        <f t="shared" si="3"/>
        <v>0.38100000000000001</v>
      </c>
      <c r="J17" s="98">
        <f t="shared" si="5"/>
        <v>81645.410323709541</v>
      </c>
      <c r="K17" s="98">
        <f t="shared" si="6"/>
        <v>53806.406824146979</v>
      </c>
      <c r="L17" s="103">
        <f t="shared" si="7"/>
        <v>34956.119860017498</v>
      </c>
      <c r="M17" s="105"/>
      <c r="N17" s="93">
        <v>1970</v>
      </c>
      <c r="P17" s="94"/>
      <c r="R17" s="93">
        <v>1970</v>
      </c>
      <c r="S17" s="95">
        <v>0.38800000000000001</v>
      </c>
    </row>
    <row r="18" spans="1:19" ht="15" hidden="1" customHeight="1" x14ac:dyDescent="0.4">
      <c r="A18" s="169" t="s">
        <v>202</v>
      </c>
      <c r="B18" s="98">
        <f>+'Table 2'!K18</f>
        <v>10419</v>
      </c>
      <c r="C18" s="99" t="s">
        <v>377</v>
      </c>
      <c r="D18" s="98">
        <f>+'Table 2'!M18</f>
        <v>6867</v>
      </c>
      <c r="E18" s="99" t="s">
        <v>376</v>
      </c>
      <c r="F18" s="100">
        <v>4340</v>
      </c>
      <c r="G18" s="101">
        <f t="shared" si="0"/>
        <v>2.4006912442396313</v>
      </c>
      <c r="H18" s="101">
        <f t="shared" si="4"/>
        <v>1.582258064516129</v>
      </c>
      <c r="I18" s="104">
        <f t="shared" si="3"/>
        <v>0.39933333333333332</v>
      </c>
      <c r="J18" s="98">
        <f t="shared" si="5"/>
        <v>83430.272954924876</v>
      </c>
      <c r="K18" s="98">
        <f t="shared" si="6"/>
        <v>54987.588480801336</v>
      </c>
      <c r="L18" s="103">
        <f t="shared" si="7"/>
        <v>34752.60434056761</v>
      </c>
      <c r="M18" s="105"/>
      <c r="N18" s="93">
        <v>1971</v>
      </c>
      <c r="P18" s="94"/>
      <c r="R18" s="93">
        <v>1971</v>
      </c>
      <c r="S18" s="95">
        <v>0.40500000000000003</v>
      </c>
    </row>
    <row r="19" spans="1:19" hidden="1" x14ac:dyDescent="0.4">
      <c r="A19" s="169" t="s">
        <v>203</v>
      </c>
      <c r="B19" s="98">
        <f>+'Table 2'!K19</f>
        <v>10708</v>
      </c>
      <c r="C19" s="99"/>
      <c r="D19" s="98">
        <f>+'Table 2'!M19</f>
        <v>6918</v>
      </c>
      <c r="E19" s="99" t="s">
        <v>375</v>
      </c>
      <c r="F19" s="100">
        <v>4689</v>
      </c>
      <c r="G19" s="101">
        <f t="shared" si="0"/>
        <v>2.2836425677116656</v>
      </c>
      <c r="H19" s="101">
        <f t="shared" si="4"/>
        <v>1.4753678822776712</v>
      </c>
      <c r="I19" s="104">
        <f t="shared" si="3"/>
        <v>0.41366666666666668</v>
      </c>
      <c r="J19" s="98">
        <f t="shared" si="5"/>
        <v>82773.443996776798</v>
      </c>
      <c r="K19" s="98">
        <f t="shared" si="6"/>
        <v>53476.530217566476</v>
      </c>
      <c r="L19" s="103">
        <f t="shared" si="7"/>
        <v>36246.234488315873</v>
      </c>
      <c r="M19" s="105"/>
      <c r="N19" s="93">
        <v>1972</v>
      </c>
      <c r="P19" s="94"/>
      <c r="R19" s="93">
        <v>1972</v>
      </c>
      <c r="S19" s="95">
        <v>0.41799999999999998</v>
      </c>
    </row>
    <row r="20" spans="1:19" hidden="1" x14ac:dyDescent="0.4">
      <c r="A20" s="169" t="s">
        <v>204</v>
      </c>
      <c r="B20" s="98">
        <f>+'Table 2'!K20</f>
        <v>11289</v>
      </c>
      <c r="C20" s="99"/>
      <c r="D20" s="98">
        <f>+'Table 2'!M20</f>
        <v>7329</v>
      </c>
      <c r="E20" s="99" t="s">
        <v>381</v>
      </c>
      <c r="F20" s="100">
        <v>5263</v>
      </c>
      <c r="G20" s="101">
        <f t="shared" si="0"/>
        <v>2.1449743492304769</v>
      </c>
      <c r="H20" s="101">
        <f t="shared" si="4"/>
        <v>1.3925517765532966</v>
      </c>
      <c r="I20" s="104">
        <f t="shared" si="3"/>
        <v>0.43533333333333335</v>
      </c>
      <c r="J20" s="98">
        <f t="shared" si="5"/>
        <v>82921.421898928034</v>
      </c>
      <c r="K20" s="98">
        <f t="shared" si="6"/>
        <v>53833.918070444102</v>
      </c>
      <c r="L20" s="103">
        <f t="shared" si="7"/>
        <v>38658.467840735066</v>
      </c>
      <c r="M20" s="105"/>
      <c r="N20" s="93">
        <v>1973</v>
      </c>
      <c r="P20" s="94"/>
      <c r="R20" s="93">
        <v>1973</v>
      </c>
      <c r="S20" s="95">
        <v>0.44400000000000001</v>
      </c>
    </row>
    <row r="21" spans="1:19" hidden="1" x14ac:dyDescent="0.4">
      <c r="A21" s="169" t="s">
        <v>205</v>
      </c>
      <c r="B21" s="98">
        <f>+'Table 2'!K21</f>
        <v>12025</v>
      </c>
      <c r="C21" s="99"/>
      <c r="D21" s="98">
        <f>+'Table 2'!M21</f>
        <v>8004</v>
      </c>
      <c r="E21" s="99" t="s">
        <v>375</v>
      </c>
      <c r="F21" s="100">
        <v>5841</v>
      </c>
      <c r="G21" s="101">
        <f t="shared" si="0"/>
        <v>2.058722821434686</v>
      </c>
      <c r="H21" s="101">
        <f t="shared" si="4"/>
        <v>1.3703133025166923</v>
      </c>
      <c r="I21" s="104">
        <f t="shared" si="3"/>
        <v>0.47666666666666663</v>
      </c>
      <c r="J21" s="98">
        <f t="shared" si="5"/>
        <v>80668.409090909088</v>
      </c>
      <c r="K21" s="98">
        <f t="shared" si="6"/>
        <v>53693.966433566435</v>
      </c>
      <c r="L21" s="103">
        <f t="shared" si="7"/>
        <v>39183.715384615389</v>
      </c>
      <c r="M21" s="105"/>
      <c r="N21" s="93">
        <v>1974</v>
      </c>
      <c r="P21" s="94"/>
      <c r="R21" s="93">
        <v>1974</v>
      </c>
      <c r="S21" s="95">
        <v>0.49299999999999999</v>
      </c>
    </row>
    <row r="22" spans="1:19" hidden="1" x14ac:dyDescent="0.4">
      <c r="A22" s="169" t="s">
        <v>206</v>
      </c>
      <c r="B22" s="98">
        <f>+'Table 2'!K22</f>
        <v>13049</v>
      </c>
      <c r="C22" s="99"/>
      <c r="D22" s="98">
        <f>+'Table 2'!M22</f>
        <v>8678</v>
      </c>
      <c r="E22" s="99" t="s">
        <v>375</v>
      </c>
      <c r="F22" s="100">
        <v>6427</v>
      </c>
      <c r="G22" s="101">
        <f t="shared" si="0"/>
        <v>2.0303407499611015</v>
      </c>
      <c r="H22" s="101">
        <f t="shared" si="4"/>
        <v>1.3502411700637933</v>
      </c>
      <c r="I22" s="104">
        <f t="shared" si="3"/>
        <v>0.52300000000000002</v>
      </c>
      <c r="J22" s="98">
        <f t="shared" si="5"/>
        <v>79782.700446144037</v>
      </c>
      <c r="K22" s="98">
        <f t="shared" si="6"/>
        <v>53058.033142128741</v>
      </c>
      <c r="L22" s="103">
        <f t="shared" si="7"/>
        <v>39295.226896112166</v>
      </c>
      <c r="M22" s="105"/>
      <c r="N22" s="93">
        <v>1975</v>
      </c>
      <c r="P22" s="94"/>
      <c r="R22" s="93">
        <v>1975</v>
      </c>
      <c r="S22" s="95">
        <v>0.53800000000000003</v>
      </c>
    </row>
    <row r="23" spans="1:19" hidden="1" x14ac:dyDescent="0.4">
      <c r="A23" s="169" t="s">
        <v>207</v>
      </c>
      <c r="B23" s="98">
        <f>+'Table 2'!K23</f>
        <v>14481</v>
      </c>
      <c r="C23" s="99"/>
      <c r="D23" s="98">
        <f>+'Table 2'!M23</f>
        <v>9401</v>
      </c>
      <c r="E23" s="99" t="s">
        <v>375</v>
      </c>
      <c r="F23" s="100">
        <v>7064</v>
      </c>
      <c r="G23" s="101">
        <f t="shared" si="0"/>
        <v>2.0499716874292186</v>
      </c>
      <c r="H23" s="101">
        <f t="shared" si="4"/>
        <v>1.3308323895809739</v>
      </c>
      <c r="I23" s="104">
        <f t="shared" si="3"/>
        <v>0.55866666666666664</v>
      </c>
      <c r="J23" s="98">
        <f t="shared" si="5"/>
        <v>82885.580548926024</v>
      </c>
      <c r="K23" s="98">
        <f t="shared" si="6"/>
        <v>53808.945704057282</v>
      </c>
      <c r="L23" s="103">
        <f t="shared" si="7"/>
        <v>40432.548926014322</v>
      </c>
      <c r="M23" s="105"/>
      <c r="N23" s="93">
        <v>1976</v>
      </c>
      <c r="P23" s="94"/>
      <c r="R23" s="93">
        <v>1976</v>
      </c>
      <c r="S23" s="95">
        <v>0.56899999999999995</v>
      </c>
    </row>
    <row r="24" spans="1:19" hidden="1" x14ac:dyDescent="0.4">
      <c r="A24" s="169" t="s">
        <v>208</v>
      </c>
      <c r="B24" s="98">
        <f>+'Table 2'!K24</f>
        <v>15801</v>
      </c>
      <c r="C24" s="99"/>
      <c r="D24" s="98">
        <f>+'Table 2'!M24</f>
        <v>10225</v>
      </c>
      <c r="E24" s="99"/>
      <c r="F24" s="100">
        <v>7728</v>
      </c>
      <c r="G24" s="101">
        <f t="shared" si="0"/>
        <v>2.0446428571428572</v>
      </c>
      <c r="H24" s="101">
        <f t="shared" si="4"/>
        <v>1.3231107660455486</v>
      </c>
      <c r="I24" s="104">
        <f t="shared" si="3"/>
        <v>0.59366666666666668</v>
      </c>
      <c r="J24" s="98">
        <f t="shared" si="5"/>
        <v>85108.92363840538</v>
      </c>
      <c r="K24" s="98">
        <f t="shared" si="6"/>
        <v>55074.915777653005</v>
      </c>
      <c r="L24" s="103">
        <f t="shared" si="7"/>
        <v>41625.325098259404</v>
      </c>
      <c r="M24" s="105"/>
      <c r="N24" s="93">
        <v>1977</v>
      </c>
      <c r="P24" s="94"/>
      <c r="R24" s="93">
        <v>1977</v>
      </c>
      <c r="S24" s="95">
        <v>0.60599999999999998</v>
      </c>
    </row>
    <row r="25" spans="1:19" hidden="1" x14ac:dyDescent="0.4">
      <c r="A25" s="169" t="s">
        <v>209</v>
      </c>
      <c r="B25" s="98">
        <f>+'Table 2'!K25</f>
        <v>17032</v>
      </c>
      <c r="C25" s="99"/>
      <c r="D25" s="98">
        <f>+'Table 2'!M25</f>
        <v>10952</v>
      </c>
      <c r="E25" s="99"/>
      <c r="F25" s="100">
        <v>8813</v>
      </c>
      <c r="G25" s="101">
        <f t="shared" si="0"/>
        <v>1.9325995688187905</v>
      </c>
      <c r="H25" s="101">
        <f t="shared" si="4"/>
        <v>1.242709633495972</v>
      </c>
      <c r="I25" s="104">
        <f t="shared" si="3"/>
        <v>0.63666666666666671</v>
      </c>
      <c r="J25" s="98">
        <f t="shared" si="5"/>
        <v>85543.44293193717</v>
      </c>
      <c r="K25" s="98">
        <f t="shared" si="6"/>
        <v>55006.563350785334</v>
      </c>
      <c r="L25" s="103">
        <f t="shared" si="7"/>
        <v>44263.407853403136</v>
      </c>
      <c r="M25" s="105"/>
      <c r="N25" s="93">
        <v>1978</v>
      </c>
      <c r="P25" s="94"/>
      <c r="R25" s="93">
        <v>1978</v>
      </c>
      <c r="S25" s="95">
        <v>0.65200000000000002</v>
      </c>
    </row>
    <row r="26" spans="1:19" hidden="1" x14ac:dyDescent="0.4">
      <c r="A26" s="169" t="s">
        <v>210</v>
      </c>
      <c r="B26" s="98">
        <f>+'Table 2'!K26</f>
        <v>18336</v>
      </c>
      <c r="C26" s="99"/>
      <c r="D26" s="98">
        <f>+'Table 2'!M26</f>
        <v>11807</v>
      </c>
      <c r="E26" s="99"/>
      <c r="F26" s="100">
        <v>9840</v>
      </c>
      <c r="G26" s="101">
        <f t="shared" si="0"/>
        <v>1.8634146341463416</v>
      </c>
      <c r="H26" s="101">
        <f t="shared" si="4"/>
        <v>1.1998983739837399</v>
      </c>
      <c r="I26" s="104">
        <f t="shared" si="3"/>
        <v>0.70133333333333336</v>
      </c>
      <c r="J26" s="98">
        <f t="shared" si="5"/>
        <v>83601.353612167295</v>
      </c>
      <c r="K26" s="98">
        <f t="shared" si="6"/>
        <v>53832.96150190114</v>
      </c>
      <c r="L26" s="103">
        <f t="shared" si="7"/>
        <v>44864.600760456276</v>
      </c>
      <c r="M26" s="105"/>
      <c r="N26" s="93">
        <v>1979</v>
      </c>
      <c r="P26" s="94"/>
      <c r="R26" s="93">
        <v>1979</v>
      </c>
      <c r="S26" s="95">
        <v>0.72599999999999998</v>
      </c>
    </row>
    <row r="27" spans="1:19" hidden="1" x14ac:dyDescent="0.4">
      <c r="A27" s="169" t="s">
        <v>211</v>
      </c>
      <c r="B27" s="98">
        <f>+'Table 2'!K27</f>
        <v>19877</v>
      </c>
      <c r="C27" s="99"/>
      <c r="D27" s="98">
        <f>+'Table 2'!M27</f>
        <v>12732</v>
      </c>
      <c r="E27" s="99"/>
      <c r="F27" s="100">
        <v>10725</v>
      </c>
      <c r="G27" s="101">
        <f t="shared" si="0"/>
        <v>1.8533333333333333</v>
      </c>
      <c r="H27" s="101">
        <f t="shared" si="4"/>
        <v>1.1871328671328671</v>
      </c>
      <c r="I27" s="104">
        <f t="shared" si="3"/>
        <v>0.79133333333333322</v>
      </c>
      <c r="J27" s="98">
        <f t="shared" si="5"/>
        <v>80320.160488626803</v>
      </c>
      <c r="K27" s="98">
        <f t="shared" si="6"/>
        <v>51448.220724515595</v>
      </c>
      <c r="L27" s="103">
        <f t="shared" si="7"/>
        <v>43338.216090985683</v>
      </c>
      <c r="M27" s="105"/>
      <c r="N27" s="93">
        <v>1980</v>
      </c>
      <c r="P27" s="94"/>
      <c r="R27" s="93">
        <v>1980</v>
      </c>
      <c r="S27" s="95">
        <v>0.82399999999999995</v>
      </c>
    </row>
    <row r="28" spans="1:19" hidden="1" x14ac:dyDescent="0.4">
      <c r="A28" s="169" t="s">
        <v>212</v>
      </c>
      <c r="B28" s="98">
        <f>+'Table 2'!K28</f>
        <v>22430</v>
      </c>
      <c r="C28" s="99"/>
      <c r="D28" s="98">
        <f>+'Table 2'!M28</f>
        <v>14040</v>
      </c>
      <c r="E28" s="99"/>
      <c r="F28" s="100">
        <v>11630</v>
      </c>
      <c r="G28" s="101">
        <f t="shared" si="0"/>
        <v>1.9286328460877042</v>
      </c>
      <c r="H28" s="101">
        <f t="shared" si="4"/>
        <v>1.2072226999140154</v>
      </c>
      <c r="I28" s="104">
        <f t="shared" si="3"/>
        <v>0.8806666666666666</v>
      </c>
      <c r="J28" s="98">
        <f t="shared" si="5"/>
        <v>81442.464042392123</v>
      </c>
      <c r="K28" s="98">
        <f t="shared" si="6"/>
        <v>50978.697956093871</v>
      </c>
      <c r="L28" s="103">
        <f t="shared" si="7"/>
        <v>42228.080999243</v>
      </c>
      <c r="M28" s="105"/>
      <c r="N28" s="93">
        <v>1981</v>
      </c>
      <c r="P28" s="94"/>
      <c r="R28" s="93">
        <v>1981</v>
      </c>
      <c r="S28" s="95">
        <v>0.90900000000000003</v>
      </c>
    </row>
    <row r="29" spans="1:19" hidden="1" x14ac:dyDescent="0.4">
      <c r="A29" s="169" t="s">
        <v>213</v>
      </c>
      <c r="B29" s="98">
        <f>+'Table 2'!K29</f>
        <v>24158</v>
      </c>
      <c r="C29" s="99"/>
      <c r="D29" s="98">
        <f>+'Table 2'!M29</f>
        <v>15233</v>
      </c>
      <c r="E29" s="99"/>
      <c r="F29" s="100">
        <v>12024</v>
      </c>
      <c r="G29" s="101">
        <f t="shared" si="0"/>
        <v>2.0091483699268129</v>
      </c>
      <c r="H29" s="101">
        <f t="shared" si="4"/>
        <v>1.2668829008649367</v>
      </c>
      <c r="I29" s="104">
        <f t="shared" si="3"/>
        <v>0.94633333333333336</v>
      </c>
      <c r="J29" s="98">
        <f t="shared" si="5"/>
        <v>81630.043677351176</v>
      </c>
      <c r="K29" s="98">
        <f t="shared" si="6"/>
        <v>51472.408946812255</v>
      </c>
      <c r="L29" s="103">
        <f t="shared" si="7"/>
        <v>40629.176470588231</v>
      </c>
      <c r="M29" s="105"/>
      <c r="N29" s="93">
        <v>1982</v>
      </c>
      <c r="P29" s="94"/>
      <c r="R29" s="93">
        <v>1982</v>
      </c>
      <c r="S29" s="95">
        <v>0.96499999999999997</v>
      </c>
    </row>
    <row r="30" spans="1:19" hidden="1" x14ac:dyDescent="0.4">
      <c r="A30" s="169" t="s">
        <v>214</v>
      </c>
      <c r="B30" s="98">
        <f>+'Table 2'!K30</f>
        <v>24681</v>
      </c>
      <c r="C30" s="99"/>
      <c r="D30" s="98">
        <f>+'Table 2'!M30</f>
        <v>15440</v>
      </c>
      <c r="E30" s="99"/>
      <c r="F30" s="100">
        <v>12685</v>
      </c>
      <c r="G30" s="101">
        <f t="shared" si="0"/>
        <v>1.9456838785967678</v>
      </c>
      <c r="H30" s="101">
        <f t="shared" si="4"/>
        <v>1.2171856523452897</v>
      </c>
      <c r="I30" s="104">
        <f t="shared" si="3"/>
        <v>0.98566666666666658</v>
      </c>
      <c r="J30" s="98">
        <f t="shared" si="5"/>
        <v>80069.270544470754</v>
      </c>
      <c r="K30" s="98">
        <f t="shared" si="6"/>
        <v>50089.928982076432</v>
      </c>
      <c r="L30" s="103">
        <f t="shared" si="7"/>
        <v>41152.250591816031</v>
      </c>
      <c r="M30" s="105"/>
      <c r="N30" s="93">
        <v>1983</v>
      </c>
      <c r="P30" s="94"/>
      <c r="R30" s="93">
        <v>1983</v>
      </c>
      <c r="S30" s="95">
        <v>0.996</v>
      </c>
    </row>
    <row r="31" spans="1:19" hidden="1" x14ac:dyDescent="0.4">
      <c r="A31" s="169" t="s">
        <v>215</v>
      </c>
      <c r="B31" s="98">
        <f>+'Table 2'!K31</f>
        <v>25667</v>
      </c>
      <c r="C31" s="99"/>
      <c r="D31" s="98">
        <f>+'Table 2'!M31</f>
        <v>16249</v>
      </c>
      <c r="E31" s="99"/>
      <c r="F31" s="100">
        <v>13447</v>
      </c>
      <c r="G31" s="101">
        <f t="shared" si="0"/>
        <v>1.908752881683647</v>
      </c>
      <c r="H31" s="101">
        <f t="shared" si="4"/>
        <v>1.2083736149326987</v>
      </c>
      <c r="I31" s="104">
        <f t="shared" si="3"/>
        <v>1.0246666666666666</v>
      </c>
      <c r="J31" s="98">
        <f t="shared" si="5"/>
        <v>80098.741379310348</v>
      </c>
      <c r="K31" s="98">
        <f t="shared" si="6"/>
        <v>50708.086206896558</v>
      </c>
      <c r="L31" s="103">
        <f t="shared" si="7"/>
        <v>41963.913793103449</v>
      </c>
      <c r="M31" s="105"/>
      <c r="N31" s="93">
        <v>1984</v>
      </c>
      <c r="P31" s="94"/>
      <c r="R31" s="93">
        <v>1984</v>
      </c>
      <c r="S31" s="95">
        <v>1.0389999999999999</v>
      </c>
    </row>
    <row r="32" spans="1:19" hidden="1" x14ac:dyDescent="0.4">
      <c r="A32" s="169" t="s">
        <v>216</v>
      </c>
      <c r="B32" s="98">
        <f>+'Table 2'!K32</f>
        <v>26806</v>
      </c>
      <c r="C32" s="99"/>
      <c r="D32" s="98">
        <f>+'Table 2'!M32</f>
        <v>17099</v>
      </c>
      <c r="E32" s="99"/>
      <c r="F32" s="100">
        <v>14096</v>
      </c>
      <c r="G32" s="101">
        <f t="shared" si="0"/>
        <v>1.9016742338251986</v>
      </c>
      <c r="H32" s="101">
        <f t="shared" si="4"/>
        <v>1.2130391600454029</v>
      </c>
      <c r="I32" s="104">
        <f t="shared" si="3"/>
        <v>1.0636666666666665</v>
      </c>
      <c r="J32" s="98">
        <f t="shared" si="5"/>
        <v>80586.010028204328</v>
      </c>
      <c r="K32" s="98">
        <f t="shared" si="6"/>
        <v>51404.170166092139</v>
      </c>
      <c r="L32" s="103">
        <f t="shared" si="7"/>
        <v>42376.348480100285</v>
      </c>
      <c r="M32" s="105"/>
      <c r="N32" s="93">
        <v>1985</v>
      </c>
      <c r="P32" s="94"/>
      <c r="R32" s="93">
        <v>1985</v>
      </c>
      <c r="S32" s="95">
        <v>1.0760000000000001</v>
      </c>
    </row>
    <row r="33" spans="1:19" hidden="1" x14ac:dyDescent="0.4">
      <c r="A33" s="169" t="s">
        <v>217</v>
      </c>
      <c r="B33" s="98">
        <f>+'Table 2'!K33</f>
        <v>27562</v>
      </c>
      <c r="C33" s="99"/>
      <c r="D33" s="98">
        <f>+'Table 2'!M33</f>
        <v>17505</v>
      </c>
      <c r="E33" s="99"/>
      <c r="F33" s="100">
        <v>14884</v>
      </c>
      <c r="G33" s="101">
        <f t="shared" si="0"/>
        <v>1.8517871539908626</v>
      </c>
      <c r="H33" s="101">
        <f t="shared" si="4"/>
        <v>1.1760951357162053</v>
      </c>
      <c r="I33" s="104">
        <f t="shared" si="3"/>
        <v>1.0900000000000001</v>
      </c>
      <c r="J33" s="98">
        <f t="shared" si="5"/>
        <v>80856.962079510689</v>
      </c>
      <c r="K33" s="98">
        <f t="shared" si="6"/>
        <v>51353.353211009169</v>
      </c>
      <c r="L33" s="103">
        <f t="shared" si="7"/>
        <v>43664.285015290516</v>
      </c>
      <c r="M33" s="105"/>
      <c r="N33" s="93">
        <v>1986</v>
      </c>
      <c r="P33" s="94"/>
      <c r="R33" s="93">
        <v>1986</v>
      </c>
      <c r="S33" s="95">
        <v>1.097</v>
      </c>
    </row>
    <row r="34" spans="1:19" hidden="1" x14ac:dyDescent="0.4">
      <c r="A34" s="169" t="s">
        <v>218</v>
      </c>
      <c r="B34" s="98">
        <f>+'Table 2'!K34</f>
        <v>28673</v>
      </c>
      <c r="C34" s="99" t="s">
        <v>375</v>
      </c>
      <c r="D34" s="98">
        <f>+'Table 2'!M34</f>
        <v>18038</v>
      </c>
      <c r="E34" s="99" t="s">
        <v>375</v>
      </c>
      <c r="F34" s="100">
        <v>15568</v>
      </c>
      <c r="G34" s="101">
        <f t="shared" si="0"/>
        <v>1.8417908530318603</v>
      </c>
      <c r="H34" s="101">
        <f t="shared" ref="H34:H55" si="8">D34/F34</f>
        <v>1.1586587872559095</v>
      </c>
      <c r="I34" s="104">
        <f t="shared" si="3"/>
        <v>1.123</v>
      </c>
      <c r="J34" s="98">
        <f t="shared" si="5"/>
        <v>81644.431285247847</v>
      </c>
      <c r="K34" s="98">
        <f t="shared" si="6"/>
        <v>51361.986939744733</v>
      </c>
      <c r="L34" s="103">
        <f t="shared" si="7"/>
        <v>44328.828732561589</v>
      </c>
      <c r="M34" s="105"/>
      <c r="N34" s="93">
        <v>1987</v>
      </c>
      <c r="P34" s="94"/>
      <c r="R34" s="93">
        <v>1987</v>
      </c>
      <c r="S34" s="95">
        <v>1.1359999999999999</v>
      </c>
    </row>
    <row r="35" spans="1:19" hidden="1" x14ac:dyDescent="0.4">
      <c r="A35" s="169" t="s">
        <v>219</v>
      </c>
      <c r="B35" s="98">
        <f>+'Table 2'!K35</f>
        <v>29683</v>
      </c>
      <c r="C35" s="99" t="s">
        <v>375</v>
      </c>
      <c r="D35" s="98">
        <f>+'Table 2'!M35</f>
        <v>18732</v>
      </c>
      <c r="E35" s="99" t="s">
        <v>375</v>
      </c>
      <c r="F35" s="100">
        <f t="shared" ref="F35:F41" si="9">O35</f>
        <v>16360</v>
      </c>
      <c r="G35" s="101">
        <f t="shared" si="0"/>
        <v>1.8143643031784842</v>
      </c>
      <c r="H35" s="101">
        <f t="shared" si="8"/>
        <v>1.1449877750611246</v>
      </c>
      <c r="I35" s="104">
        <f t="shared" si="3"/>
        <v>1.1673333333333333</v>
      </c>
      <c r="J35" s="98">
        <f t="shared" si="5"/>
        <v>81310.399486007998</v>
      </c>
      <c r="K35" s="98">
        <f t="shared" si="6"/>
        <v>51312.414620217023</v>
      </c>
      <c r="L35" s="103">
        <f t="shared" si="7"/>
        <v>44814.814391776126</v>
      </c>
      <c r="M35" s="105"/>
      <c r="N35" s="93">
        <v>1988</v>
      </c>
      <c r="O35" s="107">
        <v>16360</v>
      </c>
      <c r="P35" s="108">
        <v>33909</v>
      </c>
      <c r="R35" s="93">
        <v>1988</v>
      </c>
      <c r="S35" s="95">
        <v>1.1830000000000001</v>
      </c>
    </row>
    <row r="36" spans="1:19" hidden="1" x14ac:dyDescent="0.4">
      <c r="A36" s="169" t="s">
        <v>220</v>
      </c>
      <c r="B36" s="98">
        <f>+'Table 2'!K36</f>
        <v>30756</v>
      </c>
      <c r="C36" s="99" t="s">
        <v>375</v>
      </c>
      <c r="D36" s="98">
        <f>+'Table 2'!M36</f>
        <v>19577</v>
      </c>
      <c r="E36" s="99" t="s">
        <v>375</v>
      </c>
      <c r="F36" s="100">
        <f t="shared" si="9"/>
        <v>17558</v>
      </c>
      <c r="G36" s="101">
        <f t="shared" si="0"/>
        <v>1.7516801458024831</v>
      </c>
      <c r="H36" s="101">
        <f t="shared" si="8"/>
        <v>1.1149903178038501</v>
      </c>
      <c r="I36" s="104">
        <f t="shared" si="3"/>
        <v>1.2203333333333335</v>
      </c>
      <c r="J36" s="98">
        <f t="shared" si="5"/>
        <v>80590.633160338693</v>
      </c>
      <c r="K36" s="98">
        <f t="shared" si="6"/>
        <v>51298.049986342521</v>
      </c>
      <c r="L36" s="103">
        <f t="shared" si="7"/>
        <v>46007.61922971865</v>
      </c>
      <c r="M36" s="105"/>
      <c r="N36" s="93">
        <v>1989</v>
      </c>
      <c r="O36" s="107">
        <v>17558</v>
      </c>
      <c r="P36" s="109"/>
      <c r="R36" s="93">
        <v>1989</v>
      </c>
      <c r="S36" s="95">
        <v>1.2390000000000001</v>
      </c>
    </row>
    <row r="37" spans="1:19" hidden="1" x14ac:dyDescent="0.4">
      <c r="A37" s="169" t="s">
        <v>221</v>
      </c>
      <c r="B37" s="98">
        <f>+'Table 2'!K37</f>
        <v>32085</v>
      </c>
      <c r="C37" s="99" t="s">
        <v>375</v>
      </c>
      <c r="D37" s="98">
        <f>+'Table 2'!M37</f>
        <v>20518</v>
      </c>
      <c r="E37" s="99" t="s">
        <v>375</v>
      </c>
      <c r="F37" s="100">
        <f t="shared" si="9"/>
        <v>19201</v>
      </c>
      <c r="G37" s="101">
        <f t="shared" si="0"/>
        <v>1.6710067184000834</v>
      </c>
      <c r="H37" s="101">
        <f t="shared" si="8"/>
        <v>1.0685901775949169</v>
      </c>
      <c r="I37" s="104">
        <f t="shared" si="3"/>
        <v>1.2843333333333333</v>
      </c>
      <c r="J37" s="98">
        <f t="shared" si="5"/>
        <v>79883.572540877241</v>
      </c>
      <c r="K37" s="98">
        <f t="shared" si="6"/>
        <v>51084.654554892288</v>
      </c>
      <c r="L37" s="103">
        <f t="shared" si="7"/>
        <v>47805.656112120421</v>
      </c>
      <c r="M37" s="105"/>
      <c r="N37" s="93">
        <v>1990</v>
      </c>
      <c r="O37" s="110">
        <v>19201</v>
      </c>
      <c r="P37" s="111">
        <v>35004</v>
      </c>
      <c r="R37" s="93">
        <v>1990</v>
      </c>
      <c r="S37" s="95">
        <v>1.3069999999999999</v>
      </c>
    </row>
    <row r="38" spans="1:19" hidden="1" x14ac:dyDescent="0.4">
      <c r="A38" s="169" t="s">
        <v>222</v>
      </c>
      <c r="B38" s="98">
        <f>+'Table 2'!K38</f>
        <v>34826</v>
      </c>
      <c r="C38" s="99" t="s">
        <v>375</v>
      </c>
      <c r="D38" s="98">
        <f>+'Table 2'!M38</f>
        <v>21560</v>
      </c>
      <c r="E38" s="99" t="s">
        <v>375</v>
      </c>
      <c r="F38" s="100">
        <f t="shared" si="9"/>
        <v>20063</v>
      </c>
      <c r="G38" s="101">
        <f t="shared" si="0"/>
        <v>1.7358321287942979</v>
      </c>
      <c r="H38" s="101">
        <f t="shared" si="8"/>
        <v>1.074614962866969</v>
      </c>
      <c r="I38" s="104">
        <f t="shared" si="3"/>
        <v>1.3436666666666668</v>
      </c>
      <c r="J38" s="98">
        <f t="shared" si="5"/>
        <v>82879.14115604067</v>
      </c>
      <c r="K38" s="98">
        <f t="shared" si="6"/>
        <v>51308.628131977166</v>
      </c>
      <c r="L38" s="103">
        <f t="shared" si="7"/>
        <v>47746.057802034229</v>
      </c>
      <c r="M38" s="105"/>
      <c r="N38" s="93">
        <v>1991</v>
      </c>
      <c r="O38" s="110">
        <v>20063</v>
      </c>
      <c r="P38" s="94"/>
      <c r="R38" s="93">
        <v>1991</v>
      </c>
      <c r="S38" s="95">
        <v>1.3620000000000001</v>
      </c>
    </row>
    <row r="39" spans="1:19" hidden="1" x14ac:dyDescent="0.4">
      <c r="A39" s="169" t="s">
        <v>223</v>
      </c>
      <c r="B39" s="98">
        <f>+'Table 2'!K39</f>
        <v>36665</v>
      </c>
      <c r="C39" s="99"/>
      <c r="D39" s="98">
        <f>+'Table 2'!M39</f>
        <v>22715</v>
      </c>
      <c r="E39" s="99"/>
      <c r="F39" s="100">
        <f t="shared" si="9"/>
        <v>21391</v>
      </c>
      <c r="G39" s="101">
        <f t="shared" si="0"/>
        <v>1.7140386143705297</v>
      </c>
      <c r="H39" s="101">
        <f t="shared" si="8"/>
        <v>1.0618951895657052</v>
      </c>
      <c r="I39" s="104">
        <f t="shared" si="3"/>
        <v>1.3893333333333333</v>
      </c>
      <c r="J39" s="98">
        <f t="shared" si="5"/>
        <v>84387.558781190019</v>
      </c>
      <c r="K39" s="98">
        <f t="shared" si="6"/>
        <v>52280.469049904037</v>
      </c>
      <c r="L39" s="103">
        <f t="shared" si="7"/>
        <v>49233.172504798466</v>
      </c>
      <c r="M39" s="105"/>
      <c r="N39" s="93">
        <v>1992</v>
      </c>
      <c r="O39" s="112">
        <v>21391</v>
      </c>
      <c r="P39" s="113">
        <v>35370</v>
      </c>
      <c r="R39" s="93">
        <v>1992</v>
      </c>
      <c r="S39" s="95">
        <v>1.403</v>
      </c>
    </row>
    <row r="40" spans="1:19" hidden="1" x14ac:dyDescent="0.4">
      <c r="A40" s="169" t="s">
        <v>224</v>
      </c>
      <c r="B40" s="98">
        <f>+'Table 2'!K40</f>
        <v>37698</v>
      </c>
      <c r="C40" s="99"/>
      <c r="D40" s="98">
        <f>+'Table 2'!M40</f>
        <v>23562</v>
      </c>
      <c r="E40" s="99"/>
      <c r="F40" s="100">
        <f t="shared" si="9"/>
        <v>21945</v>
      </c>
      <c r="G40" s="101">
        <f t="shared" si="0"/>
        <v>1.7178400546821599</v>
      </c>
      <c r="H40" s="101">
        <f t="shared" si="8"/>
        <v>1.0736842105263158</v>
      </c>
      <c r="I40" s="104">
        <f t="shared" si="3"/>
        <v>1.431</v>
      </c>
      <c r="J40" s="98">
        <f t="shared" si="5"/>
        <v>84238.740740740745</v>
      </c>
      <c r="K40" s="98">
        <f t="shared" si="6"/>
        <v>52650.888888888891</v>
      </c>
      <c r="L40" s="103">
        <f t="shared" si="7"/>
        <v>49037.592592592591</v>
      </c>
      <c r="M40" s="105"/>
      <c r="N40" s="93">
        <v>1993</v>
      </c>
      <c r="O40" s="112">
        <v>21945</v>
      </c>
      <c r="P40" s="94"/>
      <c r="R40" s="93">
        <v>1993</v>
      </c>
      <c r="S40" s="95">
        <v>1.4450000000000001</v>
      </c>
    </row>
    <row r="41" spans="1:19" hidden="1" x14ac:dyDescent="0.4">
      <c r="A41" s="169" t="s">
        <v>225</v>
      </c>
      <c r="B41" s="98">
        <f>+'Table 2'!K41</f>
        <v>37777</v>
      </c>
      <c r="C41" s="99"/>
      <c r="D41" s="98">
        <f>+'Table 2'!M41</f>
        <v>23837</v>
      </c>
      <c r="E41" s="99"/>
      <c r="F41" s="100">
        <f t="shared" si="9"/>
        <v>22541</v>
      </c>
      <c r="G41" s="101">
        <f t="shared" ref="G41:G46" si="10">+B41/F41</f>
        <v>1.6759238720553657</v>
      </c>
      <c r="H41" s="101">
        <f t="shared" si="8"/>
        <v>1.0574952309125594</v>
      </c>
      <c r="I41" s="104">
        <f t="shared" si="3"/>
        <v>1.4696666666666667</v>
      </c>
      <c r="J41" s="98">
        <f t="shared" si="5"/>
        <v>82194.320934452262</v>
      </c>
      <c r="K41" s="98">
        <f t="shared" si="6"/>
        <v>51863.992061691992</v>
      </c>
      <c r="L41" s="103">
        <f t="shared" si="7"/>
        <v>49044.185302789752</v>
      </c>
      <c r="M41" s="105"/>
      <c r="N41" s="93">
        <v>1994</v>
      </c>
      <c r="O41" s="114">
        <v>22541</v>
      </c>
      <c r="P41" s="115">
        <v>36100</v>
      </c>
      <c r="R41" s="93">
        <v>1994</v>
      </c>
      <c r="S41" s="95">
        <v>1.482</v>
      </c>
    </row>
    <row r="42" spans="1:19" hidden="1" x14ac:dyDescent="0.4">
      <c r="A42" s="169" t="s">
        <v>226</v>
      </c>
      <c r="B42" s="98">
        <f>+'Table 2'!K42</f>
        <v>38100</v>
      </c>
      <c r="C42" s="116"/>
      <c r="D42" s="98">
        <f>+'Table 2'!M42</f>
        <v>24042</v>
      </c>
      <c r="E42" s="99"/>
      <c r="F42" s="100">
        <f t="shared" ref="F42:F49" si="11">O42</f>
        <v>23548</v>
      </c>
      <c r="G42" s="101">
        <f t="shared" si="10"/>
        <v>1.6179718022762017</v>
      </c>
      <c r="H42" s="101">
        <f t="shared" si="8"/>
        <v>1.0209784270426363</v>
      </c>
      <c r="I42" s="104">
        <f t="shared" si="3"/>
        <v>1.51</v>
      </c>
      <c r="J42" s="98">
        <f t="shared" si="5"/>
        <v>80682.847682119202</v>
      </c>
      <c r="K42" s="98">
        <f t="shared" si="6"/>
        <v>50912.782781456954</v>
      </c>
      <c r="L42" s="103">
        <f t="shared" si="7"/>
        <v>49866.658719646803</v>
      </c>
      <c r="M42" s="105"/>
      <c r="N42" s="93">
        <v>1995</v>
      </c>
      <c r="O42" s="117">
        <v>23548</v>
      </c>
      <c r="P42" s="118">
        <v>36465</v>
      </c>
      <c r="R42" s="93">
        <v>1995</v>
      </c>
      <c r="S42" s="95">
        <v>1.524</v>
      </c>
    </row>
    <row r="43" spans="1:19" hidden="1" x14ac:dyDescent="0.4">
      <c r="A43" s="169" t="s">
        <v>227</v>
      </c>
      <c r="B43" s="98">
        <f>+'Table 2'!K43</f>
        <v>39900</v>
      </c>
      <c r="C43" s="119" t="s">
        <v>375</v>
      </c>
      <c r="D43" s="98">
        <f>+'Table 2'!M43</f>
        <v>25092</v>
      </c>
      <c r="E43" s="99"/>
      <c r="F43" s="100">
        <f t="shared" si="11"/>
        <v>24861</v>
      </c>
      <c r="G43" s="101">
        <f t="shared" si="10"/>
        <v>1.6049233739592133</v>
      </c>
      <c r="H43" s="120">
        <f t="shared" si="8"/>
        <v>1.0092916616387113</v>
      </c>
      <c r="I43" s="102">
        <f t="shared" si="3"/>
        <v>1.554</v>
      </c>
      <c r="J43" s="98">
        <f t="shared" si="5"/>
        <v>82102.252252252249</v>
      </c>
      <c r="K43" s="98">
        <f t="shared" si="6"/>
        <v>51631.822393822389</v>
      </c>
      <c r="L43" s="103">
        <f t="shared" si="7"/>
        <v>51156.493564993565</v>
      </c>
      <c r="M43" s="105"/>
      <c r="N43" s="93">
        <v>1996</v>
      </c>
      <c r="O43" s="121">
        <v>24861</v>
      </c>
      <c r="P43" s="122">
        <v>37196</v>
      </c>
      <c r="R43" s="93">
        <v>1996</v>
      </c>
      <c r="S43" s="95">
        <v>1.569</v>
      </c>
    </row>
    <row r="44" spans="1:19" x14ac:dyDescent="0.4">
      <c r="A44" s="169" t="s">
        <v>228</v>
      </c>
      <c r="B44" s="98">
        <f>+'Table 2'!K44</f>
        <v>39868</v>
      </c>
      <c r="C44" s="119" t="s">
        <v>375</v>
      </c>
      <c r="D44" s="98">
        <f>+'Table 2'!M44</f>
        <v>25314</v>
      </c>
      <c r="E44" s="99"/>
      <c r="F44" s="100">
        <f t="shared" si="11"/>
        <v>26368</v>
      </c>
      <c r="G44" s="101">
        <f t="shared" si="10"/>
        <v>1.5119842233009708</v>
      </c>
      <c r="H44" s="120">
        <f t="shared" si="8"/>
        <v>0.96002730582524276</v>
      </c>
      <c r="I44" s="102">
        <f t="shared" si="3"/>
        <v>1.593</v>
      </c>
      <c r="J44" s="98">
        <f t="shared" si="5"/>
        <v>80027.981586105889</v>
      </c>
      <c r="K44" s="98">
        <f t="shared" si="6"/>
        <v>50813.392341494036</v>
      </c>
      <c r="L44" s="103">
        <f t="shared" si="7"/>
        <v>52929.111529608708</v>
      </c>
      <c r="M44" s="105"/>
      <c r="N44" s="93">
        <v>1997</v>
      </c>
      <c r="O44" s="121">
        <v>26368</v>
      </c>
      <c r="P44" s="123"/>
      <c r="R44" s="93">
        <v>1997</v>
      </c>
      <c r="S44" s="95">
        <v>1.605</v>
      </c>
    </row>
    <row r="45" spans="1:19" x14ac:dyDescent="0.4">
      <c r="A45" s="169" t="s">
        <v>229</v>
      </c>
      <c r="B45" s="98">
        <f>+'Table 2'!K45</f>
        <v>40914</v>
      </c>
      <c r="C45" s="119" t="s">
        <v>375</v>
      </c>
      <c r="D45" s="98">
        <f>+'Table 2'!M45</f>
        <v>26332</v>
      </c>
      <c r="E45" s="99"/>
      <c r="F45" s="100">
        <f t="shared" si="11"/>
        <v>28231</v>
      </c>
      <c r="G45" s="101">
        <f t="shared" si="10"/>
        <v>1.4492579079735044</v>
      </c>
      <c r="H45" s="120">
        <f t="shared" si="8"/>
        <v>0.93273351988948316</v>
      </c>
      <c r="I45" s="102">
        <f t="shared" si="3"/>
        <v>1.6216666666666668</v>
      </c>
      <c r="J45" s="124">
        <f t="shared" si="5"/>
        <v>80675.848304213767</v>
      </c>
      <c r="K45" s="124">
        <f t="shared" si="6"/>
        <v>51922.482219938334</v>
      </c>
      <c r="L45" s="125">
        <f t="shared" si="7"/>
        <v>55667.005755395679</v>
      </c>
      <c r="M45" s="105"/>
      <c r="N45" s="93">
        <v>1998</v>
      </c>
      <c r="O45" s="126">
        <v>28231</v>
      </c>
      <c r="P45" s="127">
        <v>37561</v>
      </c>
      <c r="R45" s="93">
        <v>1998</v>
      </c>
      <c r="S45" s="95">
        <v>1.63</v>
      </c>
    </row>
    <row r="46" spans="1:19" x14ac:dyDescent="0.4">
      <c r="A46" s="169" t="s">
        <v>230</v>
      </c>
      <c r="B46" s="98">
        <f>+'Table 2'!K46</f>
        <v>40900</v>
      </c>
      <c r="C46" s="119" t="s">
        <v>375</v>
      </c>
      <c r="D46" s="98">
        <f>+'Table 2'!M46</f>
        <v>26662</v>
      </c>
      <c r="E46" s="99"/>
      <c r="F46" s="100">
        <f t="shared" si="11"/>
        <v>29774</v>
      </c>
      <c r="G46" s="101">
        <f t="shared" si="10"/>
        <v>1.3736817357425941</v>
      </c>
      <c r="H46" s="120">
        <f t="shared" si="8"/>
        <v>0.89547927722173704</v>
      </c>
      <c r="I46" s="102">
        <f t="shared" si="3"/>
        <v>1.6539999999999999</v>
      </c>
      <c r="J46" s="124">
        <f t="shared" si="5"/>
        <v>79071.684804514312</v>
      </c>
      <c r="K46" s="124">
        <f t="shared" si="6"/>
        <v>51545.458686013706</v>
      </c>
      <c r="L46" s="125">
        <f t="shared" si="7"/>
        <v>57561.866586054013</v>
      </c>
      <c r="M46" s="105"/>
      <c r="N46" s="93">
        <v>1999</v>
      </c>
      <c r="O46" s="126">
        <v>29774</v>
      </c>
      <c r="P46" s="128"/>
      <c r="R46" s="93">
        <v>1999</v>
      </c>
      <c r="S46" s="95">
        <v>1.6659999999999999</v>
      </c>
    </row>
    <row r="47" spans="1:19" x14ac:dyDescent="0.4">
      <c r="A47" s="169" t="s">
        <v>231</v>
      </c>
      <c r="B47" s="98">
        <f>+'Table 2'!K47</f>
        <v>43359.299165199503</v>
      </c>
      <c r="C47" s="119" t="s">
        <v>375</v>
      </c>
      <c r="D47" s="98">
        <f>+'Table 2'!M47</f>
        <v>27734.776671803691</v>
      </c>
      <c r="E47" s="99"/>
      <c r="F47" s="100">
        <f>O47</f>
        <v>31709</v>
      </c>
      <c r="G47" s="101">
        <f t="shared" ref="G47:G55" si="12">+B47/F47</f>
        <v>1.3674130109810938</v>
      </c>
      <c r="H47" s="120">
        <f>D47/F47</f>
        <v>0.87466576277409225</v>
      </c>
      <c r="I47" s="102">
        <f t="shared" si="3"/>
        <v>1.7033333333333331</v>
      </c>
      <c r="J47" s="124">
        <f t="shared" si="5"/>
        <v>81398.386867271794</v>
      </c>
      <c r="K47" s="124">
        <f t="shared" si="6"/>
        <v>52066.47996332933</v>
      </c>
      <c r="L47" s="125">
        <f t="shared" si="7"/>
        <v>59527.287084148738</v>
      </c>
      <c r="M47" s="105"/>
      <c r="N47" s="93">
        <v>2000</v>
      </c>
      <c r="O47" s="114">
        <v>31709</v>
      </c>
      <c r="P47" s="115">
        <v>38600</v>
      </c>
      <c r="R47" s="93">
        <v>2000</v>
      </c>
      <c r="S47" s="95">
        <v>1.722</v>
      </c>
    </row>
    <row r="48" spans="1:19" x14ac:dyDescent="0.4">
      <c r="A48" s="169" t="s">
        <v>239</v>
      </c>
      <c r="B48" s="98">
        <f>+'Table 2'!K48</f>
        <v>44588</v>
      </c>
      <c r="C48" s="119" t="s">
        <v>375</v>
      </c>
      <c r="D48" s="98">
        <f>+'Table 2'!M48</f>
        <v>28896</v>
      </c>
      <c r="E48" s="99"/>
      <c r="F48" s="100">
        <f>O48</f>
        <v>32250</v>
      </c>
      <c r="G48" s="101">
        <f t="shared" si="12"/>
        <v>1.3825736434108526</v>
      </c>
      <c r="H48" s="120">
        <f>D48/F48</f>
        <v>0.89600000000000002</v>
      </c>
      <c r="I48" s="102">
        <f t="shared" si="3"/>
        <v>1.7540000000000002</v>
      </c>
      <c r="J48" s="124">
        <f t="shared" ref="J48:J72" si="13">+B48*$I$72/$I48</f>
        <v>81287.093120486505</v>
      </c>
      <c r="K48" s="124">
        <f t="shared" ref="K48:K72" si="14">+D48*$I$72/$I48</f>
        <v>52679.461801596342</v>
      </c>
      <c r="L48" s="125">
        <f t="shared" ref="L48:L72" si="15">+F48*I$72/$I48</f>
        <v>58794.042189281638</v>
      </c>
      <c r="M48" s="105"/>
      <c r="N48" s="93">
        <v>2001</v>
      </c>
      <c r="O48" s="114">
        <v>32250</v>
      </c>
      <c r="P48" s="115"/>
      <c r="R48" s="93">
        <v>2001</v>
      </c>
      <c r="S48" s="95">
        <v>1.77</v>
      </c>
    </row>
    <row r="49" spans="1:19" x14ac:dyDescent="0.4">
      <c r="A49" s="169" t="s">
        <v>242</v>
      </c>
      <c r="B49" s="98">
        <f>+'Table 2'!K49</f>
        <v>46053.13974353925</v>
      </c>
      <c r="C49" s="119" t="s">
        <v>375</v>
      </c>
      <c r="D49" s="98">
        <f>+'Table 2'!M49</f>
        <v>30122.058525702381</v>
      </c>
      <c r="E49" s="99"/>
      <c r="F49" s="100">
        <f t="shared" si="11"/>
        <v>32567</v>
      </c>
      <c r="G49" s="101">
        <f t="shared" si="12"/>
        <v>1.4141044536966638</v>
      </c>
      <c r="H49" s="120">
        <f t="shared" si="8"/>
        <v>0.92492579991102597</v>
      </c>
      <c r="I49" s="102">
        <f t="shared" si="3"/>
        <v>1.7893333333333334</v>
      </c>
      <c r="J49" s="124">
        <f t="shared" si="13"/>
        <v>82300.255134085703</v>
      </c>
      <c r="K49" s="124">
        <f t="shared" si="14"/>
        <v>53830.273367560156</v>
      </c>
      <c r="L49" s="125">
        <f t="shared" si="15"/>
        <v>58199.558681073024</v>
      </c>
      <c r="M49" s="105"/>
      <c r="N49" s="93">
        <v>2002</v>
      </c>
      <c r="O49" s="129">
        <v>32567</v>
      </c>
      <c r="P49" s="130">
        <v>39026</v>
      </c>
      <c r="R49" s="93">
        <v>2002</v>
      </c>
      <c r="S49" s="95">
        <v>1.7989999999999999</v>
      </c>
    </row>
    <row r="50" spans="1:19" x14ac:dyDescent="0.4">
      <c r="A50" s="169" t="s">
        <v>245</v>
      </c>
      <c r="B50" s="98">
        <f>+'Table 2'!K50</f>
        <v>47676.611587606443</v>
      </c>
      <c r="C50" s="119" t="s">
        <v>375</v>
      </c>
      <c r="D50" s="98">
        <f>+'Table 2'!M50</f>
        <v>31512.064479300749</v>
      </c>
      <c r="E50" s="99"/>
      <c r="F50" s="100">
        <f t="shared" ref="F50:F55" si="16">O50</f>
        <v>33136</v>
      </c>
      <c r="G50" s="101">
        <f t="shared" si="12"/>
        <v>1.4388161391720922</v>
      </c>
      <c r="H50" s="120">
        <f t="shared" si="8"/>
        <v>0.9509918058697715</v>
      </c>
      <c r="I50" s="102">
        <f t="shared" ref="I50:I56" si="17">((+S49*4)+(S50*8))/12</f>
        <v>1.8263333333333334</v>
      </c>
      <c r="J50" s="124">
        <f t="shared" si="13"/>
        <v>83475.403350959779</v>
      </c>
      <c r="K50" s="124">
        <f t="shared" si="14"/>
        <v>55173.432113511968</v>
      </c>
      <c r="L50" s="125">
        <f t="shared" si="15"/>
        <v>58016.727139989052</v>
      </c>
      <c r="M50" s="105"/>
      <c r="N50" s="93">
        <v>2003</v>
      </c>
      <c r="O50" s="131">
        <v>33136</v>
      </c>
      <c r="P50" s="132">
        <v>39332</v>
      </c>
      <c r="R50" s="93">
        <v>2003</v>
      </c>
      <c r="S50" s="95">
        <v>1.84</v>
      </c>
    </row>
    <row r="51" spans="1:19" x14ac:dyDescent="0.4">
      <c r="A51" s="169" t="s">
        <v>277</v>
      </c>
      <c r="B51" s="98">
        <f>+'Table 2'!K51</f>
        <v>48141.14217664006</v>
      </c>
      <c r="C51" s="119" t="s">
        <v>375</v>
      </c>
      <c r="D51" s="98">
        <f>+'Table 2'!M51</f>
        <v>31828.1784719307</v>
      </c>
      <c r="E51" s="99"/>
      <c r="F51" s="100">
        <f t="shared" si="16"/>
        <v>35218</v>
      </c>
      <c r="G51" s="101">
        <f t="shared" si="12"/>
        <v>1.3669470775353529</v>
      </c>
      <c r="H51" s="120">
        <f t="shared" si="8"/>
        <v>0.90374747208616901</v>
      </c>
      <c r="I51" s="102">
        <f t="shared" si="17"/>
        <v>1.8726666666666667</v>
      </c>
      <c r="J51" s="124">
        <f t="shared" si="13"/>
        <v>82203.271075206139</v>
      </c>
      <c r="K51" s="124">
        <f t="shared" si="14"/>
        <v>54348.116069994874</v>
      </c>
      <c r="L51" s="125">
        <f t="shared" si="15"/>
        <v>60136.396226415098</v>
      </c>
      <c r="M51" s="105"/>
      <c r="N51" s="93">
        <v>2004</v>
      </c>
      <c r="O51" s="133">
        <v>35218</v>
      </c>
      <c r="P51" s="134">
        <v>39759</v>
      </c>
      <c r="R51" s="93">
        <v>2004</v>
      </c>
      <c r="S51" s="95">
        <v>1.889</v>
      </c>
    </row>
    <row r="52" spans="1:19" x14ac:dyDescent="0.4">
      <c r="A52" s="169" t="s">
        <v>281</v>
      </c>
      <c r="B52" s="98">
        <f>+'Table 2'!K52</f>
        <v>48481.414094311105</v>
      </c>
      <c r="C52" s="119" t="s">
        <v>375</v>
      </c>
      <c r="D52" s="98">
        <f>+'Table 2'!M52</f>
        <v>32512.595992190592</v>
      </c>
      <c r="E52" s="99"/>
      <c r="F52" s="100">
        <f t="shared" si="16"/>
        <v>35955</v>
      </c>
      <c r="G52" s="101">
        <f t="shared" si="12"/>
        <v>1.348391436359647</v>
      </c>
      <c r="H52" s="120">
        <f t="shared" si="8"/>
        <v>0.90425798893590859</v>
      </c>
      <c r="I52" s="102">
        <f t="shared" si="17"/>
        <v>1.9316666666666666</v>
      </c>
      <c r="J52" s="124">
        <f t="shared" si="13"/>
        <v>80255.77315042734</v>
      </c>
      <c r="K52" s="124">
        <f t="shared" si="14"/>
        <v>53821.110155838542</v>
      </c>
      <c r="L52" s="125">
        <f t="shared" si="15"/>
        <v>59519.640207075063</v>
      </c>
      <c r="M52" s="105"/>
      <c r="N52" s="93">
        <v>2005</v>
      </c>
      <c r="O52" s="133">
        <v>35955</v>
      </c>
      <c r="P52" s="134"/>
      <c r="R52" s="93">
        <v>2005</v>
      </c>
      <c r="S52" s="95">
        <v>1.9530000000000001</v>
      </c>
    </row>
    <row r="53" spans="1:19" x14ac:dyDescent="0.4">
      <c r="A53" s="169" t="s">
        <v>282</v>
      </c>
      <c r="B53" s="98">
        <f>+'Table 2'!K53</f>
        <v>49198.121836877952</v>
      </c>
      <c r="C53" s="119" t="s">
        <v>375</v>
      </c>
      <c r="D53" s="98">
        <f>+'Table 2'!M53</f>
        <v>33350.167996201191</v>
      </c>
      <c r="E53" s="99"/>
      <c r="F53" s="100">
        <f t="shared" si="16"/>
        <v>39267</v>
      </c>
      <c r="G53" s="101">
        <f t="shared" si="12"/>
        <v>1.2529126706108935</v>
      </c>
      <c r="H53" s="120">
        <f t="shared" si="8"/>
        <v>0.84931795136377086</v>
      </c>
      <c r="I53" s="102">
        <f t="shared" si="17"/>
        <v>1.9950000000000001</v>
      </c>
      <c r="J53" s="124">
        <f t="shared" si="13"/>
        <v>78856.738977639121</v>
      </c>
      <c r="K53" s="124">
        <f t="shared" si="14"/>
        <v>53454.997758990481</v>
      </c>
      <c r="L53" s="125">
        <f t="shared" si="15"/>
        <v>62938.735338345861</v>
      </c>
      <c r="N53" s="93">
        <v>2006</v>
      </c>
      <c r="O53" s="114">
        <f>AVERAGE(38537,39073,39447,40011)</f>
        <v>39267</v>
      </c>
      <c r="P53" s="115">
        <v>40118</v>
      </c>
      <c r="R53" s="93">
        <v>2006</v>
      </c>
      <c r="S53" s="95">
        <v>2.016</v>
      </c>
    </row>
    <row r="54" spans="1:19" x14ac:dyDescent="0.4">
      <c r="A54" s="169" t="s">
        <v>285</v>
      </c>
      <c r="B54" s="135">
        <f>+'Table 2'!K54</f>
        <v>50899.91909909065</v>
      </c>
      <c r="C54" s="136" t="s">
        <v>375</v>
      </c>
      <c r="D54" s="137">
        <f>+'Table 2'!M54</f>
        <v>34735.474262291616</v>
      </c>
      <c r="E54" s="138"/>
      <c r="F54" s="139">
        <f t="shared" si="16"/>
        <v>41528.75</v>
      </c>
      <c r="G54" s="140">
        <f t="shared" si="12"/>
        <v>1.2256549763498938</v>
      </c>
      <c r="H54" s="141">
        <f t="shared" si="8"/>
        <v>0.83641993227081524</v>
      </c>
      <c r="I54" s="142">
        <f t="shared" si="17"/>
        <v>2.0539999999999998</v>
      </c>
      <c r="J54" s="143">
        <f t="shared" si="13"/>
        <v>79240.980836997187</v>
      </c>
      <c r="K54" s="143">
        <f t="shared" si="14"/>
        <v>54076.177312262815</v>
      </c>
      <c r="L54" s="144">
        <f t="shared" si="15"/>
        <v>64651.947216812725</v>
      </c>
      <c r="N54" s="93">
        <v>2007</v>
      </c>
      <c r="O54" s="114">
        <f>AVERAGE(40622,41260,41820,42413)</f>
        <v>41528.75</v>
      </c>
      <c r="P54" s="145"/>
      <c r="R54" s="93">
        <v>2007</v>
      </c>
      <c r="S54" s="95">
        <v>2.073</v>
      </c>
    </row>
    <row r="55" spans="1:19" x14ac:dyDescent="0.4">
      <c r="A55" s="169" t="s">
        <v>294</v>
      </c>
      <c r="B55" s="135">
        <f>+'Table 2'!K55</f>
        <v>53103.220246524317</v>
      </c>
      <c r="C55" s="136" t="s">
        <v>375</v>
      </c>
      <c r="D55" s="137">
        <f>+'Table 2'!M55</f>
        <v>36316.323806194916</v>
      </c>
      <c r="E55" s="138"/>
      <c r="F55" s="139">
        <f t="shared" si="16"/>
        <v>43727.75</v>
      </c>
      <c r="G55" s="140">
        <f t="shared" si="12"/>
        <v>1.2144055032908008</v>
      </c>
      <c r="H55" s="141">
        <f t="shared" si="8"/>
        <v>0.83050977482708155</v>
      </c>
      <c r="I55" s="142">
        <f t="shared" si="17"/>
        <v>2.1263333333333332</v>
      </c>
      <c r="J55" s="143">
        <f t="shared" si="13"/>
        <v>79858.785362111274</v>
      </c>
      <c r="K55" s="143">
        <f t="shared" si="14"/>
        <v>54613.966808720463</v>
      </c>
      <c r="L55" s="144">
        <f t="shared" si="15"/>
        <v>65759.571366985416</v>
      </c>
      <c r="N55" s="93">
        <v>2008</v>
      </c>
      <c r="O55" s="112">
        <f>AVERAGE(43617,43934,44103,43257)</f>
        <v>43727.75</v>
      </c>
      <c r="P55" s="113">
        <v>40848</v>
      </c>
      <c r="R55" s="93">
        <v>2008</v>
      </c>
      <c r="S55" s="95">
        <v>2.153</v>
      </c>
    </row>
    <row r="56" spans="1:19" x14ac:dyDescent="0.4">
      <c r="A56" s="169" t="s">
        <v>300</v>
      </c>
      <c r="B56" s="135">
        <f>+'Table 2'!K56</f>
        <v>55901.93749537535</v>
      </c>
      <c r="C56" s="136" t="s">
        <v>375</v>
      </c>
      <c r="D56" s="137">
        <f>+'Table 2'!M56</f>
        <v>38402.429358479458</v>
      </c>
      <c r="E56" s="138"/>
      <c r="F56" s="139">
        <f t="shared" ref="F56:F71" si="18">O56</f>
        <v>41638.25</v>
      </c>
      <c r="G56" s="140">
        <f t="shared" ref="G56:G71" si="19">+B56/F56</f>
        <v>1.3425621272597996</v>
      </c>
      <c r="H56" s="141">
        <f t="shared" ref="H56:H71" si="20">D56/F56</f>
        <v>0.9222873045452068</v>
      </c>
      <c r="I56" s="142">
        <f t="shared" si="17"/>
        <v>2.1483333333333334</v>
      </c>
      <c r="J56" s="143">
        <f t="shared" si="13"/>
        <v>83206.716275118029</v>
      </c>
      <c r="K56" s="143">
        <f t="shared" si="14"/>
        <v>57159.736979967944</v>
      </c>
      <c r="L56" s="144">
        <f t="shared" si="15"/>
        <v>61976.063964313413</v>
      </c>
      <c r="N56" s="93">
        <v>2009</v>
      </c>
      <c r="O56" s="112">
        <f>AVERAGE(41861,41758,41424,41510)</f>
        <v>41638.25</v>
      </c>
      <c r="P56" s="145"/>
      <c r="R56" s="93">
        <v>2009</v>
      </c>
      <c r="S56" s="95">
        <v>2.1459999999999999</v>
      </c>
    </row>
    <row r="57" spans="1:19" x14ac:dyDescent="0.4">
      <c r="A57" s="169" t="s">
        <v>302</v>
      </c>
      <c r="B57" s="135">
        <f>+'Table 2'!K57</f>
        <v>56295.556558619064</v>
      </c>
      <c r="C57" s="136" t="s">
        <v>375</v>
      </c>
      <c r="D57" s="137">
        <f>+'Table 2'!M57</f>
        <v>38677.350137230249</v>
      </c>
      <c r="E57" s="138"/>
      <c r="F57" s="139">
        <f t="shared" si="18"/>
        <v>42513.5</v>
      </c>
      <c r="G57" s="140">
        <f t="shared" si="19"/>
        <v>1.3241807086835726</v>
      </c>
      <c r="H57" s="141">
        <f t="shared" si="20"/>
        <v>0.90976631275313136</v>
      </c>
      <c r="I57" s="142">
        <f t="shared" ref="I57:I62" si="21">((+S56*4)+(S57*8))/12</f>
        <v>2.1693333333333333</v>
      </c>
      <c r="J57" s="143">
        <f t="shared" si="13"/>
        <v>82981.449610761003</v>
      </c>
      <c r="K57" s="143">
        <f t="shared" si="14"/>
        <v>57011.650256061737</v>
      </c>
      <c r="L57" s="144">
        <f t="shared" si="15"/>
        <v>62666.257759680397</v>
      </c>
      <c r="N57" s="93">
        <v>2010</v>
      </c>
      <c r="O57" s="146">
        <f>AVERAGE(42003,42346,42664,43041)</f>
        <v>42513.5</v>
      </c>
      <c r="P57" s="147">
        <v>41061</v>
      </c>
      <c r="R57" s="93">
        <v>2010</v>
      </c>
      <c r="S57" s="95">
        <v>2.181</v>
      </c>
    </row>
    <row r="58" spans="1:19" x14ac:dyDescent="0.4">
      <c r="A58" s="169" t="s">
        <v>305</v>
      </c>
      <c r="B58" s="135">
        <f>+'Table 2'!K58</f>
        <v>56226.354120632874</v>
      </c>
      <c r="C58" s="136" t="s">
        <v>375</v>
      </c>
      <c r="D58" s="137">
        <f>+'Table 2'!M58</f>
        <v>38914.422415407607</v>
      </c>
      <c r="E58" s="138"/>
      <c r="F58" s="139">
        <f t="shared" si="18"/>
        <v>44144.75</v>
      </c>
      <c r="G58" s="140">
        <f t="shared" si="19"/>
        <v>1.273681561694944</v>
      </c>
      <c r="H58" s="141">
        <f t="shared" si="20"/>
        <v>0.88151869509755088</v>
      </c>
      <c r="I58" s="142">
        <f t="shared" si="21"/>
        <v>2.2263333333333333</v>
      </c>
      <c r="J58" s="143">
        <f t="shared" si="13"/>
        <v>80757.510866781129</v>
      </c>
      <c r="K58" s="143">
        <f t="shared" si="14"/>
        <v>55892.50699670687</v>
      </c>
      <c r="L58" s="144">
        <f t="shared" si="15"/>
        <v>63404.789152567748</v>
      </c>
      <c r="N58" s="93">
        <v>2011</v>
      </c>
      <c r="O58" s="146">
        <f>AVERAGE(43971,44004,44437,44167)</f>
        <v>44144.75</v>
      </c>
      <c r="P58" s="148"/>
      <c r="R58" s="93">
        <v>2011</v>
      </c>
      <c r="S58" s="95">
        <v>2.2490000000000001</v>
      </c>
    </row>
    <row r="59" spans="1:19" x14ac:dyDescent="0.4">
      <c r="A59" s="169" t="s">
        <v>372</v>
      </c>
      <c r="B59" s="135">
        <f>+'Table 2'!K59</f>
        <v>55605.202772066979</v>
      </c>
      <c r="C59" s="136" t="s">
        <v>375</v>
      </c>
      <c r="D59" s="137">
        <f>+'Table 2'!M59</f>
        <v>39158.339750772102</v>
      </c>
      <c r="E59" s="138"/>
      <c r="F59" s="139">
        <f t="shared" si="18"/>
        <v>45939</v>
      </c>
      <c r="G59" s="140">
        <f t="shared" si="19"/>
        <v>1.2104138699594458</v>
      </c>
      <c r="H59" s="141">
        <f t="shared" si="20"/>
        <v>0.85239861013021834</v>
      </c>
      <c r="I59" s="142">
        <f t="shared" si="21"/>
        <v>2.2803333333333331</v>
      </c>
      <c r="J59" s="143">
        <f t="shared" si="13"/>
        <v>77974.084226346822</v>
      </c>
      <c r="K59" s="143">
        <f t="shared" si="14"/>
        <v>54910.971090360596</v>
      </c>
      <c r="L59" s="144">
        <f t="shared" si="15"/>
        <v>64419.357842420701</v>
      </c>
      <c r="N59" s="93">
        <v>2012</v>
      </c>
      <c r="O59" s="131">
        <f>AVERAGE(45529,45628,45789,46810)</f>
        <v>45939</v>
      </c>
      <c r="P59" s="132">
        <v>41579</v>
      </c>
      <c r="R59" s="93">
        <v>2012</v>
      </c>
      <c r="S59" s="95">
        <v>2.2959999999999998</v>
      </c>
    </row>
    <row r="60" spans="1:19" x14ac:dyDescent="0.4">
      <c r="A60" s="169" t="s">
        <v>373</v>
      </c>
      <c r="B60" s="135">
        <f>+'Table 2'!K60</f>
        <v>55653.314721968061</v>
      </c>
      <c r="C60" s="136" t="s">
        <v>375</v>
      </c>
      <c r="D60" s="137">
        <f>+'Table 2'!M60</f>
        <v>39487.30803855574</v>
      </c>
      <c r="E60" s="138"/>
      <c r="F60" s="139">
        <f t="shared" si="18"/>
        <v>46853</v>
      </c>
      <c r="G60" s="140">
        <f t="shared" si="19"/>
        <v>1.1878282014378601</v>
      </c>
      <c r="H60" s="141">
        <f t="shared" si="20"/>
        <v>0.84279145494537677</v>
      </c>
      <c r="I60" s="142">
        <f t="shared" si="21"/>
        <v>2.3186666666666667</v>
      </c>
      <c r="J60" s="143">
        <f t="shared" si="13"/>
        <v>76751.329518090803</v>
      </c>
      <c r="K60" s="143">
        <f t="shared" si="14"/>
        <v>54456.83525213704</v>
      </c>
      <c r="L60" s="144">
        <f t="shared" si="15"/>
        <v>64614.840281771139</v>
      </c>
      <c r="N60" s="93">
        <v>2013</v>
      </c>
      <c r="O60" s="131">
        <f>AVERAGE(46293,46645,47077,47397)</f>
        <v>46853</v>
      </c>
      <c r="P60" s="132"/>
      <c r="R60" s="93">
        <v>2013</v>
      </c>
      <c r="S60" s="95">
        <v>2.33</v>
      </c>
    </row>
    <row r="61" spans="1:19" x14ac:dyDescent="0.4">
      <c r="A61" s="169" t="s">
        <v>384</v>
      </c>
      <c r="B61" s="135">
        <f>+'Table 2'!K61</f>
        <v>56507</v>
      </c>
      <c r="C61" s="136" t="s">
        <v>375</v>
      </c>
      <c r="D61" s="137">
        <f>+'Table 2'!M61</f>
        <v>40229</v>
      </c>
      <c r="E61" s="138"/>
      <c r="F61" s="139">
        <f>O61</f>
        <v>49524.75</v>
      </c>
      <c r="G61" s="140">
        <f>+B61/F61</f>
        <v>1.1409850630240435</v>
      </c>
      <c r="H61" s="141">
        <f>D61/F61</f>
        <v>0.81230092024694722</v>
      </c>
      <c r="I61" s="142">
        <f t="shared" si="21"/>
        <v>2.3546666666666667</v>
      </c>
      <c r="J61" s="143">
        <f t="shared" si="13"/>
        <v>76737.209937712352</v>
      </c>
      <c r="K61" s="143">
        <f t="shared" si="14"/>
        <v>54631.483154020381</v>
      </c>
      <c r="L61" s="144">
        <f t="shared" si="15"/>
        <v>67255.227456115521</v>
      </c>
      <c r="N61" s="93">
        <v>2014</v>
      </c>
      <c r="O61" s="114">
        <f>AVERAGE(48710,49321,49657,50411)</f>
        <v>49524.75</v>
      </c>
      <c r="P61" s="115">
        <v>42309</v>
      </c>
      <c r="R61" s="93">
        <v>2014</v>
      </c>
      <c r="S61" s="95">
        <v>2.367</v>
      </c>
    </row>
    <row r="62" spans="1:19" x14ac:dyDescent="0.4">
      <c r="A62" s="169" t="s">
        <v>395</v>
      </c>
      <c r="B62" s="135">
        <f>+'Table 2'!K62</f>
        <v>56306.748124217665</v>
      </c>
      <c r="C62" s="136" t="s">
        <v>375</v>
      </c>
      <c r="D62" s="137">
        <f>+'Table 2'!M62</f>
        <v>41147.00858279477</v>
      </c>
      <c r="E62" s="138"/>
      <c r="F62" s="139">
        <f>O62</f>
        <v>51501.5</v>
      </c>
      <c r="G62" s="140">
        <f>+B62/F62</f>
        <v>1.0933030712545784</v>
      </c>
      <c r="H62" s="141">
        <f>D62/F62</f>
        <v>0.79894777011921536</v>
      </c>
      <c r="I62" s="142">
        <f t="shared" si="21"/>
        <v>2.3690000000000002</v>
      </c>
      <c r="J62" s="143">
        <f t="shared" si="13"/>
        <v>76002.622028369209</v>
      </c>
      <c r="K62" s="143">
        <f t="shared" si="14"/>
        <v>55540.066601203063</v>
      </c>
      <c r="L62" s="144">
        <f t="shared" si="15"/>
        <v>69516.517447586884</v>
      </c>
      <c r="N62" s="93">
        <v>2015</v>
      </c>
      <c r="O62" s="114">
        <f>AVERAGE(50734,51583,51677,52012)</f>
        <v>51501.5</v>
      </c>
      <c r="P62" s="115"/>
      <c r="R62" s="93">
        <v>2015</v>
      </c>
      <c r="S62" s="95">
        <v>2.37</v>
      </c>
    </row>
    <row r="63" spans="1:19" x14ac:dyDescent="0.4">
      <c r="A63" s="169" t="s">
        <v>406</v>
      </c>
      <c r="B63" s="135">
        <f>+'Table 2'!K63</f>
        <v>57822</v>
      </c>
      <c r="C63" s="136" t="s">
        <v>375</v>
      </c>
      <c r="D63" s="137">
        <f>+'Table 2'!M63</f>
        <v>43048</v>
      </c>
      <c r="E63" s="138"/>
      <c r="F63" s="139">
        <f>O63</f>
        <v>54570</v>
      </c>
      <c r="G63" s="140">
        <f>+B63/F63</f>
        <v>1.0595931830676195</v>
      </c>
      <c r="H63" s="141">
        <f>D63/F63</f>
        <v>0.78885834707714864</v>
      </c>
      <c r="I63" s="142">
        <f t="shared" ref="I63:I67" si="22">((+S62*4)+(S63*8))/12</f>
        <v>2.39</v>
      </c>
      <c r="J63" s="143">
        <f t="shared" si="13"/>
        <v>77362.126359832633</v>
      </c>
      <c r="K63" s="143">
        <f t="shared" si="14"/>
        <v>57595.462203626215</v>
      </c>
      <c r="L63" s="144">
        <f t="shared" si="15"/>
        <v>73011.158995815902</v>
      </c>
      <c r="N63" s="93">
        <v>2016</v>
      </c>
      <c r="O63" s="149">
        <f>AVERAGE(53958,54481,54730,55111)</f>
        <v>54570</v>
      </c>
      <c r="P63" s="150">
        <v>43040</v>
      </c>
      <c r="R63" s="93">
        <v>2016</v>
      </c>
      <c r="S63" s="95">
        <v>2.4</v>
      </c>
    </row>
    <row r="64" spans="1:19" x14ac:dyDescent="0.4">
      <c r="A64" s="169" t="s">
        <v>410</v>
      </c>
      <c r="B64" s="135">
        <f>+'Table 2'!K64</f>
        <v>58820.624313845299</v>
      </c>
      <c r="C64" s="136" t="s">
        <v>375</v>
      </c>
      <c r="D64" s="137">
        <f>+'Table 2'!M64</f>
        <v>44704.040055013698</v>
      </c>
      <c r="E64" s="138"/>
      <c r="F64" s="139">
        <f>O64</f>
        <v>56558.75</v>
      </c>
      <c r="G64" s="140">
        <f>+B64/F64</f>
        <v>1.0399915895214322</v>
      </c>
      <c r="H64" s="141">
        <f>D64/F64</f>
        <v>0.79040007169560322</v>
      </c>
      <c r="I64" s="142">
        <f t="shared" si="22"/>
        <v>2.4339999999999997</v>
      </c>
      <c r="J64" s="143">
        <f t="shared" si="13"/>
        <v>77275.575053782246</v>
      </c>
      <c r="K64" s="143">
        <f t="shared" si="14"/>
        <v>58729.917316864754</v>
      </c>
      <c r="L64" s="144">
        <f t="shared" si="15"/>
        <v>74304.038448370309</v>
      </c>
      <c r="N64" s="93">
        <v>2017</v>
      </c>
      <c r="O64" s="149">
        <f>AVERAGE(56164,56328,56682,57061)</f>
        <v>56558.75</v>
      </c>
      <c r="P64" s="150"/>
      <c r="R64" s="93">
        <v>2017</v>
      </c>
      <c r="S64" s="95">
        <v>2.4510000000000001</v>
      </c>
    </row>
    <row r="65" spans="1:19" x14ac:dyDescent="0.4">
      <c r="A65" s="169" t="s">
        <v>412</v>
      </c>
      <c r="B65" s="135">
        <f>+'Table 2'!K65</f>
        <v>60388</v>
      </c>
      <c r="C65" s="136" t="s">
        <v>375</v>
      </c>
      <c r="D65" s="137">
        <f>+'Table 2'!M65</f>
        <v>47275</v>
      </c>
      <c r="E65" s="138"/>
      <c r="F65" s="139">
        <f t="shared" si="18"/>
        <v>62017</v>
      </c>
      <c r="G65" s="140">
        <f t="shared" si="19"/>
        <v>0.9737330086911653</v>
      </c>
      <c r="H65" s="141">
        <f t="shared" si="20"/>
        <v>0.76229098472999335</v>
      </c>
      <c r="I65" s="142">
        <f t="shared" si="22"/>
        <v>2.4910000000000001</v>
      </c>
      <c r="J65" s="143">
        <f t="shared" si="13"/>
        <v>77519.347517730494</v>
      </c>
      <c r="K65" s="143">
        <f t="shared" si="14"/>
        <v>60686.347517730501</v>
      </c>
      <c r="L65" s="144">
        <f t="shared" si="15"/>
        <v>79610.475177304965</v>
      </c>
      <c r="N65" s="93">
        <v>2018</v>
      </c>
      <c r="O65" s="131">
        <f>AVERAGE(61196,61668,62471,62733)</f>
        <v>62017</v>
      </c>
      <c r="P65" s="132">
        <v>43770</v>
      </c>
      <c r="R65" s="93">
        <v>2018</v>
      </c>
      <c r="S65" s="95">
        <v>2.5110000000000001</v>
      </c>
    </row>
    <row r="66" spans="1:19" x14ac:dyDescent="0.4">
      <c r="A66" s="169" t="s">
        <v>419</v>
      </c>
      <c r="B66" s="135">
        <f>+'Table 2'!K66</f>
        <v>77203</v>
      </c>
      <c r="C66" s="136" t="s">
        <v>375</v>
      </c>
      <c r="D66" s="137">
        <f>+'Table 2'!M66</f>
        <v>50404</v>
      </c>
      <c r="E66" s="138"/>
      <c r="F66" s="139">
        <f t="shared" si="18"/>
        <v>64250.25</v>
      </c>
      <c r="G66" s="140">
        <f t="shared" si="19"/>
        <v>1.2015984373601658</v>
      </c>
      <c r="H66" s="141">
        <f t="shared" si="20"/>
        <v>0.7844950019649729</v>
      </c>
      <c r="I66" s="142">
        <f t="shared" si="22"/>
        <v>2.5416666666666665</v>
      </c>
      <c r="J66" s="143">
        <f t="shared" si="13"/>
        <v>97128.967737704923</v>
      </c>
      <c r="K66" s="143">
        <f t="shared" si="14"/>
        <v>63413.189770491808</v>
      </c>
      <c r="L66" s="144">
        <f t="shared" si="15"/>
        <v>80833.134196721308</v>
      </c>
      <c r="N66" s="93">
        <v>2019</v>
      </c>
      <c r="O66" s="131">
        <f>AVERAGE(63558,64115,64459,64869)</f>
        <v>64250.25</v>
      </c>
      <c r="P66" s="132"/>
      <c r="R66" s="93">
        <v>2019</v>
      </c>
      <c r="S66" s="95">
        <v>2.5569999999999999</v>
      </c>
    </row>
    <row r="67" spans="1:19" x14ac:dyDescent="0.4">
      <c r="A67" s="169" t="s">
        <v>426</v>
      </c>
      <c r="B67" s="135">
        <f>+'Table 2'!K67</f>
        <v>81082</v>
      </c>
      <c r="C67" s="136" t="s">
        <v>375</v>
      </c>
      <c r="D67" s="137">
        <f>+'Table 2'!M67</f>
        <v>53464</v>
      </c>
      <c r="E67" s="138"/>
      <c r="F67" s="139">
        <f t="shared" si="18"/>
        <v>68359.25</v>
      </c>
      <c r="G67" s="140">
        <f t="shared" si="19"/>
        <v>1.1861159974692526</v>
      </c>
      <c r="H67" s="141">
        <f t="shared" si="20"/>
        <v>0.78210337298902488</v>
      </c>
      <c r="I67" s="142">
        <f t="shared" si="22"/>
        <v>2.5783333333333331</v>
      </c>
      <c r="J67" s="143">
        <f t="shared" si="13"/>
        <v>100558.45197155786</v>
      </c>
      <c r="K67" s="143">
        <f t="shared" si="14"/>
        <v>66306.419133807372</v>
      </c>
      <c r="L67" s="144">
        <f t="shared" si="15"/>
        <v>84779.610245636723</v>
      </c>
      <c r="N67" s="93">
        <v>2020</v>
      </c>
      <c r="O67" s="371">
        <f>AVERAGE(66159,70662,68605,68011)</f>
        <v>68359.25</v>
      </c>
      <c r="P67" s="372">
        <v>44440</v>
      </c>
      <c r="R67" s="93">
        <v>2020</v>
      </c>
      <c r="S67" s="95">
        <v>2.589</v>
      </c>
    </row>
    <row r="68" spans="1:19" x14ac:dyDescent="0.4">
      <c r="A68" s="169" t="s">
        <v>431</v>
      </c>
      <c r="B68" s="135">
        <f>+'Table 2'!K68</f>
        <v>83879</v>
      </c>
      <c r="C68" s="136" t="s">
        <v>375</v>
      </c>
      <c r="D68" s="137">
        <f>+'Table 2'!M68</f>
        <v>56377</v>
      </c>
      <c r="E68" s="138"/>
      <c r="F68" s="139">
        <f t="shared" si="18"/>
        <v>71464.5</v>
      </c>
      <c r="G68" s="140">
        <f t="shared" si="19"/>
        <v>1.1737156210426156</v>
      </c>
      <c r="H68" s="141">
        <f t="shared" si="20"/>
        <v>0.78888119276004165</v>
      </c>
      <c r="I68" s="142">
        <f>((+S67*4)+(S68*8))/12</f>
        <v>2.6696666666666666</v>
      </c>
      <c r="J68" s="143">
        <f t="shared" si="13"/>
        <v>100468.37894868273</v>
      </c>
      <c r="K68" s="143">
        <f t="shared" si="14"/>
        <v>67527.102135098015</v>
      </c>
      <c r="L68" s="144">
        <f t="shared" si="15"/>
        <v>85598.570171057567</v>
      </c>
      <c r="N68" s="93">
        <v>2021</v>
      </c>
      <c r="O68" s="146">
        <f>AVERAGE(73371,70893,71115,70479)</f>
        <v>71464.5</v>
      </c>
      <c r="P68" s="147">
        <v>44501</v>
      </c>
      <c r="R68" s="93">
        <v>2021</v>
      </c>
      <c r="S68" s="95">
        <v>2.71</v>
      </c>
    </row>
    <row r="69" spans="1:19" x14ac:dyDescent="0.4">
      <c r="A69" s="169" t="s">
        <v>485</v>
      </c>
      <c r="B69" s="135">
        <f>+'Table 2'!K69</f>
        <v>86308</v>
      </c>
      <c r="C69" s="136" t="s">
        <v>375</v>
      </c>
      <c r="D69" s="137">
        <f>+'Table 2'!M69</f>
        <v>58167.965407886732</v>
      </c>
      <c r="E69" s="138"/>
      <c r="F69" s="139">
        <f t="shared" si="18"/>
        <v>75063</v>
      </c>
      <c r="G69" s="140">
        <f t="shared" si="19"/>
        <v>1.1498074950375019</v>
      </c>
      <c r="H69" s="141">
        <f t="shared" si="20"/>
        <v>0.77492193767750728</v>
      </c>
      <c r="I69" s="142">
        <f>((+S68*4)+(S69*8))/12</f>
        <v>2.8540000000000005</v>
      </c>
      <c r="J69" s="143">
        <f t="shared" si="13"/>
        <v>96700.846064003708</v>
      </c>
      <c r="K69" s="143">
        <f t="shared" si="14"/>
        <v>65172.306956068358</v>
      </c>
      <c r="L69" s="144">
        <f t="shared" si="15"/>
        <v>84101.770497547288</v>
      </c>
      <c r="N69" s="93">
        <v>2022</v>
      </c>
      <c r="O69" s="149">
        <f>AVERAGE(74042,74931,75385,75894)</f>
        <v>75063</v>
      </c>
      <c r="P69" s="150">
        <v>45231</v>
      </c>
      <c r="R69" s="93">
        <v>2022</v>
      </c>
      <c r="S69" s="95">
        <v>2.9260000000000002</v>
      </c>
    </row>
    <row r="70" spans="1:19" x14ac:dyDescent="0.4">
      <c r="A70" s="169" t="s">
        <v>493</v>
      </c>
      <c r="B70" s="135">
        <f>+'Table 2'!K70</f>
        <v>91988.170064733902</v>
      </c>
      <c r="C70" s="136" t="s">
        <v>375</v>
      </c>
      <c r="D70" s="137">
        <f>+'Table 2'!M70</f>
        <v>62355.57688420466</v>
      </c>
      <c r="E70" s="138"/>
      <c r="F70" s="139">
        <f t="shared" si="18"/>
        <v>79125</v>
      </c>
      <c r="G70" s="140">
        <f t="shared" si="19"/>
        <v>1.162567710138817</v>
      </c>
      <c r="H70" s="141">
        <f t="shared" si="20"/>
        <v>0.78806416283355019</v>
      </c>
      <c r="I70" s="142">
        <f>((+S69*4)+(S70*8))/12</f>
        <v>3.0066666666666664</v>
      </c>
      <c r="J70" s="143">
        <f t="shared" si="13"/>
        <v>97831.764460198712</v>
      </c>
      <c r="K70" s="143">
        <f t="shared" si="14"/>
        <v>66316.746014431861</v>
      </c>
      <c r="L70" s="144">
        <f t="shared" si="15"/>
        <v>84151.455099778279</v>
      </c>
      <c r="N70" s="93">
        <v>2023</v>
      </c>
      <c r="O70" s="149">
        <f>AVERAGE(78040,78980,79502,79978)</f>
        <v>79125</v>
      </c>
      <c r="P70" s="150"/>
      <c r="R70" s="93">
        <v>2023</v>
      </c>
      <c r="S70" s="95">
        <v>3.0470000000000002</v>
      </c>
    </row>
    <row r="71" spans="1:19" x14ac:dyDescent="0.4">
      <c r="A71" s="169" t="s">
        <v>494</v>
      </c>
      <c r="B71" s="135">
        <f>+'Table 2'!K71</f>
        <v>97131.225534254889</v>
      </c>
      <c r="C71" s="136" t="s">
        <v>375</v>
      </c>
      <c r="D71" s="137">
        <f>+'Table 2'!M71</f>
        <v>65626.599788273757</v>
      </c>
      <c r="E71" s="138"/>
      <c r="F71" s="139">
        <f t="shared" si="18"/>
        <v>84275.25</v>
      </c>
      <c r="G71" s="140">
        <f t="shared" si="19"/>
        <v>1.1525474624430647</v>
      </c>
      <c r="H71" s="141">
        <f t="shared" si="20"/>
        <v>0.77871735519353258</v>
      </c>
      <c r="I71" s="142">
        <f>((+S70*4)+(S71*8))/12</f>
        <v>3.1069999999999998</v>
      </c>
      <c r="J71" s="143">
        <f t="shared" si="13"/>
        <v>99965.652456829441</v>
      </c>
      <c r="K71" s="143">
        <f t="shared" si="14"/>
        <v>67541.677048483019</v>
      </c>
      <c r="L71" s="144">
        <f t="shared" si="15"/>
        <v>86734.521322819448</v>
      </c>
      <c r="N71" s="93">
        <v>2024</v>
      </c>
      <c r="O71" s="131">
        <f>AVERAGE(82713,84416,84104,85868)</f>
        <v>84275.25</v>
      </c>
      <c r="P71" s="132">
        <v>45901</v>
      </c>
      <c r="R71" s="93">
        <v>2024</v>
      </c>
      <c r="S71" s="95">
        <v>3.137</v>
      </c>
    </row>
    <row r="72" spans="1:19" ht="17.399999999999999" thickBot="1" x14ac:dyDescent="0.45">
      <c r="A72" s="183" t="s">
        <v>1152</v>
      </c>
      <c r="B72" s="151">
        <f>+'Table 2'!K72</f>
        <v>101990.32523235258</v>
      </c>
      <c r="C72" s="152" t="s">
        <v>375</v>
      </c>
      <c r="D72" s="151">
        <f>+'Table 2'!M72</f>
        <v>68969.243548400933</v>
      </c>
      <c r="E72" s="153"/>
      <c r="F72" s="154">
        <f t="shared" ref="F72" si="23">O72</f>
        <v>88005</v>
      </c>
      <c r="G72" s="155">
        <f t="shared" ref="G72" si="24">+B72/F72</f>
        <v>1.1589151210993986</v>
      </c>
      <c r="H72" s="156">
        <f t="shared" ref="H72" si="25">D72/F72</f>
        <v>0.78369687572752611</v>
      </c>
      <c r="I72" s="157">
        <f>((+S71*4)+(S72*8))/12</f>
        <v>3.1976666666666667</v>
      </c>
      <c r="J72" s="158">
        <f t="shared" si="13"/>
        <v>101990.32523235258</v>
      </c>
      <c r="K72" s="158">
        <f t="shared" si="14"/>
        <v>68969.243548400933</v>
      </c>
      <c r="L72" s="159">
        <f t="shared" si="15"/>
        <v>88005.000000000015</v>
      </c>
      <c r="N72" s="160">
        <v>2025</v>
      </c>
      <c r="O72" s="772">
        <f>AVERAGE(86546,87776,88424,89274)</f>
        <v>88005</v>
      </c>
      <c r="P72" s="773"/>
      <c r="R72" s="160">
        <v>2025</v>
      </c>
      <c r="S72" s="161">
        <v>3.2280000000000002</v>
      </c>
    </row>
    <row r="73" spans="1:19" ht="17.399999999999999" thickTop="1" x14ac:dyDescent="0.4">
      <c r="D73" s="162"/>
      <c r="J73" s="163"/>
      <c r="L73" s="164"/>
      <c r="S73" s="165"/>
    </row>
    <row r="74" spans="1:19" x14ac:dyDescent="0.4">
      <c r="A74" s="166" t="s">
        <v>327</v>
      </c>
      <c r="G74" s="166" t="s">
        <v>328</v>
      </c>
      <c r="I74" s="88"/>
      <c r="N74" s="88" t="s">
        <v>244</v>
      </c>
      <c r="S74" s="165"/>
    </row>
    <row r="75" spans="1:19" x14ac:dyDescent="0.4">
      <c r="A75" s="88" t="s">
        <v>466</v>
      </c>
      <c r="G75" s="88" t="s">
        <v>3</v>
      </c>
      <c r="I75" s="88"/>
    </row>
    <row r="76" spans="1:19" x14ac:dyDescent="0.4">
      <c r="G76" s="88" t="s">
        <v>243</v>
      </c>
      <c r="I76" s="88"/>
    </row>
    <row r="77" spans="1:19" x14ac:dyDescent="0.4">
      <c r="A77" s="166" t="s">
        <v>329</v>
      </c>
      <c r="G77" s="88" t="s">
        <v>274</v>
      </c>
      <c r="I77" s="88"/>
    </row>
    <row r="78" spans="1:19" x14ac:dyDescent="0.4">
      <c r="A78" s="88" t="s">
        <v>394</v>
      </c>
      <c r="G78" s="88" t="s">
        <v>283</v>
      </c>
      <c r="I78" s="88"/>
    </row>
    <row r="79" spans="1:19" x14ac:dyDescent="0.4">
      <c r="G79" s="88" t="s">
        <v>292</v>
      </c>
      <c r="I79" s="88"/>
    </row>
    <row r="80" spans="1:19" x14ac:dyDescent="0.4">
      <c r="A80" s="166" t="s">
        <v>330</v>
      </c>
      <c r="G80" s="88" t="s">
        <v>293</v>
      </c>
      <c r="I80" s="88"/>
    </row>
    <row r="81" spans="1:9" x14ac:dyDescent="0.4">
      <c r="A81" s="88" t="s">
        <v>275</v>
      </c>
      <c r="G81" s="88" t="s">
        <v>301</v>
      </c>
      <c r="I81" s="88"/>
    </row>
    <row r="82" spans="1:9" x14ac:dyDescent="0.4">
      <c r="A82" s="88" t="s">
        <v>280</v>
      </c>
      <c r="G82" s="88" t="s">
        <v>304</v>
      </c>
      <c r="I82" s="88"/>
    </row>
    <row r="83" spans="1:9" x14ac:dyDescent="0.4">
      <c r="G83" s="88" t="s">
        <v>382</v>
      </c>
      <c r="I83" s="88"/>
    </row>
    <row r="84" spans="1:9" x14ac:dyDescent="0.4">
      <c r="A84" s="166"/>
      <c r="G84" s="88" t="s">
        <v>383</v>
      </c>
      <c r="I84" s="88"/>
    </row>
    <row r="85" spans="1:9" x14ac:dyDescent="0.4">
      <c r="G85" s="88" t="s">
        <v>396</v>
      </c>
      <c r="I85" s="88"/>
    </row>
    <row r="86" spans="1:9" x14ac:dyDescent="0.4">
      <c r="G86" s="88" t="s">
        <v>411</v>
      </c>
      <c r="I86" s="88"/>
    </row>
    <row r="87" spans="1:9" x14ac:dyDescent="0.4">
      <c r="G87" s="88" t="s">
        <v>413</v>
      </c>
      <c r="I87" s="88"/>
    </row>
    <row r="88" spans="1:9" x14ac:dyDescent="0.4">
      <c r="G88" s="88" t="s">
        <v>434</v>
      </c>
      <c r="I88" s="88"/>
    </row>
    <row r="89" spans="1:9" x14ac:dyDescent="0.4">
      <c r="G89" s="88" t="s">
        <v>487</v>
      </c>
      <c r="I89" s="88"/>
    </row>
    <row r="90" spans="1:9" x14ac:dyDescent="0.4">
      <c r="G90" s="88" t="s">
        <v>490</v>
      </c>
      <c r="I90" s="88"/>
    </row>
    <row r="91" spans="1:9" x14ac:dyDescent="0.4">
      <c r="G91" s="88" t="s">
        <v>1149</v>
      </c>
      <c r="I91" s="88"/>
    </row>
    <row r="92" spans="1:9" x14ac:dyDescent="0.4">
      <c r="G92" s="88" t="s">
        <v>1156</v>
      </c>
      <c r="I92" s="88"/>
    </row>
    <row r="93" spans="1:9" x14ac:dyDescent="0.4">
      <c r="G93" s="88" t="s">
        <v>232</v>
      </c>
      <c r="I93" s="88"/>
    </row>
    <row r="94" spans="1:9" x14ac:dyDescent="0.4">
      <c r="G94" s="88" t="s">
        <v>1157</v>
      </c>
      <c r="I94" s="88"/>
    </row>
    <row r="95" spans="1:9" x14ac:dyDescent="0.4">
      <c r="G95" s="88" t="s">
        <v>4</v>
      </c>
      <c r="I95" s="88"/>
    </row>
  </sheetData>
  <mergeCells count="2">
    <mergeCell ref="A1:L1"/>
    <mergeCell ref="A2:L2"/>
  </mergeCells>
  <phoneticPr fontId="0" type="noConversion"/>
  <printOptions horizontalCentered="1" verticalCentered="1"/>
  <pageMargins left="0.5" right="0.5" top="1" bottom="1" header="0.5" footer="0.5"/>
  <pageSetup scale="6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45"/>
  <sheetViews>
    <sheetView workbookViewId="0">
      <pane ySplit="6" topLeftCell="A16" activePane="bottomLeft" state="frozen"/>
      <selection pane="bottomLeft" activeCell="E45" sqref="E45"/>
    </sheetView>
  </sheetViews>
  <sheetFormatPr defaultColWidth="9.109375" defaultRowHeight="15" x14ac:dyDescent="0.35"/>
  <cols>
    <col min="1" max="1" width="5.33203125" style="361" customWidth="1"/>
    <col min="2" max="2" width="23.6640625" style="362" customWidth="1"/>
    <col min="3" max="3" width="10.33203125" style="363" customWidth="1"/>
    <col min="4" max="4" width="9.6640625" style="363" customWidth="1"/>
    <col min="5" max="5" width="10.88671875" style="364" customWidth="1"/>
    <col min="6" max="9" width="8.33203125" style="363" customWidth="1"/>
    <col min="10" max="10" width="8.33203125" style="370" customWidth="1"/>
    <col min="11" max="16384" width="9.109375" style="362"/>
  </cols>
  <sheetData>
    <row r="1" spans="1:10" x14ac:dyDescent="0.35">
      <c r="A1" s="369" t="s">
        <v>428</v>
      </c>
    </row>
    <row r="3" spans="1:10" x14ac:dyDescent="0.35">
      <c r="D3" s="363" t="s">
        <v>367</v>
      </c>
      <c r="E3" s="805" t="s">
        <v>429</v>
      </c>
      <c r="F3" s="805"/>
      <c r="G3" s="805"/>
      <c r="H3" s="805"/>
      <c r="I3" s="805"/>
      <c r="J3" s="805"/>
    </row>
    <row r="4" spans="1:10" x14ac:dyDescent="0.35">
      <c r="D4" s="363" t="s">
        <v>290</v>
      </c>
      <c r="E4" s="364" t="s">
        <v>38</v>
      </c>
      <c r="F4" s="363" t="s">
        <v>287</v>
      </c>
      <c r="G4" s="363" t="s">
        <v>38</v>
      </c>
      <c r="H4" s="363" t="s">
        <v>288</v>
      </c>
      <c r="I4" s="363" t="s">
        <v>368</v>
      </c>
      <c r="J4" s="365" t="s">
        <v>289</v>
      </c>
    </row>
    <row r="5" spans="1:10" x14ac:dyDescent="0.35">
      <c r="A5" s="361" t="s">
        <v>171</v>
      </c>
      <c r="C5" s="363" t="s">
        <v>172</v>
      </c>
      <c r="D5" s="363" t="s">
        <v>369</v>
      </c>
      <c r="E5" s="364" t="s">
        <v>6</v>
      </c>
      <c r="F5" s="363" t="s">
        <v>290</v>
      </c>
      <c r="G5" s="363" t="s">
        <v>290</v>
      </c>
      <c r="H5" s="363" t="s">
        <v>291</v>
      </c>
      <c r="I5" s="363" t="s">
        <v>291</v>
      </c>
      <c r="J5" s="365" t="s">
        <v>430</v>
      </c>
    </row>
    <row r="6" spans="1:10" x14ac:dyDescent="0.35">
      <c r="B6" s="366"/>
      <c r="G6" s="368"/>
      <c r="J6" s="365"/>
    </row>
    <row r="7" spans="1:10" x14ac:dyDescent="0.35">
      <c r="A7" s="361" t="s">
        <v>331</v>
      </c>
      <c r="B7" s="366" t="s">
        <v>136</v>
      </c>
      <c r="C7" s="363">
        <v>310</v>
      </c>
      <c r="D7" s="363">
        <v>11313</v>
      </c>
      <c r="E7" s="367">
        <v>260.56</v>
      </c>
      <c r="F7" s="363">
        <v>200665</v>
      </c>
      <c r="G7" s="363">
        <v>226916</v>
      </c>
      <c r="H7" s="363">
        <v>15546</v>
      </c>
      <c r="I7" s="363">
        <v>33010</v>
      </c>
      <c r="J7" s="365">
        <v>251.7</v>
      </c>
    </row>
    <row r="8" spans="1:10" x14ac:dyDescent="0.35">
      <c r="A8" s="361" t="s">
        <v>332</v>
      </c>
      <c r="B8" s="366" t="s">
        <v>112</v>
      </c>
      <c r="C8" s="363">
        <v>137</v>
      </c>
      <c r="D8" s="363">
        <v>8057</v>
      </c>
      <c r="E8" s="367">
        <v>108.34</v>
      </c>
      <c r="F8" s="363">
        <v>213909</v>
      </c>
      <c r="G8" s="363">
        <v>236508</v>
      </c>
      <c r="H8" s="363">
        <v>15432</v>
      </c>
      <c r="I8" s="363">
        <v>35242</v>
      </c>
      <c r="J8" s="365">
        <v>257</v>
      </c>
    </row>
    <row r="9" spans="1:10" x14ac:dyDescent="0.35">
      <c r="A9" s="361" t="s">
        <v>333</v>
      </c>
      <c r="B9" s="366" t="s">
        <v>113</v>
      </c>
      <c r="C9" s="363">
        <v>1396</v>
      </c>
      <c r="D9" s="363">
        <v>3997</v>
      </c>
      <c r="E9" s="367">
        <v>1077.1400000000001</v>
      </c>
      <c r="F9" s="368">
        <v>175835</v>
      </c>
      <c r="G9" s="363">
        <v>185187</v>
      </c>
      <c r="H9" s="363">
        <v>14647</v>
      </c>
      <c r="I9" s="363">
        <v>30277</v>
      </c>
      <c r="J9" s="365">
        <v>251.3</v>
      </c>
    </row>
    <row r="10" spans="1:10" x14ac:dyDescent="0.35">
      <c r="A10" s="361" t="s">
        <v>334</v>
      </c>
      <c r="B10" s="366" t="s">
        <v>120</v>
      </c>
      <c r="C10" s="363">
        <v>1382</v>
      </c>
      <c r="D10" s="363">
        <v>3265</v>
      </c>
      <c r="E10" s="367">
        <v>1211.74</v>
      </c>
      <c r="F10" s="363">
        <v>169312</v>
      </c>
      <c r="G10" s="363">
        <v>178612</v>
      </c>
      <c r="H10" s="363">
        <v>14221</v>
      </c>
      <c r="I10" s="363">
        <v>30071</v>
      </c>
      <c r="J10" s="365">
        <v>244.4</v>
      </c>
    </row>
    <row r="11" spans="1:10" x14ac:dyDescent="0.35">
      <c r="A11" s="361" t="s">
        <v>335</v>
      </c>
      <c r="B11" s="366" t="s">
        <v>130</v>
      </c>
      <c r="C11" s="363">
        <v>615</v>
      </c>
      <c r="D11" s="363">
        <v>2545</v>
      </c>
      <c r="E11" s="367">
        <v>519.17999999999995</v>
      </c>
      <c r="F11" s="363">
        <v>152437</v>
      </c>
      <c r="G11" s="363">
        <v>159422</v>
      </c>
      <c r="H11" s="363">
        <v>14501</v>
      </c>
      <c r="I11" s="363">
        <v>27725</v>
      </c>
      <c r="J11" s="365">
        <v>246.2</v>
      </c>
    </row>
    <row r="12" spans="1:10" x14ac:dyDescent="0.35">
      <c r="A12" s="361" t="s">
        <v>336</v>
      </c>
      <c r="B12" s="366" t="s">
        <v>121</v>
      </c>
      <c r="C12" s="363">
        <v>962</v>
      </c>
      <c r="D12" s="363">
        <v>3214</v>
      </c>
      <c r="E12" s="367">
        <v>766.95</v>
      </c>
      <c r="F12" s="363">
        <v>175278</v>
      </c>
      <c r="G12" s="363">
        <v>185251</v>
      </c>
      <c r="H12" s="363">
        <v>14273</v>
      </c>
      <c r="I12" s="363">
        <v>30464</v>
      </c>
      <c r="J12" s="365">
        <v>241.4</v>
      </c>
    </row>
    <row r="13" spans="1:10" x14ac:dyDescent="0.35">
      <c r="A13" s="361" t="s">
        <v>337</v>
      </c>
      <c r="B13" s="366" t="s">
        <v>129</v>
      </c>
      <c r="C13" s="363">
        <v>1038</v>
      </c>
      <c r="D13" s="363">
        <v>3705</v>
      </c>
      <c r="E13" s="367">
        <v>910.75</v>
      </c>
      <c r="F13" s="363">
        <v>163831</v>
      </c>
      <c r="G13" s="363">
        <v>173467</v>
      </c>
      <c r="H13" s="363">
        <v>14204</v>
      </c>
      <c r="I13" s="363">
        <v>29979</v>
      </c>
      <c r="J13" s="365">
        <v>246.5</v>
      </c>
    </row>
    <row r="14" spans="1:10" x14ac:dyDescent="0.35">
      <c r="A14" s="361" t="s">
        <v>338</v>
      </c>
      <c r="B14" s="366" t="s">
        <v>114</v>
      </c>
      <c r="C14" s="363">
        <v>567</v>
      </c>
      <c r="D14" s="363">
        <v>2961</v>
      </c>
      <c r="E14" s="367">
        <v>262.66000000000003</v>
      </c>
      <c r="F14" s="363">
        <v>144594</v>
      </c>
      <c r="G14" s="363">
        <v>153269</v>
      </c>
      <c r="H14" s="363">
        <v>14299</v>
      </c>
      <c r="I14" s="363">
        <v>26355</v>
      </c>
      <c r="J14" s="365">
        <v>230.4</v>
      </c>
    </row>
    <row r="15" spans="1:10" x14ac:dyDescent="0.35">
      <c r="A15" s="361" t="s">
        <v>339</v>
      </c>
      <c r="B15" s="366" t="s">
        <v>407</v>
      </c>
      <c r="C15" s="363">
        <v>32255</v>
      </c>
      <c r="D15" s="363">
        <v>6679</v>
      </c>
      <c r="E15" s="367">
        <v>25715.37</v>
      </c>
      <c r="F15" s="363">
        <v>95556</v>
      </c>
      <c r="G15" s="363">
        <v>106545</v>
      </c>
      <c r="H15" s="363">
        <v>14249</v>
      </c>
      <c r="I15" s="363">
        <v>18840</v>
      </c>
      <c r="J15" s="365">
        <v>181</v>
      </c>
    </row>
    <row r="16" spans="1:10" x14ac:dyDescent="0.35">
      <c r="A16" s="361" t="s">
        <v>340</v>
      </c>
      <c r="B16" s="366" t="s">
        <v>115</v>
      </c>
      <c r="C16" s="363">
        <v>29936</v>
      </c>
      <c r="D16" s="363">
        <v>9220</v>
      </c>
      <c r="E16" s="367">
        <v>23319.68</v>
      </c>
      <c r="F16" s="363">
        <v>97856</v>
      </c>
      <c r="G16" s="363">
        <v>113614</v>
      </c>
      <c r="H16" s="363">
        <v>14423</v>
      </c>
      <c r="I16" s="363">
        <v>19697</v>
      </c>
      <c r="J16" s="365">
        <v>181</v>
      </c>
    </row>
    <row r="17" spans="1:10" x14ac:dyDescent="0.35">
      <c r="A17" s="361" t="s">
        <v>341</v>
      </c>
      <c r="B17" s="366" t="s">
        <v>116</v>
      </c>
      <c r="C17" s="363">
        <v>12651</v>
      </c>
      <c r="D17" s="363">
        <v>7362</v>
      </c>
      <c r="E17" s="367">
        <v>8710.2800000000007</v>
      </c>
      <c r="F17" s="363">
        <v>94904</v>
      </c>
      <c r="G17" s="363">
        <v>108537</v>
      </c>
      <c r="H17" s="363">
        <v>14638</v>
      </c>
      <c r="I17" s="363">
        <v>19039</v>
      </c>
      <c r="J17" s="365">
        <v>181.2</v>
      </c>
    </row>
    <row r="18" spans="1:10" x14ac:dyDescent="0.35">
      <c r="A18" s="361" t="s">
        <v>408</v>
      </c>
      <c r="B18" s="366" t="s">
        <v>409</v>
      </c>
      <c r="C18" s="363">
        <v>4886</v>
      </c>
      <c r="D18" s="363">
        <v>7483</v>
      </c>
      <c r="E18" s="367">
        <v>3941.47</v>
      </c>
      <c r="F18" s="363">
        <v>99096</v>
      </c>
      <c r="G18" s="363">
        <v>112894</v>
      </c>
      <c r="H18" s="363">
        <v>14500</v>
      </c>
      <c r="I18" s="363">
        <v>19469</v>
      </c>
      <c r="J18" s="365">
        <v>180.9</v>
      </c>
    </row>
    <row r="19" spans="1:10" x14ac:dyDescent="0.35">
      <c r="A19" s="361" t="s">
        <v>440</v>
      </c>
      <c r="B19" s="366" t="s">
        <v>486</v>
      </c>
      <c r="C19" s="363">
        <v>23</v>
      </c>
      <c r="D19" s="363">
        <v>9716</v>
      </c>
      <c r="E19" s="367">
        <v>21.9</v>
      </c>
      <c r="F19" s="363">
        <v>99182</v>
      </c>
      <c r="G19" s="363">
        <v>114783</v>
      </c>
      <c r="H19" s="363">
        <v>14374</v>
      </c>
      <c r="I19" s="363">
        <v>18704</v>
      </c>
      <c r="J19" s="365">
        <v>180.2</v>
      </c>
    </row>
    <row r="20" spans="1:10" x14ac:dyDescent="0.35">
      <c r="A20" s="361" t="s">
        <v>342</v>
      </c>
      <c r="B20" s="366" t="s">
        <v>117</v>
      </c>
      <c r="C20" s="363">
        <v>6261</v>
      </c>
      <c r="D20" s="363">
        <v>6210</v>
      </c>
      <c r="E20" s="367">
        <v>2174.38</v>
      </c>
      <c r="F20" s="363">
        <v>107873</v>
      </c>
      <c r="G20" s="363">
        <v>126864</v>
      </c>
      <c r="H20" s="363">
        <v>14483</v>
      </c>
      <c r="I20" s="363">
        <v>22008</v>
      </c>
      <c r="J20" s="365">
        <v>182.4</v>
      </c>
    </row>
    <row r="21" spans="1:10" x14ac:dyDescent="0.35">
      <c r="A21" s="361" t="s">
        <v>343</v>
      </c>
      <c r="B21" s="366" t="s">
        <v>128</v>
      </c>
      <c r="C21" s="363">
        <v>947</v>
      </c>
      <c r="D21" s="363">
        <v>9432</v>
      </c>
      <c r="E21" s="367">
        <v>615.5</v>
      </c>
      <c r="F21" s="363">
        <v>109881</v>
      </c>
      <c r="G21" s="363">
        <v>128496</v>
      </c>
      <c r="H21" s="363">
        <v>14766</v>
      </c>
      <c r="I21" s="363">
        <v>22183</v>
      </c>
      <c r="J21" s="365">
        <v>181.1</v>
      </c>
    </row>
    <row r="22" spans="1:10" x14ac:dyDescent="0.35">
      <c r="A22" s="361" t="s">
        <v>344</v>
      </c>
      <c r="B22" s="366" t="s">
        <v>122</v>
      </c>
      <c r="C22" s="363">
        <v>3286</v>
      </c>
      <c r="D22" s="363">
        <v>10752</v>
      </c>
      <c r="E22" s="367">
        <v>3046.71</v>
      </c>
      <c r="F22" s="363">
        <v>98162</v>
      </c>
      <c r="G22" s="363">
        <v>114100</v>
      </c>
      <c r="H22" s="363">
        <v>14595</v>
      </c>
      <c r="I22" s="363">
        <v>19990</v>
      </c>
      <c r="J22" s="365">
        <v>181</v>
      </c>
    </row>
    <row r="23" spans="1:10" x14ac:dyDescent="0.35">
      <c r="A23" s="361" t="s">
        <v>345</v>
      </c>
      <c r="B23" s="366" t="s">
        <v>123</v>
      </c>
      <c r="C23" s="363">
        <v>770</v>
      </c>
      <c r="D23" s="363">
        <v>10507</v>
      </c>
      <c r="E23" s="367">
        <v>656.73</v>
      </c>
      <c r="F23" s="363">
        <v>99065</v>
      </c>
      <c r="G23" s="363">
        <v>116286</v>
      </c>
      <c r="H23" s="363">
        <v>15423</v>
      </c>
      <c r="I23" s="363">
        <v>19422</v>
      </c>
      <c r="J23" s="365">
        <v>181.3</v>
      </c>
    </row>
    <row r="24" spans="1:10" x14ac:dyDescent="0.35">
      <c r="A24" s="361" t="s">
        <v>346</v>
      </c>
      <c r="B24" s="366" t="s">
        <v>124</v>
      </c>
      <c r="C24" s="363">
        <v>308</v>
      </c>
      <c r="D24" s="363">
        <v>9556</v>
      </c>
      <c r="E24" s="367">
        <v>272.52</v>
      </c>
      <c r="F24" s="363">
        <v>94611</v>
      </c>
      <c r="G24" s="363">
        <v>107212</v>
      </c>
      <c r="H24" s="363">
        <v>14729</v>
      </c>
      <c r="I24" s="363">
        <v>18657</v>
      </c>
      <c r="J24" s="365">
        <v>181.1</v>
      </c>
    </row>
    <row r="25" spans="1:10" x14ac:dyDescent="0.35">
      <c r="A25" s="361" t="s">
        <v>347</v>
      </c>
      <c r="B25" s="366" t="s">
        <v>235</v>
      </c>
      <c r="C25" s="363">
        <v>1823</v>
      </c>
      <c r="D25" s="363">
        <v>11040</v>
      </c>
      <c r="E25" s="367">
        <v>1644.11</v>
      </c>
      <c r="F25" s="363">
        <v>99444</v>
      </c>
      <c r="G25" s="363">
        <v>115651</v>
      </c>
      <c r="H25" s="363">
        <v>15077</v>
      </c>
      <c r="I25" s="363">
        <v>19487</v>
      </c>
      <c r="J25" s="365">
        <v>181</v>
      </c>
    </row>
    <row r="26" spans="1:10" x14ac:dyDescent="0.35">
      <c r="A26" s="361" t="s">
        <v>348</v>
      </c>
      <c r="B26" s="366" t="s">
        <v>125</v>
      </c>
      <c r="C26" s="363">
        <v>1290</v>
      </c>
      <c r="D26" s="363">
        <v>12879</v>
      </c>
      <c r="E26" s="367">
        <v>1165.0899999999999</v>
      </c>
      <c r="F26" s="363">
        <v>100588</v>
      </c>
      <c r="G26" s="363">
        <v>119600</v>
      </c>
      <c r="H26" s="363">
        <v>14812</v>
      </c>
      <c r="I26" s="363">
        <v>20292</v>
      </c>
      <c r="J26" s="365">
        <v>181.2</v>
      </c>
    </row>
    <row r="27" spans="1:10" x14ac:dyDescent="0.35">
      <c r="A27" s="361" t="s">
        <v>349</v>
      </c>
      <c r="B27" s="366" t="s">
        <v>126</v>
      </c>
      <c r="C27" s="363">
        <v>786</v>
      </c>
      <c r="D27" s="363">
        <v>8166</v>
      </c>
      <c r="E27" s="367">
        <v>692.86</v>
      </c>
      <c r="F27" s="363">
        <v>89346</v>
      </c>
      <c r="G27" s="363">
        <v>101578</v>
      </c>
      <c r="H27" s="363">
        <v>15635</v>
      </c>
      <c r="I27" s="363">
        <v>17768</v>
      </c>
      <c r="J27" s="365">
        <v>181.5</v>
      </c>
    </row>
    <row r="28" spans="1:10" x14ac:dyDescent="0.35">
      <c r="A28" s="361" t="s">
        <v>350</v>
      </c>
      <c r="B28" s="366" t="s">
        <v>127</v>
      </c>
      <c r="C28" s="363">
        <v>304</v>
      </c>
      <c r="D28" s="363">
        <v>11775</v>
      </c>
      <c r="E28" s="367">
        <v>223.6</v>
      </c>
      <c r="F28" s="363">
        <v>104474</v>
      </c>
      <c r="G28" s="363">
        <v>124004</v>
      </c>
      <c r="H28" s="363">
        <v>15768</v>
      </c>
      <c r="I28" s="363">
        <v>19691</v>
      </c>
      <c r="J28" s="365">
        <v>181</v>
      </c>
    </row>
    <row r="29" spans="1:10" x14ac:dyDescent="0.35">
      <c r="A29" s="361" t="s">
        <v>351</v>
      </c>
      <c r="B29" s="366" t="s">
        <v>427</v>
      </c>
      <c r="C29" s="363">
        <v>115</v>
      </c>
      <c r="D29" s="363">
        <v>7493</v>
      </c>
      <c r="E29" s="367">
        <v>109.27</v>
      </c>
      <c r="F29" s="363">
        <v>93084</v>
      </c>
      <c r="G29" s="363">
        <v>104218</v>
      </c>
      <c r="H29" s="363">
        <v>14300</v>
      </c>
      <c r="I29" s="363">
        <v>19054</v>
      </c>
      <c r="J29" s="365">
        <v>181</v>
      </c>
    </row>
    <row r="30" spans="1:10" x14ac:dyDescent="0.35">
      <c r="A30" s="361" t="s">
        <v>352</v>
      </c>
      <c r="B30" s="366" t="s">
        <v>118</v>
      </c>
      <c r="C30" s="363">
        <v>713</v>
      </c>
      <c r="D30" s="363">
        <v>5312</v>
      </c>
      <c r="E30" s="367">
        <v>107.87</v>
      </c>
      <c r="F30" s="363">
        <v>111213</v>
      </c>
      <c r="G30" s="363">
        <v>133296</v>
      </c>
      <c r="H30" s="363">
        <v>14263</v>
      </c>
      <c r="I30" s="363">
        <v>23133</v>
      </c>
      <c r="J30" s="365">
        <v>194.7</v>
      </c>
    </row>
    <row r="31" spans="1:10" x14ac:dyDescent="0.35">
      <c r="A31" s="361" t="s">
        <v>353</v>
      </c>
      <c r="B31" s="366" t="s">
        <v>119</v>
      </c>
      <c r="C31" s="363">
        <v>510</v>
      </c>
      <c r="D31" s="363">
        <v>1701</v>
      </c>
      <c r="E31" s="367">
        <v>146.84</v>
      </c>
      <c r="F31" s="363">
        <v>134691</v>
      </c>
      <c r="G31" s="363">
        <v>129825</v>
      </c>
      <c r="H31" s="363">
        <v>14363</v>
      </c>
      <c r="I31" s="363">
        <v>12576</v>
      </c>
      <c r="J31" s="365">
        <v>181.1</v>
      </c>
    </row>
    <row r="32" spans="1:10" x14ac:dyDescent="0.35">
      <c r="A32" s="361" t="s">
        <v>354</v>
      </c>
      <c r="B32" s="366" t="s">
        <v>236</v>
      </c>
      <c r="C32" s="363">
        <v>1910</v>
      </c>
      <c r="D32" s="363">
        <v>3877</v>
      </c>
      <c r="E32" s="367">
        <v>83.4</v>
      </c>
      <c r="F32" s="363">
        <v>113100</v>
      </c>
      <c r="G32" s="363">
        <v>119272</v>
      </c>
      <c r="H32" s="363">
        <v>14463</v>
      </c>
      <c r="I32" s="363">
        <v>22424</v>
      </c>
      <c r="J32" s="365">
        <v>182.1</v>
      </c>
    </row>
    <row r="33" spans="1:10" x14ac:dyDescent="0.35">
      <c r="A33" s="361" t="s">
        <v>355</v>
      </c>
      <c r="B33" s="366" t="s">
        <v>169</v>
      </c>
      <c r="C33" s="363">
        <v>257</v>
      </c>
      <c r="D33" s="363">
        <v>0</v>
      </c>
      <c r="E33" s="367">
        <v>251.07</v>
      </c>
      <c r="F33" s="363">
        <v>69451</v>
      </c>
      <c r="G33" s="363">
        <v>8305</v>
      </c>
      <c r="H33" s="363">
        <v>691</v>
      </c>
      <c r="I33" s="363">
        <v>454</v>
      </c>
      <c r="J33" s="365">
        <v>181.5</v>
      </c>
    </row>
    <row r="34" spans="1:10" x14ac:dyDescent="0.35">
      <c r="A34" s="361" t="s">
        <v>356</v>
      </c>
      <c r="B34" s="366" t="s">
        <v>170</v>
      </c>
      <c r="C34" s="363">
        <v>208</v>
      </c>
      <c r="D34" s="363">
        <v>0</v>
      </c>
      <c r="E34" s="367">
        <v>176.62</v>
      </c>
      <c r="F34" s="363">
        <v>105359</v>
      </c>
      <c r="G34" s="363">
        <v>20141</v>
      </c>
      <c r="H34" s="363">
        <v>7627</v>
      </c>
      <c r="I34" s="363">
        <v>7634</v>
      </c>
      <c r="J34" s="365">
        <v>182</v>
      </c>
    </row>
    <row r="35" spans="1:10" x14ac:dyDescent="0.35">
      <c r="A35" s="361" t="s">
        <v>357</v>
      </c>
      <c r="B35" s="366" t="s">
        <v>237</v>
      </c>
      <c r="C35" s="363">
        <v>1427</v>
      </c>
      <c r="D35" s="363">
        <v>2522</v>
      </c>
      <c r="E35" s="367">
        <v>5.95</v>
      </c>
      <c r="F35" s="363">
        <v>77413</v>
      </c>
      <c r="G35" s="363">
        <v>57474</v>
      </c>
      <c r="H35" s="363">
        <v>21713</v>
      </c>
      <c r="I35" s="363">
        <v>11713</v>
      </c>
      <c r="J35" s="365">
        <v>260</v>
      </c>
    </row>
    <row r="36" spans="1:10" x14ac:dyDescent="0.35">
      <c r="A36" s="361" t="s">
        <v>358</v>
      </c>
      <c r="B36" s="366" t="s">
        <v>89</v>
      </c>
      <c r="C36" s="363">
        <v>32040</v>
      </c>
      <c r="D36" s="363">
        <v>419</v>
      </c>
      <c r="E36" s="367">
        <v>17654.900000000001</v>
      </c>
      <c r="F36" s="363">
        <v>58515</v>
      </c>
      <c r="G36" s="363">
        <v>59715</v>
      </c>
      <c r="H36" s="363">
        <v>23849</v>
      </c>
      <c r="I36" s="363">
        <v>11370</v>
      </c>
      <c r="J36" s="365">
        <v>260</v>
      </c>
    </row>
    <row r="37" spans="1:10" x14ac:dyDescent="0.35">
      <c r="A37" s="361" t="s">
        <v>359</v>
      </c>
      <c r="B37" s="366" t="s">
        <v>90</v>
      </c>
      <c r="C37" s="363">
        <v>1713</v>
      </c>
      <c r="D37" s="363">
        <v>278</v>
      </c>
      <c r="E37" s="367">
        <v>1578.1</v>
      </c>
      <c r="F37" s="363">
        <v>84826</v>
      </c>
      <c r="G37" s="363">
        <v>85090</v>
      </c>
      <c r="H37" s="363">
        <v>14372</v>
      </c>
      <c r="I37" s="363">
        <v>17835</v>
      </c>
      <c r="J37" s="365">
        <v>260</v>
      </c>
    </row>
    <row r="38" spans="1:10" x14ac:dyDescent="0.35">
      <c r="A38" s="361" t="s">
        <v>360</v>
      </c>
      <c r="B38" s="366" t="s">
        <v>91</v>
      </c>
      <c r="C38" s="363">
        <v>267</v>
      </c>
      <c r="D38" s="363">
        <v>259</v>
      </c>
      <c r="E38" s="367">
        <v>218</v>
      </c>
      <c r="F38" s="363">
        <v>73573</v>
      </c>
      <c r="G38" s="363">
        <v>75478</v>
      </c>
      <c r="H38" s="363">
        <v>14469</v>
      </c>
      <c r="I38" s="363">
        <v>15712</v>
      </c>
      <c r="J38" s="365">
        <v>260</v>
      </c>
    </row>
    <row r="39" spans="1:10" x14ac:dyDescent="0.35">
      <c r="A39" s="361" t="s">
        <v>361</v>
      </c>
      <c r="B39" s="366" t="s">
        <v>92</v>
      </c>
      <c r="C39" s="363">
        <v>10644</v>
      </c>
      <c r="D39" s="363">
        <v>769</v>
      </c>
      <c r="E39" s="367">
        <v>8006.98</v>
      </c>
      <c r="F39" s="363">
        <v>70464</v>
      </c>
      <c r="G39" s="363">
        <v>72428</v>
      </c>
      <c r="H39" s="363">
        <v>17250</v>
      </c>
      <c r="I39" s="363">
        <v>13628</v>
      </c>
      <c r="J39" s="365">
        <v>260</v>
      </c>
    </row>
    <row r="40" spans="1:10" x14ac:dyDescent="0.35">
      <c r="A40" s="361" t="s">
        <v>362</v>
      </c>
      <c r="B40" s="366" t="s">
        <v>93</v>
      </c>
      <c r="C40" s="363">
        <v>6283</v>
      </c>
      <c r="D40" s="363">
        <v>413</v>
      </c>
      <c r="E40" s="367">
        <v>3303.27</v>
      </c>
      <c r="F40" s="363">
        <v>66869</v>
      </c>
      <c r="G40" s="363">
        <v>77362</v>
      </c>
      <c r="H40" s="363">
        <v>24774</v>
      </c>
      <c r="I40" s="363">
        <v>14826</v>
      </c>
      <c r="J40" s="365">
        <v>260</v>
      </c>
    </row>
    <row r="41" spans="1:10" x14ac:dyDescent="0.35">
      <c r="A41" s="361" t="s">
        <v>363</v>
      </c>
      <c r="B41" s="366" t="s">
        <v>94</v>
      </c>
      <c r="C41" s="363">
        <v>19357</v>
      </c>
      <c r="D41" s="363">
        <v>3636</v>
      </c>
      <c r="E41" s="367">
        <v>2902.86</v>
      </c>
      <c r="F41" s="363">
        <v>91265</v>
      </c>
      <c r="G41" s="363">
        <v>101662</v>
      </c>
      <c r="H41" s="363">
        <v>17154</v>
      </c>
      <c r="I41" s="363">
        <v>20373</v>
      </c>
      <c r="J41" s="365">
        <v>260</v>
      </c>
    </row>
    <row r="42" spans="1:10" x14ac:dyDescent="0.35">
      <c r="A42" s="361" t="s">
        <v>364</v>
      </c>
      <c r="B42" s="366" t="s">
        <v>95</v>
      </c>
      <c r="C42" s="363">
        <v>12636</v>
      </c>
      <c r="D42" s="363">
        <v>375</v>
      </c>
      <c r="E42" s="367">
        <v>9157.5300000000007</v>
      </c>
      <c r="F42" s="363">
        <v>59599</v>
      </c>
      <c r="G42" s="363">
        <v>61238</v>
      </c>
      <c r="H42" s="363">
        <v>17569</v>
      </c>
      <c r="I42" s="363">
        <v>13172</v>
      </c>
      <c r="J42" s="365">
        <v>260</v>
      </c>
    </row>
    <row r="43" spans="1:10" x14ac:dyDescent="0.35">
      <c r="A43" s="361" t="s">
        <v>365</v>
      </c>
      <c r="B43" s="366" t="s">
        <v>96</v>
      </c>
      <c r="C43" s="363">
        <v>2474</v>
      </c>
      <c r="D43" s="363">
        <v>705</v>
      </c>
      <c r="E43" s="367">
        <v>1844.35</v>
      </c>
      <c r="F43" s="363">
        <v>92397</v>
      </c>
      <c r="G43" s="363">
        <v>93644</v>
      </c>
      <c r="H43" s="363">
        <v>15461</v>
      </c>
      <c r="I43" s="363">
        <v>17749</v>
      </c>
      <c r="J43" s="365">
        <v>260</v>
      </c>
    </row>
    <row r="44" spans="1:10" x14ac:dyDescent="0.35">
      <c r="A44" s="361" t="s">
        <v>366</v>
      </c>
      <c r="B44" s="366" t="s">
        <v>88</v>
      </c>
      <c r="C44" s="363">
        <v>2191</v>
      </c>
      <c r="D44" s="363">
        <v>1785</v>
      </c>
      <c r="E44" s="367">
        <v>1955.26</v>
      </c>
      <c r="F44" s="363">
        <v>136141</v>
      </c>
      <c r="G44" s="363">
        <v>141694</v>
      </c>
      <c r="H44" s="363">
        <v>14795</v>
      </c>
      <c r="I44" s="363">
        <v>25256</v>
      </c>
      <c r="J44" s="365">
        <v>260</v>
      </c>
    </row>
    <row r="45" spans="1:10" x14ac:dyDescent="0.35">
      <c r="B45" s="366" t="s">
        <v>142</v>
      </c>
      <c r="C45" s="363">
        <v>194678</v>
      </c>
      <c r="D45" s="363">
        <v>4670</v>
      </c>
      <c r="E45" s="367">
        <v>124819.79</v>
      </c>
      <c r="F45" s="363">
        <v>89655</v>
      </c>
      <c r="G45" s="363">
        <v>98931</v>
      </c>
      <c r="H45" s="363">
        <v>16506</v>
      </c>
      <c r="I45" s="363">
        <v>17745</v>
      </c>
      <c r="J45" s="365">
        <v>213.2</v>
      </c>
    </row>
  </sheetData>
  <autoFilter ref="A6:J6" xr:uid="{00000000-0009-0000-0000-000009000000}"/>
  <mergeCells count="1">
    <mergeCell ref="E3:J3"/>
  </mergeCells>
  <phoneticPr fontId="0" type="noConversion"/>
  <pageMargins left="0.5" right="0.5" top="1.25" bottom="1" header="0.5" footer="0.5"/>
  <pageSetup scale="95" orientation="portrait" horizontalDpi="300" verticalDpi="300" r:id="rId1"/>
  <headerFooter alignWithMargins="0"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>
    <pageSetUpPr fitToPage="1"/>
  </sheetPr>
  <dimension ref="A1:M75"/>
  <sheetViews>
    <sheetView zoomScale="75" zoomScaleNormal="75" workbookViewId="0">
      <pane ySplit="6" topLeftCell="A53" activePane="bottomLeft" state="frozen"/>
      <selection pane="bottomLeft" activeCell="D72" sqref="D72"/>
    </sheetView>
  </sheetViews>
  <sheetFormatPr defaultColWidth="9.109375" defaultRowHeight="16.8" x14ac:dyDescent="0.4"/>
  <cols>
    <col min="1" max="1" width="11.5546875" style="88" customWidth="1"/>
    <col min="2" max="2" width="9.33203125" style="188" bestFit="1" customWidth="1"/>
    <col min="3" max="3" width="11" style="189" bestFit="1" customWidth="1"/>
    <col min="4" max="4" width="9.33203125" style="188" customWidth="1"/>
    <col min="5" max="5" width="11" style="189" customWidth="1"/>
    <col min="6" max="6" width="10.44140625" style="188" customWidth="1"/>
    <col min="7" max="7" width="9.88671875" style="189" customWidth="1"/>
    <col min="8" max="8" width="10.44140625" style="188" bestFit="1" customWidth="1"/>
    <col min="9" max="9" width="11" style="189" bestFit="1" customWidth="1"/>
    <col min="10" max="10" width="10.44140625" style="188" customWidth="1"/>
    <col min="11" max="11" width="11" style="189" bestFit="1" customWidth="1"/>
    <col min="12" max="12" width="10.44140625" style="188" customWidth="1"/>
    <col min="13" max="13" width="9.88671875" style="189" customWidth="1"/>
    <col min="14" max="16384" width="9.109375" style="88"/>
  </cols>
  <sheetData>
    <row r="1" spans="1:13" s="167" customFormat="1" ht="20.399999999999999" x14ac:dyDescent="0.45">
      <c r="A1" s="775" t="s">
        <v>311</v>
      </c>
      <c r="B1" s="776"/>
      <c r="C1" s="776"/>
      <c r="D1" s="776"/>
      <c r="E1" s="776"/>
      <c r="F1" s="776"/>
      <c r="G1" s="776"/>
      <c r="H1" s="776"/>
      <c r="I1" s="776"/>
      <c r="J1" s="776"/>
      <c r="K1" s="776"/>
      <c r="L1" s="776"/>
      <c r="M1" s="781"/>
    </row>
    <row r="2" spans="1:13" s="167" customFormat="1" ht="21" thickBot="1" x14ac:dyDescent="0.5">
      <c r="A2" s="778" t="s">
        <v>405</v>
      </c>
      <c r="B2" s="779"/>
      <c r="C2" s="779"/>
      <c r="D2" s="779"/>
      <c r="E2" s="779"/>
      <c r="F2" s="779"/>
      <c r="G2" s="779"/>
      <c r="H2" s="779"/>
      <c r="I2" s="779"/>
      <c r="J2" s="779"/>
      <c r="K2" s="779"/>
      <c r="L2" s="779"/>
      <c r="M2" s="782"/>
    </row>
    <row r="3" spans="1:13" ht="19.8" thickBot="1" x14ac:dyDescent="0.5">
      <c r="A3" s="426"/>
      <c r="B3" s="783" t="s">
        <v>63</v>
      </c>
      <c r="C3" s="783"/>
      <c r="D3" s="783"/>
      <c r="E3" s="783"/>
      <c r="F3" s="783"/>
      <c r="G3" s="783"/>
      <c r="H3" s="783"/>
      <c r="I3" s="783"/>
      <c r="J3" s="783"/>
      <c r="K3" s="784"/>
      <c r="L3" s="785" t="s">
        <v>109</v>
      </c>
      <c r="M3" s="784"/>
    </row>
    <row r="4" spans="1:13" ht="19.8" thickBot="1" x14ac:dyDescent="0.5">
      <c r="A4" s="427"/>
      <c r="B4" s="785" t="s">
        <v>318</v>
      </c>
      <c r="C4" s="783"/>
      <c r="D4" s="783"/>
      <c r="E4" s="784"/>
      <c r="F4" s="785" t="s">
        <v>67</v>
      </c>
      <c r="G4" s="783"/>
      <c r="H4" s="783"/>
      <c r="I4" s="784"/>
      <c r="J4" s="785" t="s">
        <v>38</v>
      </c>
      <c r="K4" s="784"/>
      <c r="L4" s="785" t="s">
        <v>38</v>
      </c>
      <c r="M4" s="784"/>
    </row>
    <row r="5" spans="1:13" ht="19.2" x14ac:dyDescent="0.45">
      <c r="A5" s="427" t="s">
        <v>65</v>
      </c>
      <c r="B5" s="786" t="s">
        <v>72</v>
      </c>
      <c r="C5" s="787"/>
      <c r="D5" s="786" t="s">
        <v>73</v>
      </c>
      <c r="E5" s="787"/>
      <c r="F5" s="786" t="s">
        <v>74</v>
      </c>
      <c r="G5" s="787"/>
      <c r="H5" s="786" t="s">
        <v>5</v>
      </c>
      <c r="I5" s="787"/>
      <c r="J5" s="786" t="s">
        <v>1</v>
      </c>
      <c r="K5" s="787"/>
      <c r="L5" s="786" t="s">
        <v>1</v>
      </c>
      <c r="M5" s="787"/>
    </row>
    <row r="6" spans="1:13" ht="19.8" thickBot="1" x14ac:dyDescent="0.5">
      <c r="A6" s="428" t="s">
        <v>71</v>
      </c>
      <c r="B6" s="424" t="s">
        <v>6</v>
      </c>
      <c r="C6" s="425" t="s">
        <v>290</v>
      </c>
      <c r="D6" s="424" t="s">
        <v>6</v>
      </c>
      <c r="E6" s="425" t="s">
        <v>290</v>
      </c>
      <c r="F6" s="424" t="s">
        <v>7</v>
      </c>
      <c r="G6" s="425" t="s">
        <v>290</v>
      </c>
      <c r="H6" s="424" t="s">
        <v>8</v>
      </c>
      <c r="I6" s="425" t="s">
        <v>290</v>
      </c>
      <c r="J6" s="424" t="s">
        <v>6</v>
      </c>
      <c r="K6" s="425" t="s">
        <v>290</v>
      </c>
      <c r="L6" s="424" t="s">
        <v>6</v>
      </c>
      <c r="M6" s="425" t="s">
        <v>290</v>
      </c>
    </row>
    <row r="7" spans="1:13" hidden="1" x14ac:dyDescent="0.4">
      <c r="A7" s="169" t="s">
        <v>191</v>
      </c>
      <c r="B7" s="170"/>
      <c r="C7" s="171"/>
      <c r="D7" s="170"/>
      <c r="E7" s="171"/>
      <c r="F7" s="170"/>
      <c r="G7" s="171">
        <v>5340</v>
      </c>
      <c r="H7" s="170"/>
      <c r="I7" s="171"/>
      <c r="J7" s="170"/>
      <c r="K7" s="171">
        <v>5652</v>
      </c>
      <c r="L7" s="170"/>
      <c r="M7" s="171"/>
    </row>
    <row r="8" spans="1:13" hidden="1" x14ac:dyDescent="0.4">
      <c r="A8" s="172" t="s">
        <v>192</v>
      </c>
      <c r="B8" s="170"/>
      <c r="C8" s="171"/>
      <c r="D8" s="170"/>
      <c r="E8" s="171"/>
      <c r="F8" s="170"/>
      <c r="G8" s="171">
        <v>5510</v>
      </c>
      <c r="H8" s="170"/>
      <c r="I8" s="171"/>
      <c r="J8" s="170"/>
      <c r="K8" s="171">
        <v>5745</v>
      </c>
      <c r="L8" s="170"/>
      <c r="M8" s="171"/>
    </row>
    <row r="9" spans="1:13" hidden="1" x14ac:dyDescent="0.4">
      <c r="A9" s="172" t="s">
        <v>193</v>
      </c>
      <c r="B9" s="170"/>
      <c r="C9" s="171"/>
      <c r="D9" s="170"/>
      <c r="E9" s="171"/>
      <c r="F9" s="170"/>
      <c r="G9" s="171">
        <v>5927</v>
      </c>
      <c r="H9" s="170"/>
      <c r="I9" s="171"/>
      <c r="J9" s="170"/>
      <c r="K9" s="171">
        <v>6147</v>
      </c>
      <c r="L9" s="170"/>
      <c r="M9" s="171"/>
    </row>
    <row r="10" spans="1:13" hidden="1" x14ac:dyDescent="0.4">
      <c r="A10" s="172" t="s">
        <v>194</v>
      </c>
      <c r="B10" s="170"/>
      <c r="C10" s="171"/>
      <c r="D10" s="170"/>
      <c r="E10" s="171"/>
      <c r="F10" s="170"/>
      <c r="G10" s="171">
        <v>6191</v>
      </c>
      <c r="H10" s="170"/>
      <c r="I10" s="171"/>
      <c r="J10" s="170"/>
      <c r="K10" s="171">
        <v>6424</v>
      </c>
      <c r="L10" s="170"/>
      <c r="M10" s="171"/>
    </row>
    <row r="11" spans="1:13" hidden="1" x14ac:dyDescent="0.4">
      <c r="A11" s="172" t="s">
        <v>195</v>
      </c>
      <c r="B11" s="170"/>
      <c r="C11" s="171"/>
      <c r="D11" s="170"/>
      <c r="E11" s="171"/>
      <c r="F11" s="170"/>
      <c r="G11" s="171">
        <v>6319</v>
      </c>
      <c r="H11" s="170"/>
      <c r="I11" s="171"/>
      <c r="J11" s="170"/>
      <c r="K11" s="171">
        <v>6566</v>
      </c>
      <c r="L11" s="170"/>
      <c r="M11" s="171"/>
    </row>
    <row r="12" spans="1:13" hidden="1" x14ac:dyDescent="0.4">
      <c r="A12" s="172" t="s">
        <v>196</v>
      </c>
      <c r="B12" s="170"/>
      <c r="C12" s="171"/>
      <c r="D12" s="170"/>
      <c r="E12" s="171"/>
      <c r="F12" s="170"/>
      <c r="G12" s="171">
        <v>6606</v>
      </c>
      <c r="H12" s="170"/>
      <c r="I12" s="171"/>
      <c r="J12" s="170"/>
      <c r="K12" s="171">
        <v>6865</v>
      </c>
      <c r="L12" s="170"/>
      <c r="M12" s="171"/>
    </row>
    <row r="13" spans="1:13" hidden="1" x14ac:dyDescent="0.4">
      <c r="A13" s="172" t="s">
        <v>197</v>
      </c>
      <c r="B13" s="170"/>
      <c r="C13" s="171"/>
      <c r="D13" s="170"/>
      <c r="E13" s="171"/>
      <c r="F13" s="170"/>
      <c r="G13" s="171">
        <v>6903</v>
      </c>
      <c r="H13" s="170"/>
      <c r="I13" s="171"/>
      <c r="J13" s="170"/>
      <c r="K13" s="171">
        <v>7174</v>
      </c>
      <c r="L13" s="170"/>
      <c r="M13" s="171"/>
    </row>
    <row r="14" spans="1:13" hidden="1" x14ac:dyDescent="0.4">
      <c r="A14" s="172" t="s">
        <v>198</v>
      </c>
      <c r="B14" s="170"/>
      <c r="C14" s="171"/>
      <c r="D14" s="170"/>
      <c r="E14" s="171"/>
      <c r="F14" s="170"/>
      <c r="G14" s="171">
        <v>7341</v>
      </c>
      <c r="H14" s="170"/>
      <c r="I14" s="171"/>
      <c r="J14" s="170"/>
      <c r="K14" s="171">
        <v>7673</v>
      </c>
      <c r="L14" s="170"/>
      <c r="M14" s="171"/>
    </row>
    <row r="15" spans="1:13" hidden="1" x14ac:dyDescent="0.4">
      <c r="A15" s="172" t="s">
        <v>199</v>
      </c>
      <c r="B15" s="170"/>
      <c r="C15" s="171"/>
      <c r="D15" s="170"/>
      <c r="E15" s="171"/>
      <c r="F15" s="170"/>
      <c r="G15" s="171">
        <v>7968</v>
      </c>
      <c r="H15" s="170"/>
      <c r="I15" s="171"/>
      <c r="J15" s="170"/>
      <c r="K15" s="171">
        <v>8377</v>
      </c>
      <c r="L15" s="170"/>
      <c r="M15" s="171"/>
    </row>
    <row r="16" spans="1:13" hidden="1" x14ac:dyDescent="0.4">
      <c r="A16" s="172" t="s">
        <v>200</v>
      </c>
      <c r="B16" s="170"/>
      <c r="C16" s="171"/>
      <c r="D16" s="170"/>
      <c r="E16" s="171"/>
      <c r="F16" s="170"/>
      <c r="G16" s="171">
        <v>8541</v>
      </c>
      <c r="H16" s="170"/>
      <c r="I16" s="171"/>
      <c r="J16" s="170">
        <v>38706</v>
      </c>
      <c r="K16" s="171">
        <v>8815</v>
      </c>
      <c r="L16" s="170">
        <v>15367.2</v>
      </c>
      <c r="M16" s="171">
        <v>5814</v>
      </c>
    </row>
    <row r="17" spans="1:13" hidden="1" x14ac:dyDescent="0.4">
      <c r="A17" s="172" t="s">
        <v>201</v>
      </c>
      <c r="B17" s="170"/>
      <c r="C17" s="171"/>
      <c r="D17" s="170"/>
      <c r="E17" s="171"/>
      <c r="F17" s="170"/>
      <c r="G17" s="171">
        <v>9241</v>
      </c>
      <c r="H17" s="170"/>
      <c r="I17" s="171"/>
      <c r="J17" s="170">
        <v>40461.9</v>
      </c>
      <c r="K17" s="171">
        <v>9728</v>
      </c>
      <c r="L17" s="170">
        <v>16588</v>
      </c>
      <c r="M17" s="171">
        <v>6411</v>
      </c>
    </row>
    <row r="18" spans="1:13" hidden="1" x14ac:dyDescent="0.4">
      <c r="A18" s="172" t="s">
        <v>202</v>
      </c>
      <c r="B18" s="170"/>
      <c r="C18" s="171"/>
      <c r="D18" s="170"/>
      <c r="E18" s="171"/>
      <c r="F18" s="170"/>
      <c r="G18" s="171">
        <v>9900</v>
      </c>
      <c r="H18" s="170"/>
      <c r="I18" s="171"/>
      <c r="J18" s="170">
        <v>40411.800000000003</v>
      </c>
      <c r="K18" s="171">
        <v>10419</v>
      </c>
      <c r="L18" s="170">
        <v>17405.2</v>
      </c>
      <c r="M18" s="171">
        <v>6867</v>
      </c>
    </row>
    <row r="19" spans="1:13" hidden="1" x14ac:dyDescent="0.4">
      <c r="A19" s="172" t="s">
        <v>203</v>
      </c>
      <c r="B19" s="170">
        <v>1589</v>
      </c>
      <c r="C19" s="171"/>
      <c r="D19" s="170">
        <v>1846</v>
      </c>
      <c r="E19" s="171"/>
      <c r="F19" s="170">
        <v>33600</v>
      </c>
      <c r="G19" s="171">
        <v>10175</v>
      </c>
      <c r="H19" s="170">
        <v>3019</v>
      </c>
      <c r="I19" s="171"/>
      <c r="J19" s="170">
        <v>40053.800000000003</v>
      </c>
      <c r="K19" s="171">
        <v>10708</v>
      </c>
      <c r="L19" s="170">
        <v>17657.7</v>
      </c>
      <c r="M19" s="171">
        <v>6918</v>
      </c>
    </row>
    <row r="20" spans="1:13" hidden="1" x14ac:dyDescent="0.4">
      <c r="A20" s="172" t="s">
        <v>204</v>
      </c>
      <c r="B20" s="170">
        <v>1180</v>
      </c>
      <c r="C20" s="171"/>
      <c r="D20" s="170">
        <v>2310</v>
      </c>
      <c r="E20" s="171"/>
      <c r="F20" s="170">
        <v>32725</v>
      </c>
      <c r="G20" s="171">
        <v>10716</v>
      </c>
      <c r="H20" s="170">
        <v>3895</v>
      </c>
      <c r="I20" s="171"/>
      <c r="J20" s="170">
        <v>40109.599999999999</v>
      </c>
      <c r="K20" s="171">
        <v>11289</v>
      </c>
      <c r="L20" s="170">
        <v>17520.7</v>
      </c>
      <c r="M20" s="171">
        <v>7329</v>
      </c>
    </row>
    <row r="21" spans="1:13" x14ac:dyDescent="0.4">
      <c r="A21" s="172" t="s">
        <v>205</v>
      </c>
      <c r="B21" s="170">
        <v>1191.4000000000001</v>
      </c>
      <c r="C21" s="171">
        <v>19540</v>
      </c>
      <c r="D21" s="170">
        <v>2418.9</v>
      </c>
      <c r="E21" s="171">
        <v>17368</v>
      </c>
      <c r="F21" s="170">
        <v>32651.1</v>
      </c>
      <c r="G21" s="171">
        <v>11295</v>
      </c>
      <c r="H21" s="170">
        <v>4532.3</v>
      </c>
      <c r="I21" s="171">
        <v>12454</v>
      </c>
      <c r="J21" s="170">
        <v>40793.699999999997</v>
      </c>
      <c r="K21" s="171">
        <v>12025</v>
      </c>
      <c r="L21" s="170">
        <v>17759.599999999999</v>
      </c>
      <c r="M21" s="171">
        <v>8004</v>
      </c>
    </row>
    <row r="22" spans="1:13" x14ac:dyDescent="0.4">
      <c r="A22" s="172" t="s">
        <v>206</v>
      </c>
      <c r="B22" s="170">
        <v>1211.8</v>
      </c>
      <c r="C22" s="171">
        <v>20981</v>
      </c>
      <c r="D22" s="170">
        <v>2413.1</v>
      </c>
      <c r="E22" s="171">
        <v>18893</v>
      </c>
      <c r="F22" s="170">
        <v>33555.800000000003</v>
      </c>
      <c r="G22" s="171">
        <v>12264</v>
      </c>
      <c r="H22" s="170">
        <v>4044</v>
      </c>
      <c r="I22" s="171">
        <v>13698</v>
      </c>
      <c r="J22" s="170">
        <v>41224.699999999997</v>
      </c>
      <c r="K22" s="171">
        <v>13049</v>
      </c>
      <c r="L22" s="170">
        <v>19025.7</v>
      </c>
      <c r="M22" s="171">
        <v>8678</v>
      </c>
    </row>
    <row r="23" spans="1:13" x14ac:dyDescent="0.4">
      <c r="A23" s="172" t="s">
        <v>207</v>
      </c>
      <c r="B23" s="170">
        <v>1080.8</v>
      </c>
      <c r="C23" s="171">
        <v>23213</v>
      </c>
      <c r="D23" s="170">
        <v>2336.9</v>
      </c>
      <c r="E23" s="171">
        <v>20850</v>
      </c>
      <c r="F23" s="170">
        <v>33688.9</v>
      </c>
      <c r="G23" s="171">
        <v>13666</v>
      </c>
      <c r="H23" s="170">
        <v>3486.9</v>
      </c>
      <c r="I23" s="171">
        <v>15386</v>
      </c>
      <c r="J23" s="170">
        <v>40593.4</v>
      </c>
      <c r="K23" s="171">
        <v>14481</v>
      </c>
      <c r="L23" s="170">
        <v>18894.099999999999</v>
      </c>
      <c r="M23" s="171">
        <v>9401</v>
      </c>
    </row>
    <row r="24" spans="1:13" x14ac:dyDescent="0.4">
      <c r="A24" s="172" t="s">
        <v>208</v>
      </c>
      <c r="B24" s="170">
        <v>1052.9000000000001</v>
      </c>
      <c r="C24" s="171">
        <v>25272</v>
      </c>
      <c r="D24" s="170">
        <v>2239.6</v>
      </c>
      <c r="E24" s="171">
        <v>23035</v>
      </c>
      <c r="F24" s="170">
        <v>33640.6</v>
      </c>
      <c r="G24" s="171">
        <v>14921</v>
      </c>
      <c r="H24" s="170">
        <v>3427.6</v>
      </c>
      <c r="I24" s="171">
        <v>16798</v>
      </c>
      <c r="J24" s="170">
        <v>40360.6</v>
      </c>
      <c r="K24" s="171">
        <v>15801</v>
      </c>
      <c r="L24" s="170">
        <v>18692.5</v>
      </c>
      <c r="M24" s="171">
        <v>10225</v>
      </c>
    </row>
    <row r="25" spans="1:13" x14ac:dyDescent="0.4">
      <c r="A25" s="172" t="s">
        <v>209</v>
      </c>
      <c r="B25" s="170">
        <v>1059.4000000000001</v>
      </c>
      <c r="C25" s="171">
        <v>27187</v>
      </c>
      <c r="D25" s="170">
        <v>2204.4</v>
      </c>
      <c r="E25" s="171">
        <v>25013</v>
      </c>
      <c r="F25" s="170">
        <v>34596.199999999997</v>
      </c>
      <c r="G25" s="171">
        <v>16114</v>
      </c>
      <c r="H25" s="170">
        <v>3296.9</v>
      </c>
      <c r="I25" s="171">
        <v>18098</v>
      </c>
      <c r="J25" s="170">
        <v>41157</v>
      </c>
      <c r="K25" s="171">
        <v>17032</v>
      </c>
      <c r="L25" s="170">
        <v>19591.8</v>
      </c>
      <c r="M25" s="171">
        <v>10952</v>
      </c>
    </row>
    <row r="26" spans="1:13" x14ac:dyDescent="0.4">
      <c r="A26" s="172" t="s">
        <v>210</v>
      </c>
      <c r="B26" s="170">
        <v>1072</v>
      </c>
      <c r="C26" s="171">
        <v>29333</v>
      </c>
      <c r="D26" s="170">
        <v>2271.8000000000002</v>
      </c>
      <c r="E26" s="171">
        <v>26842</v>
      </c>
      <c r="F26" s="170">
        <v>34895.5</v>
      </c>
      <c r="G26" s="171">
        <v>17357</v>
      </c>
      <c r="H26" s="170">
        <v>3398.2</v>
      </c>
      <c r="I26" s="171">
        <v>19229</v>
      </c>
      <c r="J26" s="170">
        <v>41637.5</v>
      </c>
      <c r="K26" s="171">
        <v>18336</v>
      </c>
      <c r="L26" s="170">
        <v>20147.5</v>
      </c>
      <c r="M26" s="171">
        <v>11807</v>
      </c>
    </row>
    <row r="27" spans="1:13" x14ac:dyDescent="0.4">
      <c r="A27" s="172" t="s">
        <v>211</v>
      </c>
      <c r="B27" s="170">
        <v>1112.9000000000001</v>
      </c>
      <c r="C27" s="171">
        <v>31774</v>
      </c>
      <c r="D27" s="170">
        <v>2275.1</v>
      </c>
      <c r="E27" s="171">
        <v>29166</v>
      </c>
      <c r="F27" s="170">
        <v>35499.300000000003</v>
      </c>
      <c r="G27" s="171">
        <v>18820</v>
      </c>
      <c r="H27" s="170">
        <v>3518.8</v>
      </c>
      <c r="I27" s="171">
        <v>20773</v>
      </c>
      <c r="J27" s="170">
        <v>42406.1</v>
      </c>
      <c r="K27" s="171">
        <v>19877</v>
      </c>
      <c r="L27" s="170">
        <v>21013.200000000001</v>
      </c>
      <c r="M27" s="171">
        <v>12732</v>
      </c>
    </row>
    <row r="28" spans="1:13" x14ac:dyDescent="0.4">
      <c r="A28" s="172" t="s">
        <v>212</v>
      </c>
      <c r="B28" s="170">
        <v>1136.5</v>
      </c>
      <c r="C28" s="171">
        <v>35307</v>
      </c>
      <c r="D28" s="170">
        <v>2304.1999999999998</v>
      </c>
      <c r="E28" s="171">
        <v>32721</v>
      </c>
      <c r="F28" s="170">
        <v>35599.699999999997</v>
      </c>
      <c r="G28" s="171">
        <v>21267</v>
      </c>
      <c r="H28" s="170">
        <v>3677.9</v>
      </c>
      <c r="I28" s="171">
        <v>23255</v>
      </c>
      <c r="J28" s="170">
        <v>42719</v>
      </c>
      <c r="K28" s="171">
        <v>22430</v>
      </c>
      <c r="L28" s="170">
        <v>21402.3</v>
      </c>
      <c r="M28" s="171">
        <v>14040</v>
      </c>
    </row>
    <row r="29" spans="1:13" x14ac:dyDescent="0.4">
      <c r="A29" s="172" t="s">
        <v>213</v>
      </c>
      <c r="B29" s="170">
        <v>1003</v>
      </c>
      <c r="C29" s="171">
        <v>38252</v>
      </c>
      <c r="D29" s="170">
        <v>2246.6999999999998</v>
      </c>
      <c r="E29" s="171">
        <v>35193</v>
      </c>
      <c r="F29" s="170">
        <v>35004.199999999997</v>
      </c>
      <c r="G29" s="171">
        <v>22954</v>
      </c>
      <c r="H29" s="170">
        <v>3605.9</v>
      </c>
      <c r="I29" s="171">
        <v>25045</v>
      </c>
      <c r="J29" s="170">
        <v>41859.699999999997</v>
      </c>
      <c r="K29" s="171">
        <v>24158</v>
      </c>
      <c r="L29" s="170">
        <v>19520.099999999999</v>
      </c>
      <c r="M29" s="171">
        <v>15233</v>
      </c>
    </row>
    <row r="30" spans="1:13" x14ac:dyDescent="0.4">
      <c r="A30" s="172" t="s">
        <v>214</v>
      </c>
      <c r="B30" s="170">
        <v>909.3</v>
      </c>
      <c r="C30" s="171">
        <v>39311</v>
      </c>
      <c r="D30" s="170">
        <v>2190</v>
      </c>
      <c r="E30" s="171">
        <v>35746</v>
      </c>
      <c r="F30" s="170">
        <v>34117</v>
      </c>
      <c r="G30" s="171">
        <v>23485</v>
      </c>
      <c r="H30" s="170">
        <v>3470.3</v>
      </c>
      <c r="I30" s="171">
        <v>25622</v>
      </c>
      <c r="J30" s="170">
        <v>40686</v>
      </c>
      <c r="K30" s="171">
        <v>24681</v>
      </c>
      <c r="L30" s="170">
        <v>18962.8</v>
      </c>
      <c r="M30" s="171">
        <v>15440</v>
      </c>
    </row>
    <row r="31" spans="1:13" x14ac:dyDescent="0.4">
      <c r="A31" s="172" t="s">
        <v>215</v>
      </c>
      <c r="B31" s="170">
        <v>940.7</v>
      </c>
      <c r="C31" s="171">
        <v>41409</v>
      </c>
      <c r="D31" s="170">
        <v>2191.5</v>
      </c>
      <c r="E31" s="171">
        <v>37350</v>
      </c>
      <c r="F31" s="170">
        <v>34889.5</v>
      </c>
      <c r="G31" s="171">
        <v>24420</v>
      </c>
      <c r="H31" s="170">
        <v>3596.5</v>
      </c>
      <c r="I31" s="171">
        <v>26506</v>
      </c>
      <c r="J31" s="170">
        <v>41634</v>
      </c>
      <c r="K31" s="171">
        <v>25667</v>
      </c>
      <c r="L31" s="170">
        <v>19690</v>
      </c>
      <c r="M31" s="171">
        <v>16249</v>
      </c>
    </row>
    <row r="32" spans="1:13" x14ac:dyDescent="0.4">
      <c r="A32" s="172" t="s">
        <v>216</v>
      </c>
      <c r="B32" s="170">
        <v>967.6</v>
      </c>
      <c r="C32" s="171">
        <v>43395</v>
      </c>
      <c r="D32" s="170">
        <v>2276.9</v>
      </c>
      <c r="E32" s="171">
        <v>38902</v>
      </c>
      <c r="F32" s="170">
        <v>35727.1</v>
      </c>
      <c r="G32" s="171">
        <v>25505</v>
      </c>
      <c r="H32" s="170">
        <v>3736.8</v>
      </c>
      <c r="I32" s="171">
        <v>27728</v>
      </c>
      <c r="J32" s="170">
        <v>42735</v>
      </c>
      <c r="K32" s="171">
        <v>26806</v>
      </c>
      <c r="L32" s="170">
        <v>20465</v>
      </c>
      <c r="M32" s="171">
        <v>17099</v>
      </c>
    </row>
    <row r="33" spans="1:13" x14ac:dyDescent="0.4">
      <c r="A33" s="172" t="s">
        <v>217</v>
      </c>
      <c r="B33" s="170">
        <v>992.2</v>
      </c>
      <c r="C33" s="171">
        <v>44697</v>
      </c>
      <c r="D33" s="170">
        <v>2255.5</v>
      </c>
      <c r="E33" s="171">
        <v>40349</v>
      </c>
      <c r="F33" s="170">
        <v>36199.5</v>
      </c>
      <c r="G33" s="171">
        <v>26210</v>
      </c>
      <c r="H33" s="170">
        <v>3822.7</v>
      </c>
      <c r="I33" s="171">
        <v>28377</v>
      </c>
      <c r="J33" s="170">
        <v>43292</v>
      </c>
      <c r="K33" s="171">
        <v>27562</v>
      </c>
      <c r="L33" s="170">
        <v>20959</v>
      </c>
      <c r="M33" s="171">
        <v>17505</v>
      </c>
    </row>
    <row r="34" spans="1:13" x14ac:dyDescent="0.4">
      <c r="A34" s="172" t="s">
        <v>218</v>
      </c>
      <c r="B34" s="170">
        <v>1007.8</v>
      </c>
      <c r="C34" s="171">
        <v>46883</v>
      </c>
      <c r="D34" s="170">
        <v>2186</v>
      </c>
      <c r="E34" s="171">
        <v>42354</v>
      </c>
      <c r="F34" s="170">
        <v>37126.9</v>
      </c>
      <c r="G34" s="171">
        <v>27285</v>
      </c>
      <c r="H34" s="170">
        <v>3995.3</v>
      </c>
      <c r="I34" s="171">
        <v>29503</v>
      </c>
      <c r="J34" s="170">
        <v>44321</v>
      </c>
      <c r="K34" s="171">
        <v>28673</v>
      </c>
      <c r="L34" s="170">
        <v>21590</v>
      </c>
      <c r="M34" s="171">
        <v>18038</v>
      </c>
    </row>
    <row r="35" spans="1:13" x14ac:dyDescent="0.4">
      <c r="A35" s="172" t="s">
        <v>219</v>
      </c>
      <c r="B35" s="170">
        <v>995.9</v>
      </c>
      <c r="C35" s="171">
        <v>49579</v>
      </c>
      <c r="D35" s="170">
        <v>2224.1999999999998</v>
      </c>
      <c r="E35" s="171">
        <v>44572</v>
      </c>
      <c r="F35" s="170">
        <v>37948.5</v>
      </c>
      <c r="G35" s="171">
        <v>28217</v>
      </c>
      <c r="H35" s="170">
        <v>4060.9</v>
      </c>
      <c r="I35" s="171">
        <v>30343</v>
      </c>
      <c r="J35" s="170">
        <v>45236.4</v>
      </c>
      <c r="K35" s="171">
        <v>29683</v>
      </c>
      <c r="L35" s="170">
        <v>22430</v>
      </c>
      <c r="M35" s="171">
        <v>18732</v>
      </c>
    </row>
    <row r="36" spans="1:13" x14ac:dyDescent="0.4">
      <c r="A36" s="172" t="s">
        <v>220</v>
      </c>
      <c r="B36" s="170">
        <v>1022</v>
      </c>
      <c r="C36" s="171">
        <v>52049</v>
      </c>
      <c r="D36" s="170">
        <v>2266</v>
      </c>
      <c r="E36" s="171">
        <v>46720</v>
      </c>
      <c r="F36" s="170">
        <v>38818</v>
      </c>
      <c r="G36" s="171">
        <v>29199</v>
      </c>
      <c r="H36" s="170">
        <v>4193</v>
      </c>
      <c r="I36" s="171">
        <v>31331</v>
      </c>
      <c r="J36" s="170">
        <v>46338</v>
      </c>
      <c r="K36" s="171">
        <v>30756</v>
      </c>
      <c r="L36" s="170">
        <v>23489</v>
      </c>
      <c r="M36" s="171">
        <v>19577</v>
      </c>
    </row>
    <row r="37" spans="1:13" x14ac:dyDescent="0.4">
      <c r="A37" s="172" t="s">
        <v>221</v>
      </c>
      <c r="B37" s="170">
        <v>1047</v>
      </c>
      <c r="C37" s="171">
        <v>54772</v>
      </c>
      <c r="D37" s="170">
        <v>2251</v>
      </c>
      <c r="E37" s="171">
        <v>49563</v>
      </c>
      <c r="F37" s="170">
        <v>40337</v>
      </c>
      <c r="G37" s="171">
        <v>30457</v>
      </c>
      <c r="H37" s="170">
        <v>4419</v>
      </c>
      <c r="I37" s="171">
        <v>32618</v>
      </c>
      <c r="J37" s="170">
        <v>48111</v>
      </c>
      <c r="K37" s="171">
        <v>32085</v>
      </c>
      <c r="L37" s="170">
        <v>24283</v>
      </c>
      <c r="M37" s="171">
        <v>20518</v>
      </c>
    </row>
    <row r="38" spans="1:13" x14ac:dyDescent="0.4">
      <c r="A38" s="172" t="s">
        <v>222</v>
      </c>
      <c r="B38" s="170">
        <v>1055.5999999999999</v>
      </c>
      <c r="C38" s="171">
        <v>59220</v>
      </c>
      <c r="D38" s="170">
        <v>2334.1</v>
      </c>
      <c r="E38" s="171">
        <v>53376</v>
      </c>
      <c r="F38" s="170">
        <v>41918.6</v>
      </c>
      <c r="G38" s="171">
        <v>33079</v>
      </c>
      <c r="H38" s="170">
        <v>4627</v>
      </c>
      <c r="I38" s="171">
        <v>35674</v>
      </c>
      <c r="J38" s="170">
        <v>49996.9</v>
      </c>
      <c r="K38" s="171">
        <v>34826</v>
      </c>
      <c r="L38" s="170">
        <v>25791</v>
      </c>
      <c r="M38" s="171">
        <v>21560</v>
      </c>
    </row>
    <row r="39" spans="1:13" x14ac:dyDescent="0.4">
      <c r="A39" s="172" t="s">
        <v>223</v>
      </c>
      <c r="B39" s="170">
        <v>1058</v>
      </c>
      <c r="C39" s="171">
        <v>63128</v>
      </c>
      <c r="D39" s="170">
        <v>2316.6999999999998</v>
      </c>
      <c r="E39" s="171">
        <v>56755</v>
      </c>
      <c r="F39" s="170">
        <v>42923.9</v>
      </c>
      <c r="G39" s="171">
        <v>34824</v>
      </c>
      <c r="H39" s="170">
        <v>4839.1000000000004</v>
      </c>
      <c r="I39" s="171">
        <v>37544</v>
      </c>
      <c r="J39" s="170">
        <v>51209.2</v>
      </c>
      <c r="K39" s="171">
        <v>36665</v>
      </c>
      <c r="L39" s="170">
        <v>26681.4</v>
      </c>
      <c r="M39" s="171">
        <v>22715</v>
      </c>
    </row>
    <row r="40" spans="1:13" x14ac:dyDescent="0.4">
      <c r="A40" s="172" t="s">
        <v>224</v>
      </c>
      <c r="B40" s="170">
        <v>1046.5</v>
      </c>
      <c r="C40" s="171">
        <v>65585</v>
      </c>
      <c r="D40" s="170">
        <v>2397.1</v>
      </c>
      <c r="E40" s="171">
        <v>59293</v>
      </c>
      <c r="F40" s="170">
        <v>44328.9</v>
      </c>
      <c r="G40" s="171">
        <v>35761</v>
      </c>
      <c r="H40" s="170">
        <v>5035.2</v>
      </c>
      <c r="I40" s="171">
        <v>38598</v>
      </c>
      <c r="J40" s="170">
        <v>52955.4</v>
      </c>
      <c r="K40" s="171">
        <v>37698</v>
      </c>
      <c r="L40" s="170">
        <v>28249.9</v>
      </c>
      <c r="M40" s="171">
        <v>23562</v>
      </c>
    </row>
    <row r="41" spans="1:13" x14ac:dyDescent="0.4">
      <c r="A41" s="172" t="s">
        <v>225</v>
      </c>
      <c r="B41" s="170">
        <v>1022.2</v>
      </c>
      <c r="C41" s="171">
        <v>65998</v>
      </c>
      <c r="D41" s="170">
        <v>2420.4</v>
      </c>
      <c r="E41" s="171">
        <v>59660</v>
      </c>
      <c r="F41" s="170">
        <v>45456.2</v>
      </c>
      <c r="G41" s="171">
        <v>35863</v>
      </c>
      <c r="H41" s="170">
        <v>5293.2</v>
      </c>
      <c r="I41" s="171">
        <v>38695</v>
      </c>
      <c r="J41" s="170">
        <v>54343.4</v>
      </c>
      <c r="K41" s="171">
        <v>37777</v>
      </c>
      <c r="L41" s="170">
        <v>29399.4</v>
      </c>
      <c r="M41" s="171">
        <v>23837</v>
      </c>
    </row>
    <row r="42" spans="1:13" x14ac:dyDescent="0.4">
      <c r="A42" s="172" t="s">
        <v>226</v>
      </c>
      <c r="B42" s="170">
        <v>1032.9000000000001</v>
      </c>
      <c r="C42" s="171">
        <v>66811</v>
      </c>
      <c r="D42" s="170">
        <v>2462.1999999999998</v>
      </c>
      <c r="E42" s="171">
        <v>60360</v>
      </c>
      <c r="F42" s="170">
        <v>46346.5</v>
      </c>
      <c r="G42" s="171">
        <v>36149</v>
      </c>
      <c r="H42" s="170">
        <v>5547.2</v>
      </c>
      <c r="I42" s="171">
        <v>39058</v>
      </c>
      <c r="J42" s="170">
        <v>55563.3</v>
      </c>
      <c r="K42" s="171">
        <v>38100</v>
      </c>
      <c r="L42" s="170">
        <v>30485.599999999999</v>
      </c>
      <c r="M42" s="171">
        <v>24042</v>
      </c>
    </row>
    <row r="43" spans="1:13" x14ac:dyDescent="0.4">
      <c r="A43" s="172" t="s">
        <v>227</v>
      </c>
      <c r="B43" s="170">
        <v>1008.06</v>
      </c>
      <c r="C43" s="171">
        <v>70400</v>
      </c>
      <c r="D43" s="170">
        <v>2492.25</v>
      </c>
      <c r="E43" s="171">
        <v>63805</v>
      </c>
      <c r="F43" s="170">
        <v>46899.87</v>
      </c>
      <c r="G43" s="171">
        <v>37851</v>
      </c>
      <c r="H43" s="170">
        <v>5599.55</v>
      </c>
      <c r="I43" s="171">
        <v>40820</v>
      </c>
      <c r="J43" s="170">
        <v>56171.4</v>
      </c>
      <c r="K43" s="171">
        <v>39900</v>
      </c>
      <c r="L43" s="170">
        <v>30712.83</v>
      </c>
      <c r="M43" s="171">
        <v>25092</v>
      </c>
    </row>
    <row r="44" spans="1:13" x14ac:dyDescent="0.4">
      <c r="A44" s="172" t="s">
        <v>228</v>
      </c>
      <c r="B44" s="170">
        <v>1017.09</v>
      </c>
      <c r="C44" s="171">
        <v>71378</v>
      </c>
      <c r="D44" s="170">
        <v>2561.89</v>
      </c>
      <c r="E44" s="171">
        <v>64276</v>
      </c>
      <c r="F44" s="170">
        <v>48212.56</v>
      </c>
      <c r="G44" s="171">
        <v>37812</v>
      </c>
      <c r="H44" s="170">
        <v>5695.73</v>
      </c>
      <c r="I44" s="171">
        <v>40649</v>
      </c>
      <c r="J44" s="170">
        <v>57672.99</v>
      </c>
      <c r="K44" s="171">
        <v>39868</v>
      </c>
      <c r="L44" s="170">
        <v>31757.43</v>
      </c>
      <c r="M44" s="173">
        <v>25314</v>
      </c>
    </row>
    <row r="45" spans="1:13" x14ac:dyDescent="0.4">
      <c r="A45" s="169" t="s">
        <v>229</v>
      </c>
      <c r="B45" s="174">
        <v>1050.97</v>
      </c>
      <c r="C45" s="175">
        <v>73636</v>
      </c>
      <c r="D45" s="176">
        <v>2596.5300000000002</v>
      </c>
      <c r="E45" s="173">
        <v>66598</v>
      </c>
      <c r="F45" s="176">
        <v>49014.97</v>
      </c>
      <c r="G45" s="173">
        <v>38761</v>
      </c>
      <c r="H45" s="176">
        <v>5822.62</v>
      </c>
      <c r="I45" s="173">
        <v>41573</v>
      </c>
      <c r="J45" s="176">
        <v>58658.71</v>
      </c>
      <c r="K45" s="173">
        <v>40914</v>
      </c>
      <c r="L45" s="176">
        <v>32678.37</v>
      </c>
      <c r="M45" s="173">
        <v>26332</v>
      </c>
    </row>
    <row r="46" spans="1:13" x14ac:dyDescent="0.4">
      <c r="A46" s="169" t="s">
        <v>230</v>
      </c>
      <c r="B46" s="174">
        <v>1059.33</v>
      </c>
      <c r="C46" s="175">
        <v>74495</v>
      </c>
      <c r="D46" s="176">
        <v>2621.44</v>
      </c>
      <c r="E46" s="173">
        <v>67314</v>
      </c>
      <c r="F46" s="176">
        <v>49597.64</v>
      </c>
      <c r="G46" s="173">
        <v>38693</v>
      </c>
      <c r="H46" s="176">
        <v>6009.3</v>
      </c>
      <c r="I46" s="173">
        <v>41600</v>
      </c>
      <c r="J46" s="176">
        <v>59457.87</v>
      </c>
      <c r="K46" s="173">
        <v>40900</v>
      </c>
      <c r="L46" s="176">
        <v>33118.71</v>
      </c>
      <c r="M46" s="173">
        <v>26662</v>
      </c>
    </row>
    <row r="47" spans="1:13" x14ac:dyDescent="0.4">
      <c r="A47" s="169" t="s">
        <v>231</v>
      </c>
      <c r="B47" s="174">
        <v>1075.7809999999999</v>
      </c>
      <c r="C47" s="175">
        <v>78183.167391876181</v>
      </c>
      <c r="D47" s="176">
        <v>2658.163</v>
      </c>
      <c r="E47" s="173">
        <v>70891.88586252986</v>
      </c>
      <c r="F47" s="176">
        <v>50238.59</v>
      </c>
      <c r="G47" s="173">
        <v>41047.401370142084</v>
      </c>
      <c r="H47" s="176">
        <v>6346.7129999999988</v>
      </c>
      <c r="I47" s="173">
        <v>44131.842577409821</v>
      </c>
      <c r="J47" s="176">
        <v>60487.97800000001</v>
      </c>
      <c r="K47" s="173">
        <v>43359.299165199503</v>
      </c>
      <c r="L47" s="176">
        <v>34195.905999999995</v>
      </c>
      <c r="M47" s="173">
        <v>27734.776671803691</v>
      </c>
    </row>
    <row r="48" spans="1:13" x14ac:dyDescent="0.4">
      <c r="A48" s="177" t="s">
        <v>239</v>
      </c>
      <c r="B48" s="178">
        <v>1088.5</v>
      </c>
      <c r="C48" s="179">
        <v>81494</v>
      </c>
      <c r="D48" s="180">
        <v>2673.2</v>
      </c>
      <c r="E48" s="181">
        <v>73864</v>
      </c>
      <c r="F48" s="180">
        <v>50855.1</v>
      </c>
      <c r="G48" s="181">
        <v>42143</v>
      </c>
      <c r="H48" s="180">
        <v>6341.9</v>
      </c>
      <c r="I48" s="181">
        <v>45427</v>
      </c>
      <c r="J48" s="180">
        <v>61138.8</v>
      </c>
      <c r="K48" s="181">
        <v>44588</v>
      </c>
      <c r="L48" s="180">
        <v>34765.300000000003</v>
      </c>
      <c r="M48" s="181">
        <v>28896</v>
      </c>
    </row>
    <row r="49" spans="1:13" x14ac:dyDescent="0.4">
      <c r="A49" s="169" t="s">
        <v>242</v>
      </c>
      <c r="B49" s="174">
        <v>1142.57</v>
      </c>
      <c r="C49" s="175">
        <v>84703.470063103348</v>
      </c>
      <c r="D49" s="176">
        <v>2713.33</v>
      </c>
      <c r="E49" s="173">
        <v>77238.447358043442</v>
      </c>
      <c r="F49" s="176">
        <v>52566.74</v>
      </c>
      <c r="G49" s="173">
        <v>43469.650743416852</v>
      </c>
      <c r="H49" s="176">
        <v>6592.93</v>
      </c>
      <c r="I49" s="173">
        <v>47030.491555347937</v>
      </c>
      <c r="J49" s="176">
        <v>63204.21</v>
      </c>
      <c r="K49" s="173">
        <v>46053.13974353925</v>
      </c>
      <c r="L49" s="176">
        <v>35638.53</v>
      </c>
      <c r="M49" s="173">
        <v>30122.058525702381</v>
      </c>
    </row>
    <row r="50" spans="1:13" x14ac:dyDescent="0.4">
      <c r="A50" s="169" t="s">
        <v>245</v>
      </c>
      <c r="B50" s="174">
        <v>1168.69</v>
      </c>
      <c r="C50" s="175">
        <v>88245.320324465851</v>
      </c>
      <c r="D50" s="176">
        <v>2741.61</v>
      </c>
      <c r="E50" s="173">
        <v>80317.597988043533</v>
      </c>
      <c r="F50" s="176">
        <v>53100.11</v>
      </c>
      <c r="G50" s="173">
        <v>44960.865590673922</v>
      </c>
      <c r="H50" s="176">
        <v>6709.96</v>
      </c>
      <c r="I50" s="173">
        <v>48613.589057162782</v>
      </c>
      <c r="J50" s="176">
        <v>63912.25</v>
      </c>
      <c r="K50" s="173">
        <v>47676.611587606443</v>
      </c>
      <c r="L50" s="176">
        <v>36157.339999999997</v>
      </c>
      <c r="M50" s="173">
        <v>31512.064479300749</v>
      </c>
    </row>
    <row r="51" spans="1:13" x14ac:dyDescent="0.4">
      <c r="A51" s="169" t="s">
        <v>277</v>
      </c>
      <c r="B51" s="174">
        <v>1146.56</v>
      </c>
      <c r="C51" s="175">
        <v>89362.502014722311</v>
      </c>
      <c r="D51" s="176">
        <v>2751.04</v>
      </c>
      <c r="E51" s="173">
        <v>80956.797145806675</v>
      </c>
      <c r="F51" s="176">
        <v>52892.43</v>
      </c>
      <c r="G51" s="173">
        <v>45437.080145495303</v>
      </c>
      <c r="H51" s="176">
        <v>6747.24</v>
      </c>
      <c r="I51" s="173">
        <v>48847.831482206064</v>
      </c>
      <c r="J51" s="176">
        <v>63721.79</v>
      </c>
      <c r="K51" s="173">
        <v>48141.14217664006</v>
      </c>
      <c r="L51" s="176">
        <v>36041.69</v>
      </c>
      <c r="M51" s="173">
        <v>31828.1784719307</v>
      </c>
    </row>
    <row r="52" spans="1:13" x14ac:dyDescent="0.4">
      <c r="A52" s="169" t="s">
        <v>281</v>
      </c>
      <c r="B52" s="174">
        <v>1126.03</v>
      </c>
      <c r="C52" s="175">
        <v>91144.852952408022</v>
      </c>
      <c r="D52" s="176">
        <v>2799.37</v>
      </c>
      <c r="E52" s="173">
        <v>81880.293698224981</v>
      </c>
      <c r="F52" s="176">
        <v>53253.84</v>
      </c>
      <c r="G52" s="173">
        <v>45722.181989317578</v>
      </c>
      <c r="H52" s="176">
        <v>6911.88</v>
      </c>
      <c r="I52" s="173">
        <v>49135.184784747427</v>
      </c>
      <c r="J52" s="176">
        <v>64273.45</v>
      </c>
      <c r="K52" s="173">
        <v>48481.414094311105</v>
      </c>
      <c r="L52" s="176">
        <v>36602.04</v>
      </c>
      <c r="M52" s="173">
        <v>32512.595992190592</v>
      </c>
    </row>
    <row r="53" spans="1:13" x14ac:dyDescent="0.4">
      <c r="A53" s="169" t="s">
        <v>282</v>
      </c>
      <c r="B53" s="174">
        <v>1161.6199999999999</v>
      </c>
      <c r="C53" s="175">
        <v>93343.001678690125</v>
      </c>
      <c r="D53" s="176">
        <v>2837.01</v>
      </c>
      <c r="E53" s="173">
        <v>83975.534079893972</v>
      </c>
      <c r="F53" s="176">
        <v>53633.37</v>
      </c>
      <c r="G53" s="173">
        <v>46316.67878710587</v>
      </c>
      <c r="H53" s="176">
        <v>7015.82</v>
      </c>
      <c r="I53" s="173">
        <v>49700.121367138854</v>
      </c>
      <c r="J53" s="176">
        <v>64816.5</v>
      </c>
      <c r="K53" s="173">
        <v>49198.121836877952</v>
      </c>
      <c r="L53" s="176">
        <v>36748.449999999997</v>
      </c>
      <c r="M53" s="173">
        <v>33350.167996201191</v>
      </c>
    </row>
    <row r="54" spans="1:13" x14ac:dyDescent="0.4">
      <c r="A54" s="169" t="s">
        <v>285</v>
      </c>
      <c r="B54" s="174">
        <v>1171.19</v>
      </c>
      <c r="C54" s="175">
        <v>97439.704975281536</v>
      </c>
      <c r="D54" s="176">
        <v>2804</v>
      </c>
      <c r="E54" s="182">
        <v>88227.786833095583</v>
      </c>
      <c r="F54" s="176">
        <v>53956.590000000004</v>
      </c>
      <c r="G54" s="182">
        <v>47879.684373678909</v>
      </c>
      <c r="H54" s="176">
        <v>7151.1600000000008</v>
      </c>
      <c r="I54" s="182">
        <v>51272.489312223472</v>
      </c>
      <c r="J54" s="176">
        <v>65262.05999999999</v>
      </c>
      <c r="K54" s="182">
        <v>50899.91909909065</v>
      </c>
      <c r="L54" s="176">
        <v>36882.46</v>
      </c>
      <c r="M54" s="182">
        <v>34735.474262291616</v>
      </c>
    </row>
    <row r="55" spans="1:13" x14ac:dyDescent="0.4">
      <c r="A55" s="169" t="s">
        <v>294</v>
      </c>
      <c r="B55" s="174">
        <v>1192.01</v>
      </c>
      <c r="C55" s="175">
        <v>102006.138572663</v>
      </c>
      <c r="D55" s="176">
        <v>2844.89</v>
      </c>
      <c r="E55" s="182">
        <v>92319.664401787071</v>
      </c>
      <c r="F55" s="176">
        <v>54181.049999999996</v>
      </c>
      <c r="G55" s="182">
        <v>49887.054003198544</v>
      </c>
      <c r="H55" s="176">
        <v>7311.9000000000005</v>
      </c>
      <c r="I55" s="182">
        <v>53567.888271174386</v>
      </c>
      <c r="J55" s="176">
        <v>65702.239999999991</v>
      </c>
      <c r="K55" s="182">
        <v>53103.220246524317</v>
      </c>
      <c r="L55" s="176">
        <v>37306.759999999995</v>
      </c>
      <c r="M55" s="182">
        <v>36316.323806194916</v>
      </c>
    </row>
    <row r="56" spans="1:13" x14ac:dyDescent="0.4">
      <c r="A56" s="169" t="s">
        <v>300</v>
      </c>
      <c r="B56" s="174">
        <v>1158.53</v>
      </c>
      <c r="C56" s="175">
        <v>106892.25849999569</v>
      </c>
      <c r="D56" s="176">
        <v>2876.8599999999997</v>
      </c>
      <c r="E56" s="182">
        <v>96958.661005401736</v>
      </c>
      <c r="F56" s="176">
        <v>54657.689999999988</v>
      </c>
      <c r="G56" s="182">
        <v>52568.202878497061</v>
      </c>
      <c r="H56" s="176">
        <v>7384.7200000000021</v>
      </c>
      <c r="I56" s="182">
        <v>56396.996950459841</v>
      </c>
      <c r="J56" s="176">
        <v>66221.179999999993</v>
      </c>
      <c r="K56" s="182">
        <v>55901.93749537535</v>
      </c>
      <c r="L56" s="176">
        <v>37516.18</v>
      </c>
      <c r="M56" s="182">
        <v>38402.429358479458</v>
      </c>
    </row>
    <row r="57" spans="1:13" x14ac:dyDescent="0.4">
      <c r="A57" s="169" t="s">
        <v>302</v>
      </c>
      <c r="B57" s="174">
        <v>1107.08</v>
      </c>
      <c r="C57" s="175">
        <v>108113.9356415074</v>
      </c>
      <c r="D57" s="176">
        <v>2791.9000000000005</v>
      </c>
      <c r="E57" s="182">
        <v>98544.473362226418</v>
      </c>
      <c r="F57" s="176">
        <v>53620.36</v>
      </c>
      <c r="G57" s="182">
        <v>53003.261933713235</v>
      </c>
      <c r="H57" s="176">
        <v>7250.7999999999993</v>
      </c>
      <c r="I57" s="182">
        <v>56290.131149666246</v>
      </c>
      <c r="J57" s="176">
        <v>64913.359999999993</v>
      </c>
      <c r="K57" s="182">
        <v>56295.556558619064</v>
      </c>
      <c r="L57" s="176">
        <v>36905.129999999997</v>
      </c>
      <c r="M57" s="182">
        <v>38677.350137230249</v>
      </c>
    </row>
    <row r="58" spans="1:13" x14ac:dyDescent="0.4">
      <c r="A58" s="169" t="s">
        <v>305</v>
      </c>
      <c r="B58" s="174">
        <v>1109.79</v>
      </c>
      <c r="C58" s="175">
        <v>109391.89010533525</v>
      </c>
      <c r="D58" s="176">
        <v>2792.55</v>
      </c>
      <c r="E58" s="182">
        <v>99004.888904406354</v>
      </c>
      <c r="F58" s="176">
        <v>53881.010000000009</v>
      </c>
      <c r="G58" s="182">
        <v>52929.753318840892</v>
      </c>
      <c r="H58" s="176">
        <v>7299.3400000000011</v>
      </c>
      <c r="I58" s="182">
        <v>55976.88683771409</v>
      </c>
      <c r="J58" s="176">
        <v>65241.920000000013</v>
      </c>
      <c r="K58" s="182">
        <v>56226.354120632874</v>
      </c>
      <c r="L58" s="176">
        <v>37110.009999999995</v>
      </c>
      <c r="M58" s="182">
        <v>38914.422415407607</v>
      </c>
    </row>
    <row r="59" spans="1:13" x14ac:dyDescent="0.4">
      <c r="A59" s="169" t="s">
        <v>372</v>
      </c>
      <c r="B59" s="174">
        <v>1076.58</v>
      </c>
      <c r="C59" s="175">
        <v>110375.3141429341</v>
      </c>
      <c r="D59" s="176">
        <v>2807.73</v>
      </c>
      <c r="E59" s="182">
        <v>99218.129218265283</v>
      </c>
      <c r="F59" s="176">
        <v>53016.46</v>
      </c>
      <c r="G59" s="182">
        <v>52236.940413599856</v>
      </c>
      <c r="H59" s="176">
        <v>7186.0900000000011</v>
      </c>
      <c r="I59" s="182">
        <v>55057.73072561017</v>
      </c>
      <c r="J59" s="176">
        <v>64249.53</v>
      </c>
      <c r="K59" s="182">
        <v>55605.202772066979</v>
      </c>
      <c r="L59" s="176">
        <v>36199.800000000003</v>
      </c>
      <c r="M59" s="182">
        <v>39158.339750772102</v>
      </c>
    </row>
    <row r="60" spans="1:13" x14ac:dyDescent="0.4">
      <c r="A60" s="169" t="s">
        <v>373</v>
      </c>
      <c r="B60" s="174">
        <v>1106.3400000000001</v>
      </c>
      <c r="C60" s="175">
        <v>110872.674756404</v>
      </c>
      <c r="D60" s="176">
        <v>2864.2400000000002</v>
      </c>
      <c r="E60" s="182">
        <v>99715.320804122559</v>
      </c>
      <c r="F60" s="176">
        <v>53563.21</v>
      </c>
      <c r="G60" s="182">
        <v>52238.149210437543</v>
      </c>
      <c r="H60" s="176">
        <v>7302.05</v>
      </c>
      <c r="I60" s="182">
        <v>54916.241423983673</v>
      </c>
      <c r="J60" s="176">
        <v>64995.59</v>
      </c>
      <c r="K60" s="182">
        <v>55653.314721968061</v>
      </c>
      <c r="L60" s="176">
        <v>36450.080000000002</v>
      </c>
      <c r="M60" s="182">
        <v>39487.30803855574</v>
      </c>
    </row>
    <row r="61" spans="1:13" x14ac:dyDescent="0.4">
      <c r="A61" s="169" t="s">
        <v>384</v>
      </c>
      <c r="B61" s="174">
        <v>1141.7</v>
      </c>
      <c r="C61" s="175">
        <v>113763</v>
      </c>
      <c r="D61" s="176">
        <v>2958.7</v>
      </c>
      <c r="E61" s="182">
        <v>101835</v>
      </c>
      <c r="F61" s="176">
        <v>54727.6</v>
      </c>
      <c r="G61" s="182">
        <v>52969</v>
      </c>
      <c r="H61" s="176">
        <v>7617.4</v>
      </c>
      <c r="I61" s="182">
        <v>55594</v>
      </c>
      <c r="J61" s="176">
        <v>66599.7</v>
      </c>
      <c r="K61" s="182">
        <v>56507</v>
      </c>
      <c r="L61" s="176">
        <v>37273.800000000003</v>
      </c>
      <c r="M61" s="182">
        <v>40229</v>
      </c>
    </row>
    <row r="62" spans="1:13" x14ac:dyDescent="0.4">
      <c r="A62" s="169" t="s">
        <v>395</v>
      </c>
      <c r="B62" s="174">
        <v>1234.42</v>
      </c>
      <c r="C62" s="175">
        <v>115870.54553555515</v>
      </c>
      <c r="D62" s="176">
        <v>3092.35</v>
      </c>
      <c r="E62" s="182">
        <v>103897.81944475883</v>
      </c>
      <c r="F62" s="176">
        <v>56183.32</v>
      </c>
      <c r="G62" s="182">
        <v>52509.811957000762</v>
      </c>
      <c r="H62" s="176">
        <v>8109.8499999999985</v>
      </c>
      <c r="I62" s="182">
        <v>55271.954226033784</v>
      </c>
      <c r="J62" s="176">
        <v>68807.289999999994</v>
      </c>
      <c r="K62" s="182">
        <v>56306.748124217665</v>
      </c>
      <c r="L62" s="176">
        <v>38598.15</v>
      </c>
      <c r="M62" s="182">
        <v>41147.00858279477</v>
      </c>
    </row>
    <row r="63" spans="1:13" x14ac:dyDescent="0.4">
      <c r="A63" s="169" t="s">
        <v>406</v>
      </c>
      <c r="B63" s="174">
        <v>1310.2</v>
      </c>
      <c r="C63" s="175">
        <v>121037</v>
      </c>
      <c r="D63" s="176">
        <v>3243.9</v>
      </c>
      <c r="E63" s="182">
        <v>108385</v>
      </c>
      <c r="F63" s="176">
        <v>57912</v>
      </c>
      <c r="G63" s="182">
        <v>53707</v>
      </c>
      <c r="H63" s="176">
        <v>8440.5</v>
      </c>
      <c r="I63" s="182">
        <v>56714</v>
      </c>
      <c r="J63" s="176">
        <v>71122.399999999994</v>
      </c>
      <c r="K63" s="182">
        <v>57822</v>
      </c>
      <c r="L63" s="176">
        <v>39845.1</v>
      </c>
      <c r="M63" s="182">
        <v>43048</v>
      </c>
    </row>
    <row r="64" spans="1:13" x14ac:dyDescent="0.4">
      <c r="A64" s="169" t="s">
        <v>410</v>
      </c>
      <c r="B64" s="174">
        <v>1375.47</v>
      </c>
      <c r="C64" s="175">
        <v>125273.50717209392</v>
      </c>
      <c r="D64" s="176">
        <v>3423.2699999999995</v>
      </c>
      <c r="E64" s="182">
        <v>111519.43418135295</v>
      </c>
      <c r="F64" s="176">
        <v>59566.400000000001</v>
      </c>
      <c r="G64" s="182">
        <v>54459.619144853474</v>
      </c>
      <c r="H64" s="176">
        <v>8910.619999999999</v>
      </c>
      <c r="I64" s="182">
        <v>57526.073552682079</v>
      </c>
      <c r="J64" s="176">
        <v>73560.310000000012</v>
      </c>
      <c r="K64" s="182">
        <v>58820.624313845299</v>
      </c>
      <c r="L64" s="176">
        <v>41509.660000000003</v>
      </c>
      <c r="M64" s="182">
        <v>44704.040055013698</v>
      </c>
    </row>
    <row r="65" spans="1:13" x14ac:dyDescent="0.4">
      <c r="A65" s="169" t="s">
        <v>412</v>
      </c>
      <c r="B65" s="174">
        <v>1413.3</v>
      </c>
      <c r="C65" s="175">
        <v>131577</v>
      </c>
      <c r="D65" s="176">
        <v>3502.1</v>
      </c>
      <c r="E65" s="182">
        <v>117249</v>
      </c>
      <c r="F65" s="176">
        <v>61010.8</v>
      </c>
      <c r="G65" s="182">
        <v>55698</v>
      </c>
      <c r="H65" s="176">
        <v>9060.5</v>
      </c>
      <c r="I65" s="182">
        <v>58777</v>
      </c>
      <c r="J65" s="176">
        <v>75229.100000000006</v>
      </c>
      <c r="K65" s="182">
        <v>60388</v>
      </c>
      <c r="L65" s="176">
        <v>42510</v>
      </c>
      <c r="M65" s="182">
        <v>47275</v>
      </c>
    </row>
    <row r="66" spans="1:13" x14ac:dyDescent="0.4">
      <c r="A66" s="169" t="s">
        <v>419</v>
      </c>
      <c r="B66" s="174">
        <v>1421.22</v>
      </c>
      <c r="C66" s="175">
        <v>138249.70082042189</v>
      </c>
      <c r="D66" s="176">
        <v>3609.65</v>
      </c>
      <c r="E66" s="182">
        <v>122668.49829207818</v>
      </c>
      <c r="F66" s="176">
        <v>62545.159999999996</v>
      </c>
      <c r="G66" s="182">
        <v>73060.374233593786</v>
      </c>
      <c r="H66" s="176">
        <v>9527.880000000001</v>
      </c>
      <c r="I66" s="182">
        <v>77975.36461206479</v>
      </c>
      <c r="J66" s="176">
        <v>77350.98</v>
      </c>
      <c r="K66" s="182">
        <v>77203</v>
      </c>
      <c r="L66" s="176">
        <v>44335.49</v>
      </c>
      <c r="M66" s="182">
        <v>50404</v>
      </c>
    </row>
    <row r="67" spans="1:13" x14ac:dyDescent="0.4">
      <c r="A67" s="169" t="s">
        <v>426</v>
      </c>
      <c r="B67" s="174">
        <v>1382.5300000000002</v>
      </c>
      <c r="C67" s="175">
        <v>146676.15540349935</v>
      </c>
      <c r="D67" s="176">
        <v>3589.5399999999995</v>
      </c>
      <c r="E67" s="182">
        <v>131034.80176847173</v>
      </c>
      <c r="F67" s="176">
        <v>63034.26</v>
      </c>
      <c r="G67" s="182">
        <v>76753.288386981934</v>
      </c>
      <c r="H67" s="176">
        <v>9552.3300000000017</v>
      </c>
      <c r="I67" s="182">
        <v>81279.865139709349</v>
      </c>
      <c r="J67" s="176">
        <v>77777.350000000006</v>
      </c>
      <c r="K67" s="182">
        <v>81082</v>
      </c>
      <c r="L67" s="176">
        <v>44743.09</v>
      </c>
      <c r="M67" s="182">
        <v>53464</v>
      </c>
    </row>
    <row r="68" spans="1:13" x14ac:dyDescent="0.4">
      <c r="A68" s="169" t="s">
        <v>431</v>
      </c>
      <c r="B68" s="174">
        <v>1414.4</v>
      </c>
      <c r="C68" s="175">
        <v>150748.18491940043</v>
      </c>
      <c r="D68" s="176">
        <v>3614.11</v>
      </c>
      <c r="E68" s="182">
        <v>136215.23511735947</v>
      </c>
      <c r="F68" s="176">
        <v>62691.37000000001</v>
      </c>
      <c r="G68" s="182">
        <v>79409.095500864001</v>
      </c>
      <c r="H68" s="176">
        <v>9704.5800000000017</v>
      </c>
      <c r="I68" s="182">
        <v>83545.08409534466</v>
      </c>
      <c r="J68" s="176">
        <v>77704.44</v>
      </c>
      <c r="K68" s="182">
        <v>83879</v>
      </c>
      <c r="L68" s="176">
        <v>40987.360000000001</v>
      </c>
      <c r="M68" s="182">
        <v>56377</v>
      </c>
    </row>
    <row r="69" spans="1:13" x14ac:dyDescent="0.4">
      <c r="A69" s="169" t="s">
        <v>485</v>
      </c>
      <c r="B69" s="174">
        <v>1502.31</v>
      </c>
      <c r="C69" s="175">
        <v>156274.18443596861</v>
      </c>
      <c r="D69" s="176">
        <v>3737.9</v>
      </c>
      <c r="E69" s="182">
        <v>140912.53663821932</v>
      </c>
      <c r="F69" s="176">
        <v>63929.619999999995</v>
      </c>
      <c r="G69" s="182">
        <v>81575.869371349327</v>
      </c>
      <c r="H69" s="176">
        <v>10211.539999999999</v>
      </c>
      <c r="I69" s="182">
        <v>86013.812423003794</v>
      </c>
      <c r="J69" s="176">
        <v>79771.14</v>
      </c>
      <c r="K69" s="182">
        <v>86308</v>
      </c>
      <c r="L69" s="176">
        <v>44038.94000000001</v>
      </c>
      <c r="M69" s="182">
        <v>58167.965407886732</v>
      </c>
    </row>
    <row r="70" spans="1:13" x14ac:dyDescent="0.4">
      <c r="A70" s="169" t="s">
        <v>493</v>
      </c>
      <c r="B70" s="174">
        <v>1564.74</v>
      </c>
      <c r="C70" s="175">
        <v>165895.35154083106</v>
      </c>
      <c r="D70" s="176">
        <v>3768.8</v>
      </c>
      <c r="E70" s="182">
        <v>150322.21983655274</v>
      </c>
      <c r="F70" s="176">
        <v>63451.96</v>
      </c>
      <c r="G70" s="182">
        <v>86855.324080453924</v>
      </c>
      <c r="H70" s="176">
        <v>10513.69</v>
      </c>
      <c r="I70" s="182">
        <v>91332.956818205595</v>
      </c>
      <c r="J70" s="176">
        <v>79692.36</v>
      </c>
      <c r="K70" s="182">
        <v>91988.170064733902</v>
      </c>
      <c r="L70" s="176">
        <v>45385.329999999994</v>
      </c>
      <c r="M70" s="182">
        <v>62355.57688420466</v>
      </c>
    </row>
    <row r="71" spans="1:13" x14ac:dyDescent="0.4">
      <c r="A71" s="169" t="s">
        <v>494</v>
      </c>
      <c r="B71" s="174">
        <v>1495.24</v>
      </c>
      <c r="C71" s="175">
        <v>178520.49948503249</v>
      </c>
      <c r="D71" s="176">
        <v>3655.38</v>
      </c>
      <c r="E71" s="182">
        <v>160955.04803604551</v>
      </c>
      <c r="F71" s="176">
        <v>62878.15</v>
      </c>
      <c r="G71" s="182">
        <v>91750.477249410178</v>
      </c>
      <c r="H71" s="176">
        <v>10761.49</v>
      </c>
      <c r="I71" s="182">
        <v>95896.476466548775</v>
      </c>
      <c r="J71" s="176">
        <v>79143.409999999974</v>
      </c>
      <c r="K71" s="182">
        <v>97131.225534254889</v>
      </c>
      <c r="L71" s="176">
        <v>46201.170000000006</v>
      </c>
      <c r="M71" s="182">
        <v>65626.599788273757</v>
      </c>
    </row>
    <row r="72" spans="1:13" ht="17.399999999999999" thickBot="1" x14ac:dyDescent="0.45">
      <c r="A72" s="183" t="s">
        <v>1152</v>
      </c>
      <c r="B72" s="184">
        <f>+table3ws1!F6</f>
        <v>1446.04</v>
      </c>
      <c r="C72" s="185">
        <f>+table3ws1!G6</f>
        <v>183161.65898592019</v>
      </c>
      <c r="D72" s="186">
        <f>+table3ws1!F11</f>
        <v>3671.2799999999997</v>
      </c>
      <c r="E72" s="185">
        <f>+table3ws1!G11</f>
        <v>165043.79124719443</v>
      </c>
      <c r="F72" s="186">
        <f>+table3ws1!F16</f>
        <v>61937.87</v>
      </c>
      <c r="G72" s="187">
        <f>+table3ws1!G16</f>
        <v>96449.714667456254</v>
      </c>
      <c r="H72" s="186">
        <f>+table3ws1!F28</f>
        <v>10799.290000000003</v>
      </c>
      <c r="I72" s="187">
        <f>+table3ws1!G28</f>
        <v>100840.85418671038</v>
      </c>
      <c r="J72" s="186">
        <f>+table3ws1!D33</f>
        <v>78192.59</v>
      </c>
      <c r="K72" s="187">
        <f>+table3ws1!E33</f>
        <v>101990.32523235258</v>
      </c>
      <c r="L72" s="186">
        <f>+table3ws1!D48</f>
        <v>46627.199999999997</v>
      </c>
      <c r="M72" s="187">
        <f>+table3ws1!E48</f>
        <v>68969.243548400933</v>
      </c>
    </row>
    <row r="73" spans="1:13" ht="17.399999999999999" thickTop="1" x14ac:dyDescent="0.4"/>
    <row r="74" spans="1:13" x14ac:dyDescent="0.4">
      <c r="A74" s="88" t="s">
        <v>233</v>
      </c>
      <c r="B74" s="190"/>
      <c r="C74" s="191"/>
      <c r="E74" s="192"/>
      <c r="G74" s="192"/>
      <c r="I74" s="192"/>
      <c r="K74" s="192"/>
      <c r="M74" s="192"/>
    </row>
    <row r="75" spans="1:13" x14ac:dyDescent="0.4">
      <c r="A75" s="88" t="s">
        <v>234</v>
      </c>
    </row>
  </sheetData>
  <mergeCells count="14">
    <mergeCell ref="L5:M5"/>
    <mergeCell ref="B5:C5"/>
    <mergeCell ref="D5:E5"/>
    <mergeCell ref="F5:G5"/>
    <mergeCell ref="H5:I5"/>
    <mergeCell ref="J5:K5"/>
    <mergeCell ref="A1:M1"/>
    <mergeCell ref="A2:M2"/>
    <mergeCell ref="B3:K3"/>
    <mergeCell ref="L3:M3"/>
    <mergeCell ref="B4:E4"/>
    <mergeCell ref="J4:K4"/>
    <mergeCell ref="L4:M4"/>
    <mergeCell ref="F4:I4"/>
  </mergeCells>
  <phoneticPr fontId="0" type="noConversion"/>
  <printOptions horizontalCentered="1"/>
  <pageMargins left="0.75" right="0.75" top="1" bottom="1" header="0.5" footer="0.5"/>
  <pageSetup scale="6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V107"/>
  <sheetViews>
    <sheetView zoomScale="75" workbookViewId="0">
      <selection activeCell="AV58" sqref="AV58"/>
    </sheetView>
  </sheetViews>
  <sheetFormatPr defaultColWidth="9.109375" defaultRowHeight="16.8" x14ac:dyDescent="0.4"/>
  <cols>
    <col min="1" max="1" width="28.33203125" style="88" customWidth="1"/>
    <col min="2" max="3" width="9.44140625" style="88" hidden="1" customWidth="1"/>
    <col min="4" max="19" width="9.88671875" style="88" hidden="1" customWidth="1"/>
    <col min="20" max="24" width="10.6640625" style="88" hidden="1" customWidth="1"/>
    <col min="25" max="29" width="10.6640625" style="164" hidden="1" customWidth="1"/>
    <col min="30" max="30" width="10.109375" style="164" hidden="1" customWidth="1"/>
    <col min="31" max="32" width="11" style="164" hidden="1" customWidth="1"/>
    <col min="33" max="43" width="11" style="164" customWidth="1"/>
    <col min="44" max="48" width="11" style="266" customWidth="1"/>
    <col min="49" max="16384" width="9.109375" style="88"/>
  </cols>
  <sheetData>
    <row r="1" spans="1:48" s="167" customFormat="1" ht="20.25" customHeight="1" x14ac:dyDescent="0.45">
      <c r="A1" s="775" t="s">
        <v>311</v>
      </c>
      <c r="B1" s="776"/>
      <c r="C1" s="776"/>
      <c r="D1" s="776"/>
      <c r="E1" s="776"/>
      <c r="F1" s="776"/>
      <c r="G1" s="776"/>
      <c r="H1" s="776"/>
      <c r="I1" s="776"/>
      <c r="J1" s="776"/>
      <c r="K1" s="776"/>
      <c r="L1" s="776"/>
      <c r="M1" s="776"/>
      <c r="N1" s="776"/>
      <c r="O1" s="776"/>
      <c r="P1" s="776"/>
      <c r="Q1" s="776"/>
      <c r="R1" s="776"/>
      <c r="S1" s="776"/>
      <c r="T1" s="776"/>
      <c r="U1" s="776"/>
      <c r="V1" s="776"/>
      <c r="W1" s="776"/>
      <c r="X1" s="776"/>
      <c r="Y1" s="776"/>
      <c r="Z1" s="776"/>
      <c r="AA1" s="776"/>
      <c r="AB1" s="776"/>
      <c r="AC1" s="776"/>
      <c r="AD1" s="776"/>
      <c r="AE1" s="776"/>
      <c r="AF1" s="776"/>
      <c r="AG1" s="776"/>
      <c r="AH1" s="776"/>
      <c r="AI1" s="776"/>
      <c r="AJ1" s="776"/>
      <c r="AK1" s="776"/>
      <c r="AL1" s="776"/>
      <c r="AM1" s="776"/>
      <c r="AN1" s="776"/>
      <c r="AO1" s="776"/>
      <c r="AP1" s="776"/>
      <c r="AQ1" s="776"/>
      <c r="AR1" s="776"/>
      <c r="AS1" s="776"/>
      <c r="AT1" s="776"/>
      <c r="AU1" s="776"/>
      <c r="AV1" s="776"/>
    </row>
    <row r="2" spans="1:48" s="167" customFormat="1" ht="20.25" customHeight="1" x14ac:dyDescent="0.45">
      <c r="A2" s="788" t="s">
        <v>479</v>
      </c>
      <c r="B2" s="789"/>
      <c r="C2" s="789"/>
      <c r="D2" s="789"/>
      <c r="E2" s="789"/>
      <c r="F2" s="789"/>
      <c r="G2" s="789"/>
      <c r="H2" s="789"/>
      <c r="I2" s="789"/>
      <c r="J2" s="789"/>
      <c r="K2" s="789"/>
      <c r="L2" s="789"/>
      <c r="M2" s="789"/>
      <c r="N2" s="789"/>
      <c r="O2" s="789"/>
      <c r="P2" s="789"/>
      <c r="Q2" s="789"/>
      <c r="R2" s="789"/>
      <c r="S2" s="789"/>
      <c r="T2" s="789"/>
      <c r="U2" s="789"/>
      <c r="V2" s="789"/>
      <c r="W2" s="789"/>
      <c r="X2" s="789"/>
      <c r="Y2" s="789"/>
      <c r="Z2" s="789"/>
      <c r="AA2" s="789"/>
      <c r="AB2" s="789"/>
      <c r="AC2" s="789"/>
      <c r="AD2" s="789"/>
      <c r="AE2" s="789"/>
      <c r="AF2" s="789"/>
      <c r="AG2" s="789"/>
      <c r="AH2" s="789"/>
      <c r="AI2" s="789"/>
      <c r="AJ2" s="789"/>
      <c r="AK2" s="789"/>
      <c r="AL2" s="789"/>
      <c r="AM2" s="789"/>
      <c r="AN2" s="789"/>
      <c r="AO2" s="789"/>
      <c r="AP2" s="789"/>
      <c r="AQ2" s="789"/>
      <c r="AR2" s="789"/>
      <c r="AS2" s="789"/>
      <c r="AT2" s="789"/>
      <c r="AU2" s="789"/>
      <c r="AV2" s="789"/>
    </row>
    <row r="3" spans="1:48" s="4" customFormat="1" ht="19.8" thickBot="1" x14ac:dyDescent="0.5">
      <c r="A3" s="3" t="s">
        <v>414</v>
      </c>
      <c r="B3" s="267" t="s">
        <v>210</v>
      </c>
      <c r="C3" s="267" t="s">
        <v>211</v>
      </c>
      <c r="D3" s="267" t="s">
        <v>212</v>
      </c>
      <c r="E3" s="267" t="s">
        <v>213</v>
      </c>
      <c r="F3" s="267" t="s">
        <v>214</v>
      </c>
      <c r="G3" s="267" t="s">
        <v>215</v>
      </c>
      <c r="H3" s="267" t="s">
        <v>216</v>
      </c>
      <c r="I3" s="267" t="s">
        <v>217</v>
      </c>
      <c r="J3" s="267" t="s">
        <v>218</v>
      </c>
      <c r="K3" s="267" t="s">
        <v>219</v>
      </c>
      <c r="L3" s="267" t="s">
        <v>220</v>
      </c>
      <c r="M3" s="267" t="s">
        <v>221</v>
      </c>
      <c r="N3" s="267" t="s">
        <v>222</v>
      </c>
      <c r="O3" s="267" t="s">
        <v>223</v>
      </c>
      <c r="P3" s="267" t="s">
        <v>224</v>
      </c>
      <c r="Q3" s="267" t="s">
        <v>225</v>
      </c>
      <c r="R3" s="267" t="s">
        <v>226</v>
      </c>
      <c r="S3" s="267" t="s">
        <v>227</v>
      </c>
      <c r="T3" s="267" t="s">
        <v>228</v>
      </c>
      <c r="U3" s="267" t="s">
        <v>229</v>
      </c>
      <c r="V3" s="267" t="s">
        <v>230</v>
      </c>
      <c r="W3" s="267" t="s">
        <v>231</v>
      </c>
      <c r="X3" s="268" t="s">
        <v>239</v>
      </c>
      <c r="Y3" s="268" t="s">
        <v>242</v>
      </c>
      <c r="Z3" s="268" t="s">
        <v>245</v>
      </c>
      <c r="AA3" s="268" t="s">
        <v>277</v>
      </c>
      <c r="AB3" s="268" t="s">
        <v>281</v>
      </c>
      <c r="AC3" s="268" t="s">
        <v>282</v>
      </c>
      <c r="AD3" s="267" t="s">
        <v>285</v>
      </c>
      <c r="AE3" s="267" t="s">
        <v>294</v>
      </c>
      <c r="AF3" s="267" t="s">
        <v>300</v>
      </c>
      <c r="AG3" s="267" t="s">
        <v>302</v>
      </c>
      <c r="AH3" s="267" t="s">
        <v>305</v>
      </c>
      <c r="AI3" s="267" t="s">
        <v>372</v>
      </c>
      <c r="AJ3" s="267" t="s">
        <v>373</v>
      </c>
      <c r="AK3" s="267" t="s">
        <v>384</v>
      </c>
      <c r="AL3" s="267" t="s">
        <v>395</v>
      </c>
      <c r="AM3" s="267" t="s">
        <v>406</v>
      </c>
      <c r="AN3" s="267" t="s">
        <v>410</v>
      </c>
      <c r="AO3" s="267" t="s">
        <v>412</v>
      </c>
      <c r="AP3" s="267" t="s">
        <v>419</v>
      </c>
      <c r="AQ3" s="267" t="s">
        <v>426</v>
      </c>
      <c r="AR3" s="267" t="s">
        <v>431</v>
      </c>
      <c r="AS3" s="267" t="s">
        <v>485</v>
      </c>
      <c r="AT3" s="267" t="s">
        <v>493</v>
      </c>
      <c r="AU3" s="267" t="s">
        <v>494</v>
      </c>
      <c r="AV3" s="269" t="s">
        <v>1152</v>
      </c>
    </row>
    <row r="4" spans="1:48" s="198" customFormat="1" ht="19.2" x14ac:dyDescent="0.45">
      <c r="A4" s="194" t="s">
        <v>415</v>
      </c>
      <c r="B4" s="195"/>
      <c r="C4" s="195"/>
      <c r="D4" s="195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7"/>
      <c r="Y4" s="197"/>
      <c r="Z4" s="197"/>
      <c r="AA4" s="197"/>
      <c r="AB4" s="197"/>
      <c r="AC4" s="387"/>
      <c r="AD4" s="387"/>
      <c r="AE4" s="387"/>
      <c r="AF4" s="387"/>
      <c r="AG4" s="387"/>
      <c r="AH4" s="387"/>
      <c r="AI4" s="387"/>
      <c r="AJ4" s="387"/>
      <c r="AK4" s="387"/>
      <c r="AL4" s="387"/>
      <c r="AM4" s="387"/>
      <c r="AN4" s="387"/>
      <c r="AO4" s="387"/>
      <c r="AP4" s="387"/>
      <c r="AQ4" s="387"/>
      <c r="AR4" s="387"/>
      <c r="AS4" s="387"/>
      <c r="AT4" s="387"/>
      <c r="AU4" s="387"/>
      <c r="AV4" s="388"/>
    </row>
    <row r="5" spans="1:48" s="205" customFormat="1" x14ac:dyDescent="0.4">
      <c r="A5" s="199" t="s">
        <v>20</v>
      </c>
      <c r="B5" s="200">
        <v>41638</v>
      </c>
      <c r="C5" s="200">
        <v>42406</v>
      </c>
      <c r="D5" s="200">
        <v>42719</v>
      </c>
      <c r="E5" s="200">
        <v>41860</v>
      </c>
      <c r="F5" s="200">
        <v>40686</v>
      </c>
      <c r="G5" s="200">
        <v>41634</v>
      </c>
      <c r="H5" s="200">
        <v>42735</v>
      </c>
      <c r="I5" s="200">
        <v>43292</v>
      </c>
      <c r="J5" s="200">
        <v>44321</v>
      </c>
      <c r="K5" s="200">
        <v>45236</v>
      </c>
      <c r="L5" s="200">
        <v>46338</v>
      </c>
      <c r="M5" s="200">
        <v>48111</v>
      </c>
      <c r="N5" s="200">
        <v>49997</v>
      </c>
      <c r="O5" s="201">
        <v>51209</v>
      </c>
      <c r="P5" s="201">
        <v>52955</v>
      </c>
      <c r="Q5" s="201">
        <v>54343</v>
      </c>
      <c r="R5" s="201">
        <v>55563</v>
      </c>
      <c r="S5" s="201">
        <v>56171</v>
      </c>
      <c r="T5" s="201">
        <v>57672.99</v>
      </c>
      <c r="U5" s="201">
        <v>58658.71</v>
      </c>
      <c r="V5" s="201">
        <v>59457.87</v>
      </c>
      <c r="W5" s="201">
        <v>60487.97800000001</v>
      </c>
      <c r="X5" s="202">
        <v>61138.77</v>
      </c>
      <c r="Y5" s="202">
        <v>63204.21</v>
      </c>
      <c r="Z5" s="202">
        <v>63912.25</v>
      </c>
      <c r="AA5" s="202">
        <v>63721.79</v>
      </c>
      <c r="AB5" s="202">
        <v>64273.45</v>
      </c>
      <c r="AC5" s="202">
        <v>64816.5</v>
      </c>
      <c r="AD5" s="203">
        <v>65262.05999999999</v>
      </c>
      <c r="AE5" s="203">
        <v>65702.239999999991</v>
      </c>
      <c r="AF5" s="203">
        <v>66221.179999999993</v>
      </c>
      <c r="AG5" s="203">
        <v>64913.359999999993</v>
      </c>
      <c r="AH5" s="203">
        <v>65241.920000000013</v>
      </c>
      <c r="AI5" s="203">
        <v>64249.53</v>
      </c>
      <c r="AJ5" s="203">
        <v>64995.59</v>
      </c>
      <c r="AK5" s="203">
        <v>66599.7</v>
      </c>
      <c r="AL5" s="203">
        <v>68807.289999999994</v>
      </c>
      <c r="AM5" s="203">
        <v>71122.349999999991</v>
      </c>
      <c r="AN5" s="203">
        <v>73560.310000000012</v>
      </c>
      <c r="AO5" s="203">
        <v>75229.100000000006</v>
      </c>
      <c r="AP5" s="203">
        <v>77350.959999999977</v>
      </c>
      <c r="AQ5" s="203">
        <v>77777.349999999991</v>
      </c>
      <c r="AR5" s="203">
        <v>77704.450000000012</v>
      </c>
      <c r="AS5" s="203">
        <v>79771.100000000006</v>
      </c>
      <c r="AT5" s="203">
        <v>79692.33</v>
      </c>
      <c r="AU5" s="203">
        <v>79143.37</v>
      </c>
      <c r="AV5" s="204">
        <f>+table3ws1!D33</f>
        <v>78192.59</v>
      </c>
    </row>
    <row r="6" spans="1:48" x14ac:dyDescent="0.4">
      <c r="A6" s="206" t="s">
        <v>370</v>
      </c>
      <c r="B6" s="207">
        <v>18336</v>
      </c>
      <c r="C6" s="207">
        <v>19877</v>
      </c>
      <c r="D6" s="208">
        <v>22430</v>
      </c>
      <c r="E6" s="208">
        <v>24158</v>
      </c>
      <c r="F6" s="208">
        <v>24681</v>
      </c>
      <c r="G6" s="208">
        <v>25667</v>
      </c>
      <c r="H6" s="208">
        <v>26806</v>
      </c>
      <c r="I6" s="208">
        <v>27562</v>
      </c>
      <c r="J6" s="208">
        <v>28673</v>
      </c>
      <c r="K6" s="208">
        <v>29683</v>
      </c>
      <c r="L6" s="208">
        <v>30756</v>
      </c>
      <c r="M6" s="208">
        <v>32085</v>
      </c>
      <c r="N6" s="208">
        <v>34826</v>
      </c>
      <c r="O6" s="98">
        <v>36665</v>
      </c>
      <c r="P6" s="98">
        <v>37698</v>
      </c>
      <c r="Q6" s="98">
        <v>37777</v>
      </c>
      <c r="R6" s="98">
        <v>38100</v>
      </c>
      <c r="S6" s="98">
        <v>39900</v>
      </c>
      <c r="T6" s="98">
        <v>39867.979573973898</v>
      </c>
      <c r="U6" s="98">
        <v>40913.738914476664</v>
      </c>
      <c r="V6" s="98">
        <v>40900</v>
      </c>
      <c r="W6" s="98">
        <v>43359.299165199503</v>
      </c>
      <c r="X6" s="209">
        <v>44588</v>
      </c>
      <c r="Y6" s="210">
        <v>46053.13974353925</v>
      </c>
      <c r="Z6" s="210">
        <v>47676.611587606443</v>
      </c>
      <c r="AA6" s="210">
        <v>48141.14217664006</v>
      </c>
      <c r="AB6" s="210">
        <v>48481.414094311105</v>
      </c>
      <c r="AC6" s="210">
        <v>49198.121836877952</v>
      </c>
      <c r="AD6" s="211">
        <v>50899.91909909065</v>
      </c>
      <c r="AE6" s="211">
        <v>53103.220246524317</v>
      </c>
      <c r="AF6" s="211">
        <v>55901.93749537535</v>
      </c>
      <c r="AG6" s="211">
        <v>56295.556558619064</v>
      </c>
      <c r="AH6" s="211">
        <v>56226.354120632874</v>
      </c>
      <c r="AI6" s="210">
        <v>55605.202772066979</v>
      </c>
      <c r="AJ6" s="210">
        <v>55653.314721968061</v>
      </c>
      <c r="AK6" s="210">
        <v>56507</v>
      </c>
      <c r="AL6" s="210">
        <v>56306.748124217665</v>
      </c>
      <c r="AM6" s="210">
        <v>57822.167633943493</v>
      </c>
      <c r="AN6" s="210">
        <v>58820.624313845321</v>
      </c>
      <c r="AO6" s="210">
        <v>60388</v>
      </c>
      <c r="AP6" s="210">
        <v>77203.188958999352</v>
      </c>
      <c r="AQ6" s="210">
        <v>81081.834554532921</v>
      </c>
      <c r="AR6" s="210">
        <v>83878.929227476634</v>
      </c>
      <c r="AS6" s="210">
        <v>86308</v>
      </c>
      <c r="AT6" s="210">
        <v>91988</v>
      </c>
      <c r="AU6" s="210">
        <v>97131</v>
      </c>
      <c r="AV6" s="212">
        <f>+table3ws1!E33</f>
        <v>101990.32523235258</v>
      </c>
    </row>
    <row r="7" spans="1:48" s="89" customFormat="1" ht="16.5" hidden="1" customHeight="1" x14ac:dyDescent="0.4">
      <c r="A7" s="213" t="s">
        <v>21</v>
      </c>
      <c r="B7" s="214">
        <v>1.57</v>
      </c>
      <c r="C7" s="214">
        <v>1.5840000000000001</v>
      </c>
      <c r="D7" s="214">
        <v>1.601</v>
      </c>
      <c r="E7" s="214">
        <v>1.629</v>
      </c>
      <c r="F7" s="214">
        <v>1.641</v>
      </c>
      <c r="G7" s="214">
        <v>1.645</v>
      </c>
      <c r="H7" s="214">
        <v>1.65</v>
      </c>
      <c r="I7" s="214">
        <v>1.66</v>
      </c>
      <c r="J7" s="214">
        <v>1.667</v>
      </c>
      <c r="K7" s="214">
        <v>1.6739999999999999</v>
      </c>
      <c r="L7" s="214">
        <v>1.6850000000000001</v>
      </c>
      <c r="M7" s="214">
        <v>1.6879999999999999</v>
      </c>
      <c r="N7" s="214">
        <v>1.6970000000000001</v>
      </c>
      <c r="O7" s="215" t="s">
        <v>371</v>
      </c>
      <c r="P7" s="215" t="s">
        <v>371</v>
      </c>
      <c r="Q7" s="215" t="s">
        <v>371</v>
      </c>
      <c r="R7" s="215" t="s">
        <v>371</v>
      </c>
      <c r="S7" s="215" t="s">
        <v>371</v>
      </c>
      <c r="T7" s="215" t="s">
        <v>371</v>
      </c>
      <c r="U7" s="215" t="s">
        <v>371</v>
      </c>
      <c r="V7" s="215" t="s">
        <v>371</v>
      </c>
      <c r="W7" s="215" t="s">
        <v>371</v>
      </c>
      <c r="X7" s="215" t="s">
        <v>371</v>
      </c>
      <c r="Y7" s="215" t="s">
        <v>371</v>
      </c>
      <c r="Z7" s="215" t="s">
        <v>371</v>
      </c>
      <c r="AA7" s="215" t="s">
        <v>371</v>
      </c>
      <c r="AB7" s="215" t="s">
        <v>371</v>
      </c>
      <c r="AC7" s="215" t="s">
        <v>371</v>
      </c>
      <c r="AD7" s="216" t="s">
        <v>371</v>
      </c>
      <c r="AE7" s="216" t="s">
        <v>371</v>
      </c>
      <c r="AF7" s="216" t="s">
        <v>371</v>
      </c>
      <c r="AG7" s="216" t="s">
        <v>371</v>
      </c>
      <c r="AH7" s="216" t="s">
        <v>371</v>
      </c>
      <c r="AI7" s="217" t="s">
        <v>371</v>
      </c>
      <c r="AJ7" s="217" t="s">
        <v>371</v>
      </c>
      <c r="AK7" s="217" t="s">
        <v>371</v>
      </c>
      <c r="AL7" s="217" t="s">
        <v>371</v>
      </c>
      <c r="AM7" s="217" t="s">
        <v>371</v>
      </c>
      <c r="AN7" s="217" t="s">
        <v>371</v>
      </c>
      <c r="AO7" s="217" t="s">
        <v>371</v>
      </c>
      <c r="AP7" s="217" t="s">
        <v>371</v>
      </c>
      <c r="AQ7" s="217" t="s">
        <v>371</v>
      </c>
      <c r="AR7" s="217" t="s">
        <v>371</v>
      </c>
      <c r="AS7" s="217" t="s">
        <v>371</v>
      </c>
      <c r="AT7" s="217" t="s">
        <v>371</v>
      </c>
      <c r="AU7" s="217" t="s">
        <v>371</v>
      </c>
      <c r="AV7" s="218" t="s">
        <v>371</v>
      </c>
    </row>
    <row r="8" spans="1:48" ht="16.5" hidden="1" customHeight="1" x14ac:dyDescent="0.4">
      <c r="A8" s="206" t="s">
        <v>23</v>
      </c>
      <c r="B8" s="193" t="s">
        <v>371</v>
      </c>
      <c r="C8" s="193" t="s">
        <v>371</v>
      </c>
      <c r="D8" s="219" t="s">
        <v>371</v>
      </c>
      <c r="E8" s="219" t="s">
        <v>371</v>
      </c>
      <c r="F8" s="219" t="s">
        <v>371</v>
      </c>
      <c r="G8" s="219" t="s">
        <v>371</v>
      </c>
      <c r="H8" s="219" t="s">
        <v>371</v>
      </c>
      <c r="I8" s="219" t="s">
        <v>371</v>
      </c>
      <c r="J8" s="219" t="s">
        <v>371</v>
      </c>
      <c r="K8" s="219" t="s">
        <v>371</v>
      </c>
      <c r="L8" s="219" t="s">
        <v>371</v>
      </c>
      <c r="M8" s="219" t="s">
        <v>371</v>
      </c>
      <c r="N8" s="214">
        <v>1.6779999999999999</v>
      </c>
      <c r="O8" s="220">
        <v>1.696</v>
      </c>
      <c r="P8" s="220">
        <v>1.6879999999999999</v>
      </c>
      <c r="Q8" s="220">
        <v>1.6950000000000001</v>
      </c>
      <c r="R8" s="220">
        <v>1.7010000000000001</v>
      </c>
      <c r="S8" s="220">
        <v>1.7130000000000001</v>
      </c>
      <c r="T8" s="220">
        <v>1.711275547950609</v>
      </c>
      <c r="U8" s="220">
        <v>1.710260011812996</v>
      </c>
      <c r="V8" s="220">
        <v>1.7070000000000001</v>
      </c>
      <c r="W8" s="221" t="s">
        <v>371</v>
      </c>
      <c r="X8" s="221" t="s">
        <v>371</v>
      </c>
      <c r="Y8" s="221" t="s">
        <v>371</v>
      </c>
      <c r="Z8" s="221" t="s">
        <v>371</v>
      </c>
      <c r="AA8" s="221" t="s">
        <v>371</v>
      </c>
      <c r="AB8" s="221" t="s">
        <v>371</v>
      </c>
      <c r="AC8" s="221" t="s">
        <v>371</v>
      </c>
      <c r="AD8" s="222" t="s">
        <v>371</v>
      </c>
      <c r="AE8" s="222" t="s">
        <v>371</v>
      </c>
      <c r="AF8" s="222" t="s">
        <v>371</v>
      </c>
      <c r="AG8" s="222" t="s">
        <v>371</v>
      </c>
      <c r="AH8" s="222" t="s">
        <v>371</v>
      </c>
      <c r="AI8" s="223" t="s">
        <v>371</v>
      </c>
      <c r="AJ8" s="223" t="s">
        <v>371</v>
      </c>
      <c r="AK8" s="223" t="s">
        <v>371</v>
      </c>
      <c r="AL8" s="223" t="s">
        <v>371</v>
      </c>
      <c r="AM8" s="223" t="s">
        <v>371</v>
      </c>
      <c r="AN8" s="223" t="s">
        <v>371</v>
      </c>
      <c r="AO8" s="223" t="s">
        <v>371</v>
      </c>
      <c r="AP8" s="223" t="s">
        <v>371</v>
      </c>
      <c r="AQ8" s="223" t="s">
        <v>371</v>
      </c>
      <c r="AR8" s="223" t="s">
        <v>371</v>
      </c>
      <c r="AS8" s="223" t="s">
        <v>371</v>
      </c>
      <c r="AT8" s="223" t="s">
        <v>371</v>
      </c>
      <c r="AU8" s="223" t="s">
        <v>371</v>
      </c>
      <c r="AV8" s="224" t="s">
        <v>371</v>
      </c>
    </row>
    <row r="9" spans="1:48" ht="16.5" hidden="1" customHeight="1" x14ac:dyDescent="0.4">
      <c r="A9" s="206" t="s">
        <v>177</v>
      </c>
      <c r="B9" s="193" t="s">
        <v>371</v>
      </c>
      <c r="C9" s="193" t="s">
        <v>371</v>
      </c>
      <c r="D9" s="219" t="s">
        <v>371</v>
      </c>
      <c r="E9" s="219" t="s">
        <v>371</v>
      </c>
      <c r="F9" s="219" t="s">
        <v>371</v>
      </c>
      <c r="G9" s="219" t="s">
        <v>371</v>
      </c>
      <c r="H9" s="219" t="s">
        <v>371</v>
      </c>
      <c r="I9" s="219" t="s">
        <v>371</v>
      </c>
      <c r="J9" s="219" t="s">
        <v>371</v>
      </c>
      <c r="K9" s="219" t="s">
        <v>371</v>
      </c>
      <c r="L9" s="219" t="s">
        <v>371</v>
      </c>
      <c r="M9" s="219" t="s">
        <v>371</v>
      </c>
      <c r="N9" s="219" t="s">
        <v>371</v>
      </c>
      <c r="O9" s="215" t="s">
        <v>371</v>
      </c>
      <c r="P9" s="215" t="s">
        <v>371</v>
      </c>
      <c r="Q9" s="215" t="s">
        <v>371</v>
      </c>
      <c r="R9" s="215" t="s">
        <v>371</v>
      </c>
      <c r="S9" s="215" t="s">
        <v>371</v>
      </c>
      <c r="T9" s="221" t="s">
        <v>371</v>
      </c>
      <c r="U9" s="221" t="s">
        <v>371</v>
      </c>
      <c r="V9" s="221" t="s">
        <v>371</v>
      </c>
      <c r="W9" s="220">
        <v>1.6162722613385818</v>
      </c>
      <c r="X9" s="225">
        <v>1.61154</v>
      </c>
      <c r="Y9" s="225">
        <v>1.6038183393542929</v>
      </c>
      <c r="Z9" s="225">
        <v>1.6102191345274188</v>
      </c>
      <c r="AA9" s="226" t="s">
        <v>371</v>
      </c>
      <c r="AB9" s="226" t="s">
        <v>371</v>
      </c>
      <c r="AC9" s="226" t="s">
        <v>371</v>
      </c>
      <c r="AD9" s="227" t="s">
        <v>371</v>
      </c>
      <c r="AE9" s="227" t="s">
        <v>371</v>
      </c>
      <c r="AF9" s="227" t="s">
        <v>371</v>
      </c>
      <c r="AG9" s="227" t="s">
        <v>371</v>
      </c>
      <c r="AH9" s="227" t="s">
        <v>371</v>
      </c>
      <c r="AI9" s="228" t="s">
        <v>371</v>
      </c>
      <c r="AJ9" s="228" t="s">
        <v>371</v>
      </c>
      <c r="AK9" s="228" t="s">
        <v>371</v>
      </c>
      <c r="AL9" s="228" t="s">
        <v>371</v>
      </c>
      <c r="AM9" s="228" t="s">
        <v>371</v>
      </c>
      <c r="AN9" s="228" t="s">
        <v>371</v>
      </c>
      <c r="AO9" s="228" t="s">
        <v>371</v>
      </c>
      <c r="AP9" s="228" t="s">
        <v>371</v>
      </c>
      <c r="AQ9" s="228" t="s">
        <v>371</v>
      </c>
      <c r="AR9" s="228" t="s">
        <v>371</v>
      </c>
      <c r="AS9" s="228" t="s">
        <v>371</v>
      </c>
      <c r="AT9" s="228" t="s">
        <v>371</v>
      </c>
      <c r="AU9" s="228" t="s">
        <v>371</v>
      </c>
      <c r="AV9" s="229" t="s">
        <v>371</v>
      </c>
    </row>
    <row r="10" spans="1:48" ht="16.5" hidden="1" customHeight="1" x14ac:dyDescent="0.4">
      <c r="A10" s="206" t="s">
        <v>278</v>
      </c>
      <c r="B10" s="193" t="s">
        <v>371</v>
      </c>
      <c r="C10" s="193" t="s">
        <v>371</v>
      </c>
      <c r="D10" s="219" t="s">
        <v>371</v>
      </c>
      <c r="E10" s="219" t="s">
        <v>371</v>
      </c>
      <c r="F10" s="219" t="s">
        <v>371</v>
      </c>
      <c r="G10" s="219" t="s">
        <v>371</v>
      </c>
      <c r="H10" s="219" t="s">
        <v>371</v>
      </c>
      <c r="I10" s="219" t="s">
        <v>371</v>
      </c>
      <c r="J10" s="219" t="s">
        <v>371</v>
      </c>
      <c r="K10" s="219" t="s">
        <v>371</v>
      </c>
      <c r="L10" s="219" t="s">
        <v>371</v>
      </c>
      <c r="M10" s="219" t="s">
        <v>371</v>
      </c>
      <c r="N10" s="219" t="s">
        <v>371</v>
      </c>
      <c r="O10" s="215" t="s">
        <v>371</v>
      </c>
      <c r="P10" s="215" t="s">
        <v>371</v>
      </c>
      <c r="Q10" s="215" t="s">
        <v>371</v>
      </c>
      <c r="R10" s="215" t="s">
        <v>371</v>
      </c>
      <c r="S10" s="215" t="s">
        <v>371</v>
      </c>
      <c r="T10" s="221" t="s">
        <v>371</v>
      </c>
      <c r="U10" s="221" t="s">
        <v>371</v>
      </c>
      <c r="V10" s="221" t="s">
        <v>371</v>
      </c>
      <c r="W10" s="230" t="s">
        <v>371</v>
      </c>
      <c r="X10" s="226" t="s">
        <v>371</v>
      </c>
      <c r="Y10" s="226" t="s">
        <v>371</v>
      </c>
      <c r="Z10" s="226" t="s">
        <v>371</v>
      </c>
      <c r="AA10" s="225">
        <v>1.5772039155868032</v>
      </c>
      <c r="AB10" s="226" t="s">
        <v>371</v>
      </c>
      <c r="AC10" s="226" t="s">
        <v>371</v>
      </c>
      <c r="AD10" s="227" t="s">
        <v>371</v>
      </c>
      <c r="AE10" s="227" t="s">
        <v>371</v>
      </c>
      <c r="AF10" s="227" t="s">
        <v>371</v>
      </c>
      <c r="AG10" s="227" t="s">
        <v>371</v>
      </c>
      <c r="AH10" s="227" t="s">
        <v>371</v>
      </c>
      <c r="AI10" s="228" t="s">
        <v>371</v>
      </c>
      <c r="AJ10" s="228" t="s">
        <v>371</v>
      </c>
      <c r="AK10" s="228" t="s">
        <v>371</v>
      </c>
      <c r="AL10" s="228" t="s">
        <v>371</v>
      </c>
      <c r="AM10" s="228" t="s">
        <v>371</v>
      </c>
      <c r="AN10" s="228" t="s">
        <v>371</v>
      </c>
      <c r="AO10" s="228" t="s">
        <v>371</v>
      </c>
      <c r="AP10" s="228" t="s">
        <v>371</v>
      </c>
      <c r="AQ10" s="228" t="s">
        <v>371</v>
      </c>
      <c r="AR10" s="228" t="s">
        <v>371</v>
      </c>
      <c r="AS10" s="228" t="s">
        <v>371</v>
      </c>
      <c r="AT10" s="228" t="s">
        <v>371</v>
      </c>
      <c r="AU10" s="228" t="s">
        <v>371</v>
      </c>
      <c r="AV10" s="229" t="s">
        <v>371</v>
      </c>
    </row>
    <row r="11" spans="1:48" x14ac:dyDescent="0.4">
      <c r="A11" s="206" t="s">
        <v>433</v>
      </c>
      <c r="B11" s="193" t="s">
        <v>371</v>
      </c>
      <c r="C11" s="193" t="s">
        <v>371</v>
      </c>
      <c r="D11" s="219" t="s">
        <v>371</v>
      </c>
      <c r="E11" s="219" t="s">
        <v>371</v>
      </c>
      <c r="F11" s="219" t="s">
        <v>371</v>
      </c>
      <c r="G11" s="219" t="s">
        <v>371</v>
      </c>
      <c r="H11" s="219" t="s">
        <v>371</v>
      </c>
      <c r="I11" s="219" t="s">
        <v>371</v>
      </c>
      <c r="J11" s="219" t="s">
        <v>371</v>
      </c>
      <c r="K11" s="219" t="s">
        <v>371</v>
      </c>
      <c r="L11" s="219" t="s">
        <v>371</v>
      </c>
      <c r="M11" s="219" t="s">
        <v>371</v>
      </c>
      <c r="N11" s="219" t="s">
        <v>371</v>
      </c>
      <c r="O11" s="215" t="s">
        <v>371</v>
      </c>
      <c r="P11" s="215" t="s">
        <v>371</v>
      </c>
      <c r="Q11" s="215" t="s">
        <v>371</v>
      </c>
      <c r="R11" s="215" t="s">
        <v>371</v>
      </c>
      <c r="S11" s="215" t="s">
        <v>371</v>
      </c>
      <c r="T11" s="221" t="s">
        <v>371</v>
      </c>
      <c r="U11" s="221" t="s">
        <v>371</v>
      </c>
      <c r="V11" s="221" t="s">
        <v>371</v>
      </c>
      <c r="W11" s="230" t="s">
        <v>371</v>
      </c>
      <c r="X11" s="226" t="s">
        <v>371</v>
      </c>
      <c r="Y11" s="226" t="s">
        <v>371</v>
      </c>
      <c r="Z11" s="226" t="s">
        <v>371</v>
      </c>
      <c r="AA11" s="226" t="s">
        <v>371</v>
      </c>
      <c r="AB11" s="225">
        <v>1.5396220606969127</v>
      </c>
      <c r="AC11" s="225">
        <v>1.5409068781714532</v>
      </c>
      <c r="AD11" s="231">
        <v>1.5411358481283008</v>
      </c>
      <c r="AE11" s="231">
        <v>1.5413837728531024</v>
      </c>
      <c r="AF11" s="231">
        <v>1.5476977135940497</v>
      </c>
      <c r="AG11" s="231">
        <v>1.5662151175181811</v>
      </c>
      <c r="AH11" s="231">
        <v>1.5712688752829465</v>
      </c>
      <c r="AI11" s="232">
        <v>1.5794065737710454</v>
      </c>
      <c r="AJ11" s="232">
        <v>1.5789737058991231</v>
      </c>
      <c r="AK11" s="232">
        <v>1.571</v>
      </c>
      <c r="AL11" s="232">
        <v>1.5598429769287527</v>
      </c>
      <c r="AM11" s="232">
        <v>1.5501078603195761</v>
      </c>
      <c r="AN11" s="232">
        <v>1.5437788325484212</v>
      </c>
      <c r="AO11" s="232">
        <v>1.5409999999999999</v>
      </c>
      <c r="AP11" s="373" t="s">
        <v>432</v>
      </c>
      <c r="AQ11" s="373" t="s">
        <v>432</v>
      </c>
      <c r="AR11" s="373" t="s">
        <v>432</v>
      </c>
      <c r="AS11" s="373" t="s">
        <v>432</v>
      </c>
      <c r="AT11" s="373" t="s">
        <v>432</v>
      </c>
      <c r="AU11" s="373" t="s">
        <v>432</v>
      </c>
      <c r="AV11" s="374" t="s">
        <v>432</v>
      </c>
    </row>
    <row r="12" spans="1:48" ht="17.399999999999999" thickBot="1" x14ac:dyDescent="0.45">
      <c r="A12" s="233" t="s">
        <v>24</v>
      </c>
      <c r="B12" s="234">
        <v>11678</v>
      </c>
      <c r="C12" s="234">
        <v>12550</v>
      </c>
      <c r="D12" s="235">
        <v>14009</v>
      </c>
      <c r="E12" s="235">
        <v>14831</v>
      </c>
      <c r="F12" s="235">
        <v>15037</v>
      </c>
      <c r="G12" s="235">
        <v>15604</v>
      </c>
      <c r="H12" s="235">
        <v>16247</v>
      </c>
      <c r="I12" s="235">
        <v>16599</v>
      </c>
      <c r="J12" s="235">
        <v>17203</v>
      </c>
      <c r="K12" s="235">
        <v>17730</v>
      </c>
      <c r="L12" s="235">
        <v>18255</v>
      </c>
      <c r="M12" s="235">
        <v>19027</v>
      </c>
      <c r="N12" s="235">
        <v>19565</v>
      </c>
      <c r="O12" s="236">
        <v>21618</v>
      </c>
      <c r="P12" s="236">
        <v>22329</v>
      </c>
      <c r="Q12" s="236">
        <v>22292</v>
      </c>
      <c r="R12" s="236">
        <v>22395</v>
      </c>
      <c r="S12" s="236">
        <v>23295</v>
      </c>
      <c r="T12" s="236">
        <v>23297.229731190298</v>
      </c>
      <c r="U12" s="236">
        <v>23922.525599546247</v>
      </c>
      <c r="V12" s="236">
        <v>23955</v>
      </c>
      <c r="W12" s="210">
        <f>+W6/W9</f>
        <v>26826.729754855616</v>
      </c>
      <c r="X12" s="210">
        <f>+X6/X9</f>
        <v>27667.944947069263</v>
      </c>
      <c r="Y12" s="237">
        <f>+Y6/Y9</f>
        <v>28714.685830366878</v>
      </c>
      <c r="Z12" s="237">
        <f>+Z6/Z9</f>
        <v>29608.772225650511</v>
      </c>
      <c r="AA12" s="237">
        <f>+AA6/AA10</f>
        <v>30523.09324170617</v>
      </c>
      <c r="AB12" s="237">
        <f t="shared" ref="AB12:AH12" si="0">+AB6/AB11</f>
        <v>31489.165641317133</v>
      </c>
      <c r="AC12" s="237">
        <f t="shared" si="0"/>
        <v>31928.030521390006</v>
      </c>
      <c r="AD12" s="237">
        <f t="shared" si="0"/>
        <v>33027.535606876096</v>
      </c>
      <c r="AE12" s="237">
        <f t="shared" si="0"/>
        <v>34451.653885151667</v>
      </c>
      <c r="AF12" s="237">
        <f t="shared" si="0"/>
        <v>36119.4159585339</v>
      </c>
      <c r="AG12" s="237">
        <f t="shared" si="0"/>
        <v>35943.693767829798</v>
      </c>
      <c r="AH12" s="237">
        <f t="shared" si="0"/>
        <v>35784.043714674808</v>
      </c>
      <c r="AI12" s="237">
        <f>+AI6/AI11</f>
        <v>35206.389346159354</v>
      </c>
      <c r="AJ12" s="237">
        <f>+AJ6/AJ11</f>
        <v>35246.51139790647</v>
      </c>
      <c r="AK12" s="237">
        <v>35972</v>
      </c>
      <c r="AL12" s="237">
        <v>36097.702754082748</v>
      </c>
      <c r="AM12" s="237">
        <v>37302.028532403325</v>
      </c>
      <c r="AN12" s="237">
        <v>38101.717081290779</v>
      </c>
      <c r="AO12" s="237">
        <v>39179</v>
      </c>
      <c r="AP12" s="375" t="s">
        <v>432</v>
      </c>
      <c r="AQ12" s="375" t="s">
        <v>432</v>
      </c>
      <c r="AR12" s="375" t="s">
        <v>432</v>
      </c>
      <c r="AS12" s="375" t="s">
        <v>432</v>
      </c>
      <c r="AT12" s="375" t="s">
        <v>432</v>
      </c>
      <c r="AU12" s="375" t="s">
        <v>432</v>
      </c>
      <c r="AV12" s="376" t="s">
        <v>432</v>
      </c>
    </row>
    <row r="13" spans="1:48" s="198" customFormat="1" ht="19.2" x14ac:dyDescent="0.45">
      <c r="A13" s="194" t="s">
        <v>416</v>
      </c>
      <c r="B13" s="195"/>
      <c r="C13" s="195"/>
      <c r="D13" s="195"/>
      <c r="E13" s="196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6"/>
      <c r="X13" s="197"/>
      <c r="Y13" s="238"/>
      <c r="Z13" s="238"/>
      <c r="AA13" s="238"/>
      <c r="AB13" s="238"/>
      <c r="AC13" s="387"/>
      <c r="AD13" s="387"/>
      <c r="AE13" s="387"/>
      <c r="AF13" s="387"/>
      <c r="AG13" s="387"/>
      <c r="AH13" s="387"/>
      <c r="AI13" s="387"/>
      <c r="AJ13" s="387"/>
      <c r="AK13" s="387"/>
      <c r="AL13" s="387"/>
      <c r="AM13" s="387"/>
      <c r="AN13" s="387"/>
      <c r="AO13" s="387"/>
      <c r="AP13" s="387"/>
      <c r="AQ13" s="387"/>
      <c r="AR13" s="461"/>
      <c r="AS13" s="461"/>
      <c r="AT13" s="461"/>
      <c r="AU13" s="461"/>
      <c r="AV13" s="388"/>
    </row>
    <row r="14" spans="1:48" s="205" customFormat="1" x14ac:dyDescent="0.4">
      <c r="A14" s="199" t="s">
        <v>20</v>
      </c>
      <c r="B14" s="200">
        <v>3344</v>
      </c>
      <c r="C14" s="200">
        <v>3388</v>
      </c>
      <c r="D14" s="200">
        <v>3441</v>
      </c>
      <c r="E14" s="200">
        <v>3250</v>
      </c>
      <c r="F14" s="200">
        <v>3099</v>
      </c>
      <c r="G14" s="200">
        <v>3133</v>
      </c>
      <c r="H14" s="200">
        <v>3270</v>
      </c>
      <c r="I14" s="200">
        <v>3248</v>
      </c>
      <c r="J14" s="200">
        <v>3194</v>
      </c>
      <c r="K14" s="200">
        <v>3220</v>
      </c>
      <c r="L14" s="200">
        <v>3288</v>
      </c>
      <c r="M14" s="200">
        <v>3298</v>
      </c>
      <c r="N14" s="200">
        <v>3390</v>
      </c>
      <c r="O14" s="201">
        <v>3375</v>
      </c>
      <c r="P14" s="201">
        <v>3444</v>
      </c>
      <c r="Q14" s="201">
        <v>3443</v>
      </c>
      <c r="R14" s="201">
        <v>3495</v>
      </c>
      <c r="S14" s="201">
        <v>3500</v>
      </c>
      <c r="T14" s="201">
        <v>3578.98</v>
      </c>
      <c r="U14" s="201">
        <v>3647.4950000000008</v>
      </c>
      <c r="V14" s="201">
        <v>3680.78</v>
      </c>
      <c r="W14" s="201">
        <v>3733.944</v>
      </c>
      <c r="X14" s="202">
        <v>3761.7</v>
      </c>
      <c r="Y14" s="202">
        <v>3855.9</v>
      </c>
      <c r="Z14" s="202">
        <v>3910.3</v>
      </c>
      <c r="AA14" s="202">
        <v>3897.6</v>
      </c>
      <c r="AB14" s="202">
        <v>3925.4</v>
      </c>
      <c r="AC14" s="202">
        <v>3998.63</v>
      </c>
      <c r="AD14" s="203">
        <v>3975.19</v>
      </c>
      <c r="AE14" s="203">
        <v>4036.8999999999996</v>
      </c>
      <c r="AF14" s="203">
        <v>4035.3899999999994</v>
      </c>
      <c r="AG14" s="203">
        <v>3898.9800000000005</v>
      </c>
      <c r="AH14" s="203">
        <v>3902.34</v>
      </c>
      <c r="AI14" s="239">
        <v>3884.31</v>
      </c>
      <c r="AJ14" s="239">
        <v>3970.5800000000004</v>
      </c>
      <c r="AK14" s="239">
        <v>4100.3</v>
      </c>
      <c r="AL14" s="239">
        <v>4326.7700000000004</v>
      </c>
      <c r="AM14" s="239">
        <v>4554.13</v>
      </c>
      <c r="AN14" s="239">
        <v>4798.74</v>
      </c>
      <c r="AO14" s="239">
        <v>4915.3</v>
      </c>
      <c r="AP14" s="239">
        <v>5030.87</v>
      </c>
      <c r="AQ14" s="239">
        <v>4972.07</v>
      </c>
      <c r="AR14" s="239">
        <v>5028.51</v>
      </c>
      <c r="AS14" s="239">
        <v>5240.2</v>
      </c>
      <c r="AT14" s="239">
        <v>5333.54</v>
      </c>
      <c r="AU14" s="239">
        <v>5150.62</v>
      </c>
      <c r="AV14" s="240">
        <f>+table3ws1!J9</f>
        <v>5117.32</v>
      </c>
    </row>
    <row r="15" spans="1:48" x14ac:dyDescent="0.4">
      <c r="A15" s="206" t="s">
        <v>370</v>
      </c>
      <c r="B15" s="207">
        <v>27641</v>
      </c>
      <c r="C15" s="207">
        <v>30023</v>
      </c>
      <c r="D15" s="208">
        <v>33575</v>
      </c>
      <c r="E15" s="208">
        <v>36137</v>
      </c>
      <c r="F15" s="208">
        <v>36792</v>
      </c>
      <c r="G15" s="208">
        <v>38609</v>
      </c>
      <c r="H15" s="208">
        <v>40133</v>
      </c>
      <c r="I15" s="208">
        <v>41684</v>
      </c>
      <c r="J15" s="208">
        <v>43785</v>
      </c>
      <c r="K15" s="208">
        <v>46120</v>
      </c>
      <c r="L15" s="208">
        <v>48377</v>
      </c>
      <c r="M15" s="208">
        <v>51216</v>
      </c>
      <c r="N15" s="208">
        <v>55196</v>
      </c>
      <c r="O15" s="98">
        <v>58753</v>
      </c>
      <c r="P15" s="98">
        <v>61205</v>
      </c>
      <c r="Q15" s="98">
        <v>61542</v>
      </c>
      <c r="R15" s="98">
        <v>62267</v>
      </c>
      <c r="S15" s="98">
        <v>65704.53</v>
      </c>
      <c r="T15" s="98">
        <v>66294.497465758381</v>
      </c>
      <c r="U15" s="98">
        <v>68626.044723844709</v>
      </c>
      <c r="V15" s="98">
        <v>69381</v>
      </c>
      <c r="W15" s="98">
        <v>72992.566037412442</v>
      </c>
      <c r="X15" s="209">
        <v>76072</v>
      </c>
      <c r="Y15" s="210">
        <v>79450.462968437976</v>
      </c>
      <c r="Z15" s="210">
        <v>82686.994151343868</v>
      </c>
      <c r="AA15" s="210">
        <v>83429.509834256984</v>
      </c>
      <c r="AB15" s="210">
        <v>84537.900988434296</v>
      </c>
      <c r="AC15" s="210">
        <v>86696.825550250971</v>
      </c>
      <c r="AD15" s="211">
        <v>90941.847395973513</v>
      </c>
      <c r="AE15" s="211">
        <v>95179.872501176651</v>
      </c>
      <c r="AF15" s="211">
        <v>99810.521842994131</v>
      </c>
      <c r="AG15" s="211">
        <v>101261.63536360791</v>
      </c>
      <c r="AH15" s="211">
        <v>101958.85756494821</v>
      </c>
      <c r="AI15" s="210">
        <v>102310.4679209435</v>
      </c>
      <c r="AJ15" s="210">
        <v>102824.14293377794</v>
      </c>
      <c r="AK15" s="210">
        <v>105156</v>
      </c>
      <c r="AL15" s="210">
        <v>107313.61749757901</v>
      </c>
      <c r="AM15" s="210">
        <v>112024.80314132446</v>
      </c>
      <c r="AN15" s="210">
        <v>115461.78462679787</v>
      </c>
      <c r="AO15" s="210">
        <v>121369</v>
      </c>
      <c r="AP15" s="210">
        <v>127070.18560606813</v>
      </c>
      <c r="AQ15" s="210">
        <v>135384.02465572691</v>
      </c>
      <c r="AR15" s="210">
        <v>140303.00747935273</v>
      </c>
      <c r="AS15" s="210">
        <v>145317</v>
      </c>
      <c r="AT15" s="210">
        <v>154891.02443967795</v>
      </c>
      <c r="AU15" s="210">
        <v>166054.349794782</v>
      </c>
      <c r="AV15" s="212">
        <f>+table3ws1!J10</f>
        <v>170163.49481564568</v>
      </c>
    </row>
    <row r="16" spans="1:48" s="89" customFormat="1" ht="16.5" hidden="1" customHeight="1" x14ac:dyDescent="0.4">
      <c r="A16" s="213" t="s">
        <v>21</v>
      </c>
      <c r="B16" s="214">
        <v>1.8720000000000001</v>
      </c>
      <c r="C16" s="214">
        <v>1.89</v>
      </c>
      <c r="D16" s="214">
        <v>1.897</v>
      </c>
      <c r="E16" s="214">
        <v>1.9219999999999999</v>
      </c>
      <c r="F16" s="214">
        <v>1.9319999999999999</v>
      </c>
      <c r="G16" s="214">
        <v>1.9390000000000001</v>
      </c>
      <c r="H16" s="214">
        <v>1.9379999999999999</v>
      </c>
      <c r="I16" s="214">
        <v>1.95</v>
      </c>
      <c r="J16" s="214">
        <v>1.96</v>
      </c>
      <c r="K16" s="214">
        <v>1.9630000000000001</v>
      </c>
      <c r="L16" s="214">
        <v>1.9610000000000001</v>
      </c>
      <c r="M16" s="214">
        <v>1.9670000000000001</v>
      </c>
      <c r="N16" s="214">
        <v>1.97</v>
      </c>
      <c r="O16" s="215" t="s">
        <v>371</v>
      </c>
      <c r="P16" s="215" t="s">
        <v>371</v>
      </c>
      <c r="Q16" s="215" t="s">
        <v>371</v>
      </c>
      <c r="R16" s="215" t="s">
        <v>371</v>
      </c>
      <c r="S16" s="215" t="s">
        <v>371</v>
      </c>
      <c r="T16" s="215" t="s">
        <v>371</v>
      </c>
      <c r="U16" s="215" t="s">
        <v>371</v>
      </c>
      <c r="V16" s="215" t="s">
        <v>371</v>
      </c>
      <c r="W16" s="215" t="s">
        <v>371</v>
      </c>
      <c r="X16" s="215" t="s">
        <v>371</v>
      </c>
      <c r="Y16" s="215" t="s">
        <v>371</v>
      </c>
      <c r="Z16" s="215" t="s">
        <v>371</v>
      </c>
      <c r="AA16" s="215" t="s">
        <v>371</v>
      </c>
      <c r="AB16" s="215" t="s">
        <v>371</v>
      </c>
      <c r="AC16" s="215" t="s">
        <v>371</v>
      </c>
      <c r="AD16" s="216" t="s">
        <v>371</v>
      </c>
      <c r="AE16" s="216" t="s">
        <v>371</v>
      </c>
      <c r="AF16" s="216" t="s">
        <v>371</v>
      </c>
      <c r="AG16" s="216" t="s">
        <v>371</v>
      </c>
      <c r="AH16" s="216" t="s">
        <v>371</v>
      </c>
      <c r="AI16" s="217" t="s">
        <v>371</v>
      </c>
      <c r="AJ16" s="217" t="s">
        <v>371</v>
      </c>
      <c r="AK16" s="217" t="s">
        <v>371</v>
      </c>
      <c r="AL16" s="217" t="s">
        <v>371</v>
      </c>
      <c r="AM16" s="217" t="s">
        <v>371</v>
      </c>
      <c r="AN16" s="217" t="s">
        <v>371</v>
      </c>
      <c r="AO16" s="217" t="s">
        <v>371</v>
      </c>
      <c r="AP16" s="217" t="s">
        <v>371</v>
      </c>
      <c r="AQ16" s="217" t="s">
        <v>371</v>
      </c>
      <c r="AR16" s="217" t="s">
        <v>371</v>
      </c>
      <c r="AS16" s="217" t="s">
        <v>371</v>
      </c>
      <c r="AT16" s="217" t="s">
        <v>371</v>
      </c>
      <c r="AU16" s="217" t="s">
        <v>371</v>
      </c>
      <c r="AV16" s="218" t="s">
        <v>371</v>
      </c>
    </row>
    <row r="17" spans="1:48" s="243" customFormat="1" ht="16.5" hidden="1" customHeight="1" x14ac:dyDescent="0.4">
      <c r="A17" s="241" t="s">
        <v>23</v>
      </c>
      <c r="B17" s="242" t="s">
        <v>371</v>
      </c>
      <c r="C17" s="242" t="s">
        <v>371</v>
      </c>
      <c r="D17" s="242" t="s">
        <v>371</v>
      </c>
      <c r="E17" s="242" t="s">
        <v>371</v>
      </c>
      <c r="F17" s="242" t="s">
        <v>371</v>
      </c>
      <c r="G17" s="242" t="s">
        <v>371</v>
      </c>
      <c r="H17" s="242" t="s">
        <v>371</v>
      </c>
      <c r="I17" s="242" t="s">
        <v>371</v>
      </c>
      <c r="J17" s="242" t="s">
        <v>371</v>
      </c>
      <c r="K17" s="242" t="s">
        <v>371</v>
      </c>
      <c r="L17" s="242" t="s">
        <v>371</v>
      </c>
      <c r="M17" s="242" t="s">
        <v>371</v>
      </c>
      <c r="N17" s="242">
        <v>1.94</v>
      </c>
      <c r="O17" s="220">
        <v>1.948</v>
      </c>
      <c r="P17" s="220">
        <v>1.95</v>
      </c>
      <c r="Q17" s="220">
        <v>1.9530000000000001</v>
      </c>
      <c r="R17" s="220">
        <v>1.956</v>
      </c>
      <c r="S17" s="220">
        <v>1.958</v>
      </c>
      <c r="T17" s="220">
        <v>1.958007140498131</v>
      </c>
      <c r="U17" s="220">
        <v>1.9508558722493079</v>
      </c>
      <c r="V17" s="220">
        <v>1.95</v>
      </c>
      <c r="W17" s="230" t="s">
        <v>371</v>
      </c>
      <c r="X17" s="230" t="s">
        <v>371</v>
      </c>
      <c r="Y17" s="226" t="s">
        <v>371</v>
      </c>
      <c r="Z17" s="226" t="s">
        <v>371</v>
      </c>
      <c r="AA17" s="226" t="s">
        <v>371</v>
      </c>
      <c r="AB17" s="226" t="s">
        <v>371</v>
      </c>
      <c r="AC17" s="226" t="s">
        <v>371</v>
      </c>
      <c r="AD17" s="227" t="s">
        <v>371</v>
      </c>
      <c r="AE17" s="227" t="s">
        <v>371</v>
      </c>
      <c r="AF17" s="227" t="s">
        <v>371</v>
      </c>
      <c r="AG17" s="227" t="s">
        <v>371</v>
      </c>
      <c r="AH17" s="227" t="s">
        <v>371</v>
      </c>
      <c r="AI17" s="228" t="s">
        <v>371</v>
      </c>
      <c r="AJ17" s="228" t="s">
        <v>371</v>
      </c>
      <c r="AK17" s="228" t="s">
        <v>371</v>
      </c>
      <c r="AL17" s="228" t="s">
        <v>371</v>
      </c>
      <c r="AM17" s="228" t="s">
        <v>371</v>
      </c>
      <c r="AN17" s="228" t="s">
        <v>371</v>
      </c>
      <c r="AO17" s="228" t="s">
        <v>371</v>
      </c>
      <c r="AP17" s="228" t="s">
        <v>371</v>
      </c>
      <c r="AQ17" s="228" t="s">
        <v>371</v>
      </c>
      <c r="AR17" s="228" t="s">
        <v>371</v>
      </c>
      <c r="AS17" s="228" t="s">
        <v>371</v>
      </c>
      <c r="AT17" s="228" t="s">
        <v>371</v>
      </c>
      <c r="AU17" s="228" t="s">
        <v>371</v>
      </c>
      <c r="AV17" s="229" t="s">
        <v>371</v>
      </c>
    </row>
    <row r="18" spans="1:48" s="243" customFormat="1" ht="16.5" hidden="1" customHeight="1" x14ac:dyDescent="0.4">
      <c r="A18" s="241" t="s">
        <v>177</v>
      </c>
      <c r="B18" s="242" t="s">
        <v>371</v>
      </c>
      <c r="C18" s="242" t="s">
        <v>371</v>
      </c>
      <c r="D18" s="242" t="s">
        <v>371</v>
      </c>
      <c r="E18" s="242" t="s">
        <v>371</v>
      </c>
      <c r="F18" s="242" t="s">
        <v>371</v>
      </c>
      <c r="G18" s="242" t="s">
        <v>371</v>
      </c>
      <c r="H18" s="242" t="s">
        <v>371</v>
      </c>
      <c r="I18" s="242" t="s">
        <v>371</v>
      </c>
      <c r="J18" s="242" t="s">
        <v>371</v>
      </c>
      <c r="K18" s="242" t="s">
        <v>371</v>
      </c>
      <c r="L18" s="242" t="s">
        <v>371</v>
      </c>
      <c r="M18" s="242" t="s">
        <v>371</v>
      </c>
      <c r="N18" s="242" t="s">
        <v>371</v>
      </c>
      <c r="O18" s="220" t="s">
        <v>371</v>
      </c>
      <c r="P18" s="220" t="s">
        <v>371</v>
      </c>
      <c r="Q18" s="220" t="s">
        <v>371</v>
      </c>
      <c r="R18" s="220" t="s">
        <v>371</v>
      </c>
      <c r="S18" s="220" t="s">
        <v>371</v>
      </c>
      <c r="T18" s="230" t="s">
        <v>371</v>
      </c>
      <c r="U18" s="230" t="s">
        <v>371</v>
      </c>
      <c r="V18" s="230" t="s">
        <v>371</v>
      </c>
      <c r="W18" s="220">
        <v>1.8409527701031467</v>
      </c>
      <c r="X18" s="225">
        <v>1.8296699999999999</v>
      </c>
      <c r="Y18" s="225">
        <v>1.813914436214632</v>
      </c>
      <c r="Z18" s="225">
        <v>1.8158810252921769</v>
      </c>
      <c r="AA18" s="226" t="s">
        <v>371</v>
      </c>
      <c r="AB18" s="226" t="s">
        <v>371</v>
      </c>
      <c r="AC18" s="226" t="s">
        <v>371</v>
      </c>
      <c r="AD18" s="227" t="s">
        <v>371</v>
      </c>
      <c r="AE18" s="227" t="s">
        <v>371</v>
      </c>
      <c r="AF18" s="227" t="s">
        <v>371</v>
      </c>
      <c r="AG18" s="227" t="s">
        <v>371</v>
      </c>
      <c r="AH18" s="227" t="s">
        <v>371</v>
      </c>
      <c r="AI18" s="228" t="s">
        <v>371</v>
      </c>
      <c r="AJ18" s="228" t="s">
        <v>371</v>
      </c>
      <c r="AK18" s="228" t="s">
        <v>371</v>
      </c>
      <c r="AL18" s="228" t="s">
        <v>371</v>
      </c>
      <c r="AM18" s="228" t="s">
        <v>371</v>
      </c>
      <c r="AN18" s="228" t="s">
        <v>371</v>
      </c>
      <c r="AO18" s="228" t="s">
        <v>371</v>
      </c>
      <c r="AP18" s="228" t="s">
        <v>371</v>
      </c>
      <c r="AQ18" s="228" t="s">
        <v>371</v>
      </c>
      <c r="AR18" s="228" t="s">
        <v>371</v>
      </c>
      <c r="AS18" s="228" t="s">
        <v>371</v>
      </c>
      <c r="AT18" s="228" t="s">
        <v>371</v>
      </c>
      <c r="AU18" s="228" t="s">
        <v>371</v>
      </c>
      <c r="AV18" s="229" t="s">
        <v>371</v>
      </c>
    </row>
    <row r="19" spans="1:48" s="243" customFormat="1" ht="16.5" hidden="1" customHeight="1" x14ac:dyDescent="0.4">
      <c r="A19" s="241" t="s">
        <v>278</v>
      </c>
      <c r="B19" s="242" t="s">
        <v>371</v>
      </c>
      <c r="C19" s="242" t="s">
        <v>371</v>
      </c>
      <c r="D19" s="242" t="s">
        <v>371</v>
      </c>
      <c r="E19" s="242" t="s">
        <v>371</v>
      </c>
      <c r="F19" s="242" t="s">
        <v>371</v>
      </c>
      <c r="G19" s="242" t="s">
        <v>371</v>
      </c>
      <c r="H19" s="242" t="s">
        <v>371</v>
      </c>
      <c r="I19" s="242" t="s">
        <v>371</v>
      </c>
      <c r="J19" s="242" t="s">
        <v>371</v>
      </c>
      <c r="K19" s="242" t="s">
        <v>371</v>
      </c>
      <c r="L19" s="242" t="s">
        <v>371</v>
      </c>
      <c r="M19" s="242" t="s">
        <v>371</v>
      </c>
      <c r="N19" s="242" t="s">
        <v>371</v>
      </c>
      <c r="O19" s="220" t="s">
        <v>371</v>
      </c>
      <c r="P19" s="220" t="s">
        <v>371</v>
      </c>
      <c r="Q19" s="220" t="s">
        <v>371</v>
      </c>
      <c r="R19" s="220" t="s">
        <v>371</v>
      </c>
      <c r="S19" s="220" t="s">
        <v>371</v>
      </c>
      <c r="T19" s="230" t="s">
        <v>371</v>
      </c>
      <c r="U19" s="230" t="s">
        <v>371</v>
      </c>
      <c r="V19" s="230" t="s">
        <v>371</v>
      </c>
      <c r="W19" s="230" t="s">
        <v>371</v>
      </c>
      <c r="X19" s="226" t="s">
        <v>371</v>
      </c>
      <c r="Y19" s="226" t="s">
        <v>371</v>
      </c>
      <c r="Z19" s="226" t="s">
        <v>371</v>
      </c>
      <c r="AA19" s="225">
        <v>1.7684239737274219</v>
      </c>
      <c r="AB19" s="226" t="s">
        <v>371</v>
      </c>
      <c r="AC19" s="226" t="s">
        <v>371</v>
      </c>
      <c r="AD19" s="227" t="s">
        <v>371</v>
      </c>
      <c r="AE19" s="227" t="s">
        <v>371</v>
      </c>
      <c r="AF19" s="227" t="s">
        <v>371</v>
      </c>
      <c r="AG19" s="227" t="s">
        <v>371</v>
      </c>
      <c r="AH19" s="227" t="s">
        <v>371</v>
      </c>
      <c r="AI19" s="228" t="s">
        <v>371</v>
      </c>
      <c r="AJ19" s="228" t="s">
        <v>371</v>
      </c>
      <c r="AK19" s="228" t="s">
        <v>371</v>
      </c>
      <c r="AL19" s="228" t="s">
        <v>371</v>
      </c>
      <c r="AM19" s="228" t="s">
        <v>371</v>
      </c>
      <c r="AN19" s="228" t="s">
        <v>371</v>
      </c>
      <c r="AO19" s="228" t="s">
        <v>371</v>
      </c>
      <c r="AP19" s="228" t="s">
        <v>371</v>
      </c>
      <c r="AQ19" s="228" t="s">
        <v>371</v>
      </c>
      <c r="AR19" s="228" t="s">
        <v>371</v>
      </c>
      <c r="AS19" s="228" t="s">
        <v>371</v>
      </c>
      <c r="AT19" s="228" t="s">
        <v>371</v>
      </c>
      <c r="AU19" s="228" t="s">
        <v>371</v>
      </c>
      <c r="AV19" s="229" t="s">
        <v>371</v>
      </c>
    </row>
    <row r="20" spans="1:48" s="243" customFormat="1" x14ac:dyDescent="0.4">
      <c r="A20" s="241" t="s">
        <v>433</v>
      </c>
      <c r="B20" s="242" t="s">
        <v>371</v>
      </c>
      <c r="C20" s="242" t="s">
        <v>371</v>
      </c>
      <c r="D20" s="242" t="s">
        <v>371</v>
      </c>
      <c r="E20" s="242" t="s">
        <v>371</v>
      </c>
      <c r="F20" s="242" t="s">
        <v>371</v>
      </c>
      <c r="G20" s="242" t="s">
        <v>371</v>
      </c>
      <c r="H20" s="242" t="s">
        <v>371</v>
      </c>
      <c r="I20" s="242" t="s">
        <v>371</v>
      </c>
      <c r="J20" s="242" t="s">
        <v>371</v>
      </c>
      <c r="K20" s="242" t="s">
        <v>371</v>
      </c>
      <c r="L20" s="242" t="s">
        <v>371</v>
      </c>
      <c r="M20" s="242" t="s">
        <v>371</v>
      </c>
      <c r="N20" s="242" t="s">
        <v>371</v>
      </c>
      <c r="O20" s="220" t="s">
        <v>371</v>
      </c>
      <c r="P20" s="220" t="s">
        <v>371</v>
      </c>
      <c r="Q20" s="220" t="s">
        <v>371</v>
      </c>
      <c r="R20" s="220" t="s">
        <v>371</v>
      </c>
      <c r="S20" s="220" t="s">
        <v>371</v>
      </c>
      <c r="T20" s="230" t="s">
        <v>371</v>
      </c>
      <c r="U20" s="230" t="s">
        <v>371</v>
      </c>
      <c r="V20" s="230" t="s">
        <v>371</v>
      </c>
      <c r="W20" s="230" t="s">
        <v>371</v>
      </c>
      <c r="X20" s="226" t="s">
        <v>371</v>
      </c>
      <c r="Y20" s="226" t="s">
        <v>371</v>
      </c>
      <c r="Z20" s="226" t="s">
        <v>371</v>
      </c>
      <c r="AA20" s="226" t="s">
        <v>371</v>
      </c>
      <c r="AB20" s="225">
        <v>1.7100065065471035</v>
      </c>
      <c r="AC20" s="225">
        <v>1.7064807335762497</v>
      </c>
      <c r="AD20" s="231">
        <v>1.6971857182172425</v>
      </c>
      <c r="AE20" s="231">
        <v>1.6939375408853328</v>
      </c>
      <c r="AF20" s="231">
        <v>1.7079276697915196</v>
      </c>
      <c r="AG20" s="231">
        <v>1.7196358624819825</v>
      </c>
      <c r="AH20" s="231">
        <v>1.722121039299497</v>
      </c>
      <c r="AI20" s="232">
        <v>1.7255945011340494</v>
      </c>
      <c r="AJ20" s="232">
        <v>1.7235616428330371</v>
      </c>
      <c r="AK20" s="232">
        <v>1.7150000000000001</v>
      </c>
      <c r="AL20" s="232">
        <v>1.7058337273763104</v>
      </c>
      <c r="AM20" s="232">
        <v>1.6944650986686811</v>
      </c>
      <c r="AN20" s="232">
        <v>1.6880987437952466</v>
      </c>
      <c r="AO20" s="232">
        <v>1.681</v>
      </c>
      <c r="AP20" s="373" t="s">
        <v>432</v>
      </c>
      <c r="AQ20" s="373" t="s">
        <v>432</v>
      </c>
      <c r="AR20" s="373" t="s">
        <v>432</v>
      </c>
      <c r="AS20" s="373" t="s">
        <v>432</v>
      </c>
      <c r="AT20" s="373" t="s">
        <v>432</v>
      </c>
      <c r="AU20" s="373" t="s">
        <v>432</v>
      </c>
      <c r="AV20" s="374" t="s">
        <v>432</v>
      </c>
    </row>
    <row r="21" spans="1:48" s="189" customFormat="1" ht="17.399999999999999" thickBot="1" x14ac:dyDescent="0.45">
      <c r="A21" s="244" t="s">
        <v>24</v>
      </c>
      <c r="B21" s="235">
        <v>14767</v>
      </c>
      <c r="C21" s="235">
        <v>15888</v>
      </c>
      <c r="D21" s="235">
        <v>17698</v>
      </c>
      <c r="E21" s="235">
        <v>18799</v>
      </c>
      <c r="F21" s="235">
        <v>19044</v>
      </c>
      <c r="G21" s="235">
        <v>19912</v>
      </c>
      <c r="H21" s="235">
        <v>20708</v>
      </c>
      <c r="I21" s="235">
        <v>21376</v>
      </c>
      <c r="J21" s="235">
        <v>22339</v>
      </c>
      <c r="K21" s="235">
        <v>23495</v>
      </c>
      <c r="L21" s="235">
        <v>24668</v>
      </c>
      <c r="M21" s="235">
        <v>26034</v>
      </c>
      <c r="N21" s="235">
        <v>26823</v>
      </c>
      <c r="O21" s="236">
        <v>30155</v>
      </c>
      <c r="P21" s="236">
        <v>31392</v>
      </c>
      <c r="Q21" s="236">
        <v>31507</v>
      </c>
      <c r="R21" s="236">
        <v>31832</v>
      </c>
      <c r="S21" s="236">
        <v>33560</v>
      </c>
      <c r="T21" s="236">
        <v>33858.148979422309</v>
      </c>
      <c r="U21" s="236">
        <v>35177.403774436651</v>
      </c>
      <c r="V21" s="236">
        <v>35587</v>
      </c>
      <c r="W21" s="237">
        <f>+W15/W18</f>
        <v>39649.34202702155</v>
      </c>
      <c r="X21" s="237">
        <f>+X15/X18</f>
        <v>41576.896380221573</v>
      </c>
      <c r="Y21" s="237">
        <f>+Y15/Y18</f>
        <v>43800.557171946435</v>
      </c>
      <c r="Z21" s="237">
        <f>+Z15/Z18</f>
        <v>45535.469009066524</v>
      </c>
      <c r="AA21" s="237">
        <f>+AA15/AA19</f>
        <v>47177.323466389789</v>
      </c>
      <c r="AB21" s="237">
        <f t="shared" ref="AB21:AH21" si="1">+AB15/AB20</f>
        <v>49437.180890694835</v>
      </c>
      <c r="AC21" s="237">
        <f t="shared" si="1"/>
        <v>50804.456120967479</v>
      </c>
      <c r="AD21" s="237">
        <f t="shared" si="1"/>
        <v>53583.910363976327</v>
      </c>
      <c r="AE21" s="237">
        <f t="shared" si="1"/>
        <v>56188.537182682128</v>
      </c>
      <c r="AF21" s="237">
        <f t="shared" si="1"/>
        <v>58439.548470561189</v>
      </c>
      <c r="AG21" s="237">
        <f t="shared" si="1"/>
        <v>58885.510341390014</v>
      </c>
      <c r="AH21" s="237">
        <f t="shared" si="1"/>
        <v>59205.395694150371</v>
      </c>
      <c r="AI21" s="237">
        <f>+AI15/AI20</f>
        <v>59289.982584961719</v>
      </c>
      <c r="AJ21" s="237">
        <f>+AJ15/AJ20</f>
        <v>59657.943399555334</v>
      </c>
      <c r="AK21" s="237">
        <v>61306</v>
      </c>
      <c r="AL21" s="237">
        <v>62909.775891601537</v>
      </c>
      <c r="AM21" s="237">
        <v>66112.192708684801</v>
      </c>
      <c r="AN21" s="237">
        <v>68397.530091878623</v>
      </c>
      <c r="AO21" s="237">
        <v>72196</v>
      </c>
      <c r="AP21" s="375" t="s">
        <v>432</v>
      </c>
      <c r="AQ21" s="375" t="s">
        <v>432</v>
      </c>
      <c r="AR21" s="375" t="s">
        <v>432</v>
      </c>
      <c r="AS21" s="375" t="s">
        <v>432</v>
      </c>
      <c r="AT21" s="375" t="s">
        <v>432</v>
      </c>
      <c r="AU21" s="375" t="s">
        <v>432</v>
      </c>
      <c r="AV21" s="376" t="s">
        <v>432</v>
      </c>
    </row>
    <row r="22" spans="1:48" s="198" customFormat="1" ht="19.2" x14ac:dyDescent="0.45">
      <c r="A22" s="194" t="s">
        <v>31</v>
      </c>
      <c r="B22" s="195"/>
      <c r="C22" s="195"/>
      <c r="D22" s="195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7"/>
      <c r="Y22" s="197"/>
      <c r="Z22" s="197"/>
      <c r="AA22" s="197"/>
      <c r="AB22" s="197"/>
      <c r="AC22" s="387"/>
      <c r="AD22" s="387"/>
      <c r="AE22" s="387"/>
      <c r="AF22" s="387"/>
      <c r="AG22" s="387"/>
      <c r="AH22" s="387"/>
      <c r="AI22" s="387"/>
      <c r="AJ22" s="387"/>
      <c r="AK22" s="387"/>
      <c r="AL22" s="387"/>
      <c r="AM22" s="387"/>
      <c r="AN22" s="387"/>
      <c r="AO22" s="387"/>
      <c r="AP22" s="387"/>
      <c r="AQ22" s="387"/>
      <c r="AR22" s="461"/>
      <c r="AS22" s="461"/>
      <c r="AT22" s="461"/>
      <c r="AU22" s="461"/>
      <c r="AV22" s="388"/>
    </row>
    <row r="23" spans="1:48" s="205" customFormat="1" x14ac:dyDescent="0.4">
      <c r="A23" s="199" t="s">
        <v>20</v>
      </c>
      <c r="B23" s="200">
        <v>38294</v>
      </c>
      <c r="C23" s="200">
        <v>39018</v>
      </c>
      <c r="D23" s="200">
        <v>39278</v>
      </c>
      <c r="E23" s="200">
        <v>38610</v>
      </c>
      <c r="F23" s="200">
        <v>37587</v>
      </c>
      <c r="G23" s="200">
        <v>38501</v>
      </c>
      <c r="H23" s="200">
        <v>39466</v>
      </c>
      <c r="I23" s="200">
        <v>40044</v>
      </c>
      <c r="J23" s="200">
        <v>41127</v>
      </c>
      <c r="K23" s="200">
        <v>42016</v>
      </c>
      <c r="L23" s="200">
        <v>43010</v>
      </c>
      <c r="M23" s="200">
        <v>44756</v>
      </c>
      <c r="N23" s="200">
        <v>46546</v>
      </c>
      <c r="O23" s="201">
        <v>47763</v>
      </c>
      <c r="P23" s="201">
        <v>49364</v>
      </c>
      <c r="Q23" s="201">
        <v>50749</v>
      </c>
      <c r="R23" s="201">
        <v>51894</v>
      </c>
      <c r="S23" s="201">
        <v>52499</v>
      </c>
      <c r="T23" s="201">
        <v>53908.29</v>
      </c>
      <c r="U23" s="201">
        <v>54837.585000000006</v>
      </c>
      <c r="V23" s="201">
        <v>55606.94</v>
      </c>
      <c r="W23" s="201">
        <v>56585.302999999993</v>
      </c>
      <c r="X23" s="202">
        <v>57196.97</v>
      </c>
      <c r="Y23" s="202">
        <v>59159.67</v>
      </c>
      <c r="Z23" s="202">
        <v>59810.07</v>
      </c>
      <c r="AA23" s="202">
        <v>59639.67</v>
      </c>
      <c r="AB23" s="202">
        <v>60165.72</v>
      </c>
      <c r="AC23" s="202">
        <v>60649.19</v>
      </c>
      <c r="AD23" s="203">
        <v>61107.750000000007</v>
      </c>
      <c r="AE23" s="203">
        <v>61492.95</v>
      </c>
      <c r="AF23" s="203">
        <v>62042.409999999989</v>
      </c>
      <c r="AG23" s="203">
        <v>60871.16</v>
      </c>
      <c r="AH23" s="203">
        <v>61180.350000000013</v>
      </c>
      <c r="AI23" s="239">
        <v>60202.55</v>
      </c>
      <c r="AJ23" s="239">
        <v>60865.26</v>
      </c>
      <c r="AK23" s="239">
        <v>62345</v>
      </c>
      <c r="AL23" s="239">
        <v>64293.17</v>
      </c>
      <c r="AM23" s="239">
        <v>66352.509999999995</v>
      </c>
      <c r="AN23" s="239">
        <v>68477.02</v>
      </c>
      <c r="AO23" s="239">
        <v>70071.3</v>
      </c>
      <c r="AP23" s="239">
        <v>72073.039999999994</v>
      </c>
      <c r="AQ23" s="239">
        <v>72586.59</v>
      </c>
      <c r="AR23" s="239">
        <v>72395.950000000012</v>
      </c>
      <c r="AS23" s="239">
        <v>74141.2</v>
      </c>
      <c r="AT23" s="239">
        <v>73965.649999999994</v>
      </c>
      <c r="AU23" s="239">
        <v>73639.64</v>
      </c>
      <c r="AV23" s="240">
        <f>+table3ws1!J25</f>
        <v>72737.16</v>
      </c>
    </row>
    <row r="24" spans="1:48" s="189" customFormat="1" x14ac:dyDescent="0.4">
      <c r="A24" s="245" t="s">
        <v>370</v>
      </c>
      <c r="B24" s="208">
        <v>17523</v>
      </c>
      <c r="C24" s="208">
        <v>18996</v>
      </c>
      <c r="D24" s="208">
        <v>21453</v>
      </c>
      <c r="E24" s="208">
        <v>23149</v>
      </c>
      <c r="F24" s="208">
        <v>23682</v>
      </c>
      <c r="G24" s="208">
        <v>24614</v>
      </c>
      <c r="H24" s="208">
        <v>25702</v>
      </c>
      <c r="I24" s="208">
        <v>26417</v>
      </c>
      <c r="J24" s="208">
        <v>27499</v>
      </c>
      <c r="K24" s="208">
        <v>28423</v>
      </c>
      <c r="L24" s="208">
        <v>29407</v>
      </c>
      <c r="M24" s="208">
        <v>30670</v>
      </c>
      <c r="N24" s="208">
        <v>33337</v>
      </c>
      <c r="O24" s="98">
        <v>35100</v>
      </c>
      <c r="P24" s="98">
        <v>36050</v>
      </c>
      <c r="Q24" s="98">
        <v>36158</v>
      </c>
      <c r="R24" s="98">
        <v>36460</v>
      </c>
      <c r="S24" s="98">
        <v>38168</v>
      </c>
      <c r="T24" s="98">
        <v>38111.928974374823</v>
      </c>
      <c r="U24" s="98">
        <v>39059.197719957963</v>
      </c>
      <c r="V24" s="98">
        <v>39007</v>
      </c>
      <c r="W24" s="98">
        <v>41393.358042105145</v>
      </c>
      <c r="X24" s="209">
        <v>42507</v>
      </c>
      <c r="Y24" s="210">
        <v>43866.481459582203</v>
      </c>
      <c r="Z24" s="210">
        <v>45370.656589935439</v>
      </c>
      <c r="AA24" s="210">
        <v>45822.950118436282</v>
      </c>
      <c r="AB24" s="210">
        <v>46114.270137879183</v>
      </c>
      <c r="AC24" s="210">
        <v>46708.071056678578</v>
      </c>
      <c r="AD24" s="211">
        <v>48276.728790538014</v>
      </c>
      <c r="AE24" s="211">
        <v>50324.72843716231</v>
      </c>
      <c r="AF24" s="211">
        <v>53023.93263108252</v>
      </c>
      <c r="AG24" s="211">
        <v>53394.784475932443</v>
      </c>
      <c r="AH24" s="211">
        <v>53293.302458060462</v>
      </c>
      <c r="AI24" s="210">
        <v>52573.644640467894</v>
      </c>
      <c r="AJ24" s="210">
        <v>52559.44190265514</v>
      </c>
      <c r="AK24" s="210">
        <v>53290</v>
      </c>
      <c r="AL24" s="210">
        <v>52858.224696340221</v>
      </c>
      <c r="AM24" s="210">
        <v>54089.365531462186</v>
      </c>
      <c r="AN24" s="210">
        <v>54858.643663962015</v>
      </c>
      <c r="AO24" s="210">
        <v>56096</v>
      </c>
      <c r="AP24" s="210">
        <v>73710.123967020132</v>
      </c>
      <c r="AQ24" s="210">
        <v>77348.981818955814</v>
      </c>
      <c r="AR24" s="210">
        <v>79963.519224763251</v>
      </c>
      <c r="AS24" s="210">
        <v>82187</v>
      </c>
      <c r="AT24" s="210">
        <v>87491.787662381103</v>
      </c>
      <c r="AU24" s="210">
        <v>92356.361921242453</v>
      </c>
      <c r="AV24" s="212">
        <f>+table3ws1!J26</f>
        <v>97101.667384594039</v>
      </c>
    </row>
    <row r="25" spans="1:48" s="89" customFormat="1" ht="16.5" hidden="1" customHeight="1" x14ac:dyDescent="0.4">
      <c r="A25" s="213" t="s">
        <v>21</v>
      </c>
      <c r="B25" s="214">
        <v>1.544</v>
      </c>
      <c r="C25" s="214">
        <v>1.5569999999999999</v>
      </c>
      <c r="D25" s="214">
        <v>1.575</v>
      </c>
      <c r="E25" s="214">
        <v>1.6040000000000001</v>
      </c>
      <c r="F25" s="214">
        <v>1.617</v>
      </c>
      <c r="G25" s="214">
        <v>1.621</v>
      </c>
      <c r="H25" s="214">
        <v>1.6259999999999999</v>
      </c>
      <c r="I25" s="214">
        <v>1.637</v>
      </c>
      <c r="J25" s="214">
        <v>1.6439999999999999</v>
      </c>
      <c r="K25" s="214">
        <v>1.6519999999999999</v>
      </c>
      <c r="L25" s="214">
        <v>1.6639999999999999</v>
      </c>
      <c r="M25" s="214">
        <v>1.665</v>
      </c>
      <c r="N25" s="214">
        <v>1.677</v>
      </c>
      <c r="O25" s="215" t="s">
        <v>371</v>
      </c>
      <c r="P25" s="215" t="s">
        <v>371</v>
      </c>
      <c r="Q25" s="215" t="s">
        <v>371</v>
      </c>
      <c r="R25" s="215" t="s">
        <v>371</v>
      </c>
      <c r="S25" s="215" t="s">
        <v>371</v>
      </c>
      <c r="T25" s="215" t="s">
        <v>371</v>
      </c>
      <c r="U25" s="215" t="s">
        <v>371</v>
      </c>
      <c r="V25" s="215" t="s">
        <v>371</v>
      </c>
      <c r="W25" s="215" t="s">
        <v>371</v>
      </c>
      <c r="X25" s="215" t="s">
        <v>371</v>
      </c>
      <c r="Y25" s="215" t="s">
        <v>371</v>
      </c>
      <c r="Z25" s="215" t="s">
        <v>371</v>
      </c>
      <c r="AA25" s="215" t="s">
        <v>371</v>
      </c>
      <c r="AB25" s="215" t="s">
        <v>371</v>
      </c>
      <c r="AC25" s="215" t="s">
        <v>371</v>
      </c>
      <c r="AD25" s="216" t="s">
        <v>371</v>
      </c>
      <c r="AE25" s="216" t="s">
        <v>371</v>
      </c>
      <c r="AF25" s="216" t="s">
        <v>371</v>
      </c>
      <c r="AG25" s="216" t="s">
        <v>371</v>
      </c>
      <c r="AH25" s="216" t="s">
        <v>371</v>
      </c>
      <c r="AI25" s="217" t="s">
        <v>371</v>
      </c>
      <c r="AJ25" s="217" t="s">
        <v>371</v>
      </c>
      <c r="AK25" s="217" t="s">
        <v>371</v>
      </c>
      <c r="AL25" s="217" t="s">
        <v>371</v>
      </c>
      <c r="AM25" s="217" t="s">
        <v>371</v>
      </c>
      <c r="AN25" s="217" t="s">
        <v>371</v>
      </c>
      <c r="AO25" s="217" t="s">
        <v>371</v>
      </c>
      <c r="AP25" s="217" t="s">
        <v>371</v>
      </c>
      <c r="AQ25" s="217" t="s">
        <v>371</v>
      </c>
      <c r="AR25" s="217" t="s">
        <v>371</v>
      </c>
      <c r="AS25" s="217" t="s">
        <v>371</v>
      </c>
      <c r="AT25" s="217" t="s">
        <v>371</v>
      </c>
      <c r="AU25" s="217" t="s">
        <v>371</v>
      </c>
      <c r="AV25" s="218" t="s">
        <v>371</v>
      </c>
    </row>
    <row r="26" spans="1:48" s="243" customFormat="1" ht="16.5" hidden="1" customHeight="1" x14ac:dyDescent="0.4">
      <c r="A26" s="241" t="s">
        <v>23</v>
      </c>
      <c r="B26" s="242" t="s">
        <v>371</v>
      </c>
      <c r="C26" s="242" t="s">
        <v>371</v>
      </c>
      <c r="D26" s="242" t="s">
        <v>371</v>
      </c>
      <c r="E26" s="242" t="s">
        <v>371</v>
      </c>
      <c r="F26" s="242" t="s">
        <v>371</v>
      </c>
      <c r="G26" s="242" t="s">
        <v>371</v>
      </c>
      <c r="H26" s="242" t="s">
        <v>371</v>
      </c>
      <c r="I26" s="242" t="s">
        <v>371</v>
      </c>
      <c r="J26" s="242" t="s">
        <v>371</v>
      </c>
      <c r="K26" s="242" t="s">
        <v>371</v>
      </c>
      <c r="L26" s="242" t="s">
        <v>371</v>
      </c>
      <c r="M26" s="242" t="s">
        <v>371</v>
      </c>
      <c r="N26" s="242">
        <v>1.659</v>
      </c>
      <c r="O26" s="220">
        <v>1.6779999999999999</v>
      </c>
      <c r="P26" s="220">
        <v>1.67</v>
      </c>
      <c r="Q26" s="220">
        <v>1.677</v>
      </c>
      <c r="R26" s="220">
        <v>1.6839999999999999</v>
      </c>
      <c r="S26" s="220">
        <v>1.696</v>
      </c>
      <c r="T26" s="220">
        <v>1.6946252892532856</v>
      </c>
      <c r="U26" s="220">
        <v>1.6940514012928385</v>
      </c>
      <c r="V26" s="220">
        <v>1.6910000000000001</v>
      </c>
      <c r="W26" s="230" t="s">
        <v>371</v>
      </c>
      <c r="X26" s="230" t="s">
        <v>371</v>
      </c>
      <c r="Y26" s="226" t="s">
        <v>371</v>
      </c>
      <c r="Z26" s="226" t="s">
        <v>371</v>
      </c>
      <c r="AA26" s="226" t="s">
        <v>371</v>
      </c>
      <c r="AB26" s="226" t="s">
        <v>371</v>
      </c>
      <c r="AC26" s="226" t="s">
        <v>371</v>
      </c>
      <c r="AD26" s="227" t="s">
        <v>371</v>
      </c>
      <c r="AE26" s="227" t="s">
        <v>371</v>
      </c>
      <c r="AF26" s="227" t="s">
        <v>371</v>
      </c>
      <c r="AG26" s="227" t="s">
        <v>371</v>
      </c>
      <c r="AH26" s="227" t="s">
        <v>371</v>
      </c>
      <c r="AI26" s="228" t="s">
        <v>371</v>
      </c>
      <c r="AJ26" s="228" t="s">
        <v>371</v>
      </c>
      <c r="AK26" s="228" t="s">
        <v>371</v>
      </c>
      <c r="AL26" s="228" t="s">
        <v>371</v>
      </c>
      <c r="AM26" s="228" t="s">
        <v>371</v>
      </c>
      <c r="AN26" s="228" t="s">
        <v>371</v>
      </c>
      <c r="AO26" s="228" t="s">
        <v>371</v>
      </c>
      <c r="AP26" s="228" t="s">
        <v>371</v>
      </c>
      <c r="AQ26" s="228" t="s">
        <v>371</v>
      </c>
      <c r="AR26" s="228" t="s">
        <v>371</v>
      </c>
      <c r="AS26" s="228" t="s">
        <v>371</v>
      </c>
      <c r="AT26" s="228" t="s">
        <v>371</v>
      </c>
      <c r="AU26" s="228" t="s">
        <v>371</v>
      </c>
      <c r="AV26" s="229" t="s">
        <v>371</v>
      </c>
    </row>
    <row r="27" spans="1:48" s="243" customFormat="1" ht="16.5" hidden="1" customHeight="1" x14ac:dyDescent="0.4">
      <c r="A27" s="241" t="s">
        <v>177</v>
      </c>
      <c r="B27" s="242" t="s">
        <v>371</v>
      </c>
      <c r="C27" s="242" t="s">
        <v>371</v>
      </c>
      <c r="D27" s="242" t="s">
        <v>371</v>
      </c>
      <c r="E27" s="242" t="s">
        <v>371</v>
      </c>
      <c r="F27" s="242" t="s">
        <v>371</v>
      </c>
      <c r="G27" s="242" t="s">
        <v>371</v>
      </c>
      <c r="H27" s="242" t="s">
        <v>371</v>
      </c>
      <c r="I27" s="242" t="s">
        <v>371</v>
      </c>
      <c r="J27" s="242" t="s">
        <v>371</v>
      </c>
      <c r="K27" s="242" t="s">
        <v>371</v>
      </c>
      <c r="L27" s="242" t="s">
        <v>371</v>
      </c>
      <c r="M27" s="242" t="s">
        <v>371</v>
      </c>
      <c r="N27" s="242" t="s">
        <v>371</v>
      </c>
      <c r="O27" s="220" t="s">
        <v>371</v>
      </c>
      <c r="P27" s="220" t="s">
        <v>371</v>
      </c>
      <c r="Q27" s="220" t="s">
        <v>371</v>
      </c>
      <c r="R27" s="220" t="s">
        <v>371</v>
      </c>
      <c r="S27" s="220" t="s">
        <v>371</v>
      </c>
      <c r="T27" s="230" t="s">
        <v>371</v>
      </c>
      <c r="U27" s="230" t="s">
        <v>371</v>
      </c>
      <c r="V27" s="230" t="s">
        <v>371</v>
      </c>
      <c r="W27" s="220">
        <v>1.601188454874906</v>
      </c>
      <c r="X27" s="225">
        <v>1.5969500000000001</v>
      </c>
      <c r="Y27" s="225">
        <v>1.5898824938340597</v>
      </c>
      <c r="Z27" s="225">
        <v>1.5964150902715883</v>
      </c>
      <c r="AA27" s="226" t="s">
        <v>371</v>
      </c>
      <c r="AB27" s="226" t="s">
        <v>371</v>
      </c>
      <c r="AC27" s="226" t="s">
        <v>371</v>
      </c>
      <c r="AD27" s="227" t="s">
        <v>371</v>
      </c>
      <c r="AE27" s="227" t="s">
        <v>371</v>
      </c>
      <c r="AF27" s="227" t="s">
        <v>371</v>
      </c>
      <c r="AG27" s="227" t="s">
        <v>371</v>
      </c>
      <c r="AH27" s="227" t="s">
        <v>371</v>
      </c>
      <c r="AI27" s="228" t="s">
        <v>371</v>
      </c>
      <c r="AJ27" s="228" t="s">
        <v>371</v>
      </c>
      <c r="AK27" s="228" t="s">
        <v>371</v>
      </c>
      <c r="AL27" s="228" t="s">
        <v>371</v>
      </c>
      <c r="AM27" s="228" t="s">
        <v>371</v>
      </c>
      <c r="AN27" s="228" t="s">
        <v>371</v>
      </c>
      <c r="AO27" s="228" t="s">
        <v>371</v>
      </c>
      <c r="AP27" s="228" t="s">
        <v>371</v>
      </c>
      <c r="AQ27" s="228" t="s">
        <v>371</v>
      </c>
      <c r="AR27" s="228" t="s">
        <v>371</v>
      </c>
      <c r="AS27" s="228" t="s">
        <v>371</v>
      </c>
      <c r="AT27" s="228" t="s">
        <v>371</v>
      </c>
      <c r="AU27" s="228" t="s">
        <v>371</v>
      </c>
      <c r="AV27" s="229" t="s">
        <v>371</v>
      </c>
    </row>
    <row r="28" spans="1:48" s="243" customFormat="1" ht="16.5" hidden="1" customHeight="1" x14ac:dyDescent="0.4">
      <c r="A28" s="241" t="s">
        <v>278</v>
      </c>
      <c r="B28" s="242" t="s">
        <v>371</v>
      </c>
      <c r="C28" s="242" t="s">
        <v>371</v>
      </c>
      <c r="D28" s="242" t="s">
        <v>371</v>
      </c>
      <c r="E28" s="242" t="s">
        <v>371</v>
      </c>
      <c r="F28" s="242" t="s">
        <v>371</v>
      </c>
      <c r="G28" s="242" t="s">
        <v>371</v>
      </c>
      <c r="H28" s="242" t="s">
        <v>371</v>
      </c>
      <c r="I28" s="242" t="s">
        <v>371</v>
      </c>
      <c r="J28" s="242" t="s">
        <v>371</v>
      </c>
      <c r="K28" s="242" t="s">
        <v>371</v>
      </c>
      <c r="L28" s="242" t="s">
        <v>371</v>
      </c>
      <c r="M28" s="242" t="s">
        <v>371</v>
      </c>
      <c r="N28" s="242" t="s">
        <v>371</v>
      </c>
      <c r="O28" s="220" t="s">
        <v>371</v>
      </c>
      <c r="P28" s="220" t="s">
        <v>371</v>
      </c>
      <c r="Q28" s="220" t="s">
        <v>371</v>
      </c>
      <c r="R28" s="220" t="s">
        <v>371</v>
      </c>
      <c r="S28" s="220" t="s">
        <v>371</v>
      </c>
      <c r="T28" s="230" t="s">
        <v>371</v>
      </c>
      <c r="U28" s="230" t="s">
        <v>371</v>
      </c>
      <c r="V28" s="230" t="s">
        <v>371</v>
      </c>
      <c r="W28" s="230" t="s">
        <v>371</v>
      </c>
      <c r="X28" s="226" t="s">
        <v>371</v>
      </c>
      <c r="Y28" s="226" t="s">
        <v>371</v>
      </c>
      <c r="Z28" s="226" t="s">
        <v>371</v>
      </c>
      <c r="AA28" s="225">
        <v>1.5644969951141583</v>
      </c>
      <c r="AB28" s="226" t="s">
        <v>371</v>
      </c>
      <c r="AC28" s="226" t="s">
        <v>371</v>
      </c>
      <c r="AD28" s="227" t="s">
        <v>371</v>
      </c>
      <c r="AE28" s="227" t="s">
        <v>371</v>
      </c>
      <c r="AF28" s="227" t="s">
        <v>371</v>
      </c>
      <c r="AG28" s="227" t="s">
        <v>371</v>
      </c>
      <c r="AH28" s="227" t="s">
        <v>371</v>
      </c>
      <c r="AI28" s="228" t="s">
        <v>371</v>
      </c>
      <c r="AJ28" s="228" t="s">
        <v>371</v>
      </c>
      <c r="AK28" s="228" t="s">
        <v>371</v>
      </c>
      <c r="AL28" s="228" t="s">
        <v>371</v>
      </c>
      <c r="AM28" s="228" t="s">
        <v>371</v>
      </c>
      <c r="AN28" s="228" t="s">
        <v>371</v>
      </c>
      <c r="AO28" s="228" t="s">
        <v>371</v>
      </c>
      <c r="AP28" s="228" t="s">
        <v>371</v>
      </c>
      <c r="AQ28" s="228" t="s">
        <v>371</v>
      </c>
      <c r="AR28" s="228" t="s">
        <v>371</v>
      </c>
      <c r="AS28" s="228" t="s">
        <v>371</v>
      </c>
      <c r="AT28" s="228" t="s">
        <v>371</v>
      </c>
      <c r="AU28" s="228" t="s">
        <v>371</v>
      </c>
      <c r="AV28" s="229" t="s">
        <v>371</v>
      </c>
    </row>
    <row r="29" spans="1:48" s="243" customFormat="1" x14ac:dyDescent="0.4">
      <c r="A29" s="241" t="s">
        <v>433</v>
      </c>
      <c r="B29" s="242" t="s">
        <v>371</v>
      </c>
      <c r="C29" s="242" t="s">
        <v>371</v>
      </c>
      <c r="D29" s="242" t="s">
        <v>371</v>
      </c>
      <c r="E29" s="242" t="s">
        <v>371</v>
      </c>
      <c r="F29" s="242" t="s">
        <v>371</v>
      </c>
      <c r="G29" s="242" t="s">
        <v>371</v>
      </c>
      <c r="H29" s="242" t="s">
        <v>371</v>
      </c>
      <c r="I29" s="242" t="s">
        <v>371</v>
      </c>
      <c r="J29" s="242" t="s">
        <v>371</v>
      </c>
      <c r="K29" s="242" t="s">
        <v>371</v>
      </c>
      <c r="L29" s="242" t="s">
        <v>371</v>
      </c>
      <c r="M29" s="242" t="s">
        <v>371</v>
      </c>
      <c r="N29" s="242" t="s">
        <v>371</v>
      </c>
      <c r="O29" s="220" t="s">
        <v>371</v>
      </c>
      <c r="P29" s="220" t="s">
        <v>371</v>
      </c>
      <c r="Q29" s="220" t="s">
        <v>371</v>
      </c>
      <c r="R29" s="220" t="s">
        <v>371</v>
      </c>
      <c r="S29" s="220" t="s">
        <v>371</v>
      </c>
      <c r="T29" s="230" t="s">
        <v>371</v>
      </c>
      <c r="U29" s="230" t="s">
        <v>371</v>
      </c>
      <c r="V29" s="230" t="s">
        <v>371</v>
      </c>
      <c r="W29" s="230" t="s">
        <v>371</v>
      </c>
      <c r="X29" s="226" t="s">
        <v>371</v>
      </c>
      <c r="Y29" s="226" t="s">
        <v>371</v>
      </c>
      <c r="Z29" s="226" t="s">
        <v>371</v>
      </c>
      <c r="AA29" s="226" t="s">
        <v>371</v>
      </c>
      <c r="AB29" s="225">
        <v>1.5282158641299395</v>
      </c>
      <c r="AC29" s="225">
        <v>1.5296649678981702</v>
      </c>
      <c r="AD29" s="231">
        <v>1.5307021253114379</v>
      </c>
      <c r="AE29" s="231">
        <v>1.5310766338141202</v>
      </c>
      <c r="AF29" s="231">
        <v>1.5369692514797544</v>
      </c>
      <c r="AG29" s="231">
        <v>1.5561132300780858</v>
      </c>
      <c r="AH29" s="231">
        <v>1.5614092913607061</v>
      </c>
      <c r="AI29" s="232">
        <v>1.5697229871209775</v>
      </c>
      <c r="AJ29" s="232">
        <v>1.5693585339798102</v>
      </c>
      <c r="AK29" s="232">
        <v>1.5609999999999999</v>
      </c>
      <c r="AL29" s="232">
        <v>1.5498803953219293</v>
      </c>
      <c r="AM29" s="232">
        <v>1.5400744307577814</v>
      </c>
      <c r="AN29" s="232">
        <v>1.5338115807872477</v>
      </c>
      <c r="AO29" s="232">
        <v>1.5309999999999999</v>
      </c>
      <c r="AP29" s="373" t="s">
        <v>432</v>
      </c>
      <c r="AQ29" s="373" t="s">
        <v>432</v>
      </c>
      <c r="AR29" s="373" t="s">
        <v>432</v>
      </c>
      <c r="AS29" s="373" t="s">
        <v>432</v>
      </c>
      <c r="AT29" s="373" t="s">
        <v>432</v>
      </c>
      <c r="AU29" s="373" t="s">
        <v>432</v>
      </c>
      <c r="AV29" s="374" t="s">
        <v>432</v>
      </c>
    </row>
    <row r="30" spans="1:48" s="189" customFormat="1" x14ac:dyDescent="0.4">
      <c r="A30" s="245" t="s">
        <v>24</v>
      </c>
      <c r="B30" s="208">
        <v>11351</v>
      </c>
      <c r="C30" s="208">
        <v>12198</v>
      </c>
      <c r="D30" s="208">
        <v>13619</v>
      </c>
      <c r="E30" s="208">
        <v>14430</v>
      </c>
      <c r="F30" s="208">
        <v>14642</v>
      </c>
      <c r="G30" s="208">
        <v>15184</v>
      </c>
      <c r="H30" s="208">
        <v>15807</v>
      </c>
      <c r="I30" s="208">
        <v>16137</v>
      </c>
      <c r="J30" s="208">
        <v>16727</v>
      </c>
      <c r="K30" s="208">
        <v>17205</v>
      </c>
      <c r="L30" s="208">
        <v>17677</v>
      </c>
      <c r="M30" s="208">
        <v>18416</v>
      </c>
      <c r="N30" s="208">
        <v>18945</v>
      </c>
      <c r="O30" s="98">
        <v>20916</v>
      </c>
      <c r="P30" s="98">
        <v>21590</v>
      </c>
      <c r="Q30" s="98">
        <v>21564</v>
      </c>
      <c r="R30" s="98">
        <v>21655</v>
      </c>
      <c r="S30" s="98">
        <v>22503</v>
      </c>
      <c r="T30" s="98">
        <v>22489.885649687396</v>
      </c>
      <c r="U30" s="98">
        <v>23056.678026504629</v>
      </c>
      <c r="V30" s="98">
        <v>23064</v>
      </c>
      <c r="W30" s="211">
        <f>+W24/W27</f>
        <v>25851.646579189848</v>
      </c>
      <c r="X30" s="211">
        <f>+X24/X27</f>
        <v>26617.614828266382</v>
      </c>
      <c r="Y30" s="210">
        <f>+Y24/Y27</f>
        <v>27591.021116155938</v>
      </c>
      <c r="Z30" s="210">
        <f>+Z24/Z27</f>
        <v>28420.338085263782</v>
      </c>
      <c r="AA30" s="210">
        <f>+AA24/AA28</f>
        <v>29289.254157431391</v>
      </c>
      <c r="AB30" s="210">
        <f t="shared" ref="AB30:AH30" si="2">+AB24/AB29</f>
        <v>30175.233237834145</v>
      </c>
      <c r="AC30" s="210">
        <f t="shared" si="2"/>
        <v>30534.837390476172</v>
      </c>
      <c r="AD30" s="210">
        <f t="shared" si="2"/>
        <v>31538.944117370709</v>
      </c>
      <c r="AE30" s="210">
        <f t="shared" si="2"/>
        <v>32868.850144879143</v>
      </c>
      <c r="AF30" s="210">
        <f t="shared" si="2"/>
        <v>34499.019794984473</v>
      </c>
      <c r="AG30" s="210">
        <f t="shared" si="2"/>
        <v>34312.917237554168</v>
      </c>
      <c r="AH30" s="210">
        <f t="shared" si="2"/>
        <v>34131.539214562676</v>
      </c>
      <c r="AI30" s="210">
        <f>+AI24/AI29</f>
        <v>33492.307287219512</v>
      </c>
      <c r="AJ30" s="210">
        <f>+AJ24/AJ29</f>
        <v>33491.03519981962</v>
      </c>
      <c r="AK30" s="210">
        <v>34136</v>
      </c>
      <c r="AL30" s="210">
        <v>34104.712115776463</v>
      </c>
      <c r="AM30" s="210">
        <v>35121.267161644872</v>
      </c>
      <c r="AN30" s="210">
        <v>35766.22079995324</v>
      </c>
      <c r="AO30" s="210">
        <v>36631</v>
      </c>
      <c r="AP30" s="377" t="s">
        <v>432</v>
      </c>
      <c r="AQ30" s="377" t="s">
        <v>432</v>
      </c>
      <c r="AR30" s="377" t="s">
        <v>432</v>
      </c>
      <c r="AS30" s="377" t="s">
        <v>432</v>
      </c>
      <c r="AT30" s="377" t="s">
        <v>432</v>
      </c>
      <c r="AU30" s="377" t="s">
        <v>432</v>
      </c>
      <c r="AV30" s="378" t="s">
        <v>432</v>
      </c>
    </row>
    <row r="31" spans="1:48" s="189" customFormat="1" ht="17.399999999999999" thickBot="1" x14ac:dyDescent="0.45">
      <c r="A31" s="244" t="s">
        <v>168</v>
      </c>
      <c r="B31" s="235" t="s">
        <v>371</v>
      </c>
      <c r="C31" s="235" t="s">
        <v>371</v>
      </c>
      <c r="D31" s="235" t="s">
        <v>371</v>
      </c>
      <c r="E31" s="235" t="s">
        <v>371</v>
      </c>
      <c r="F31" s="235" t="s">
        <v>371</v>
      </c>
      <c r="G31" s="235" t="s">
        <v>371</v>
      </c>
      <c r="H31" s="235" t="s">
        <v>371</v>
      </c>
      <c r="I31" s="235" t="s">
        <v>371</v>
      </c>
      <c r="J31" s="235" t="s">
        <v>371</v>
      </c>
      <c r="K31" s="235">
        <v>1469</v>
      </c>
      <c r="L31" s="235">
        <v>1771</v>
      </c>
      <c r="M31" s="235">
        <v>2139</v>
      </c>
      <c r="N31" s="235">
        <v>2516</v>
      </c>
      <c r="O31" s="236">
        <v>2665</v>
      </c>
      <c r="P31" s="236">
        <v>2845</v>
      </c>
      <c r="Q31" s="236">
        <v>2937</v>
      </c>
      <c r="R31" s="236">
        <v>2557</v>
      </c>
      <c r="S31" s="236">
        <v>2614</v>
      </c>
      <c r="T31" s="236">
        <v>2741</v>
      </c>
      <c r="U31" s="236">
        <v>3090</v>
      </c>
      <c r="V31" s="236">
        <v>3072</v>
      </c>
      <c r="W31" s="236">
        <v>3236.8870234732158</v>
      </c>
      <c r="X31" s="246">
        <v>3529</v>
      </c>
      <c r="Y31" s="210">
        <v>3670.6312425339765</v>
      </c>
      <c r="Z31" s="210">
        <v>4190.9664710307152</v>
      </c>
      <c r="AA31" s="210">
        <v>4593.4914797482961</v>
      </c>
      <c r="AB31" s="210">
        <v>4913.1068987456647</v>
      </c>
      <c r="AC31" s="210">
        <v>5400.5493065942019</v>
      </c>
      <c r="AD31" s="211">
        <v>5875.7362036730192</v>
      </c>
      <c r="AE31" s="211">
        <v>6625.8944480627461</v>
      </c>
      <c r="AF31" s="211">
        <v>7733.56906993136</v>
      </c>
      <c r="AG31" s="211">
        <v>8219.0945925788164</v>
      </c>
      <c r="AH31" s="211">
        <v>8824.1337128669566</v>
      </c>
      <c r="AI31" s="210">
        <v>9438.0404152315805</v>
      </c>
      <c r="AJ31" s="210">
        <v>9794.3525584216677</v>
      </c>
      <c r="AK31" s="210">
        <v>10153</v>
      </c>
      <c r="AL31" s="210">
        <v>10926.112462645722</v>
      </c>
      <c r="AM31" s="210">
        <v>12118.368664576517</v>
      </c>
      <c r="AN31" s="210">
        <v>14088.545427356505</v>
      </c>
      <c r="AO31" s="210">
        <v>16497</v>
      </c>
      <c r="AP31" s="210">
        <v>8640.7800891984025</v>
      </c>
      <c r="AQ31" s="210">
        <v>8362.9379889591182</v>
      </c>
      <c r="AR31" s="210">
        <v>8659.3159562102555</v>
      </c>
      <c r="AS31" s="210">
        <v>8169</v>
      </c>
      <c r="AT31" s="210">
        <v>9844.5464076905973</v>
      </c>
      <c r="AU31" s="210">
        <v>10064.109954910155</v>
      </c>
      <c r="AV31" s="212">
        <f>table3ws1!$J$27</f>
        <v>10491.753568602348</v>
      </c>
    </row>
    <row r="32" spans="1:48" s="198" customFormat="1" ht="19.2" x14ac:dyDescent="0.45">
      <c r="A32" s="194" t="s">
        <v>417</v>
      </c>
      <c r="B32" s="195"/>
      <c r="C32" s="195"/>
      <c r="D32" s="195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7"/>
      <c r="Y32" s="197"/>
      <c r="Z32" s="197"/>
      <c r="AA32" s="197"/>
      <c r="AB32" s="197"/>
      <c r="AC32" s="387"/>
      <c r="AD32" s="387"/>
      <c r="AE32" s="387"/>
      <c r="AF32" s="387"/>
      <c r="AG32" s="387"/>
      <c r="AH32" s="387"/>
      <c r="AI32" s="387"/>
      <c r="AJ32" s="387"/>
      <c r="AK32" s="387"/>
      <c r="AL32" s="387"/>
      <c r="AM32" s="387"/>
      <c r="AN32" s="387"/>
      <c r="AO32" s="387"/>
      <c r="AP32" s="387"/>
      <c r="AQ32" s="387"/>
      <c r="AR32" s="461"/>
      <c r="AS32" s="461"/>
      <c r="AT32" s="461"/>
      <c r="AU32" s="461"/>
      <c r="AV32" s="388"/>
    </row>
    <row r="33" spans="1:48" s="205" customFormat="1" x14ac:dyDescent="0.4">
      <c r="A33" s="199" t="s">
        <v>20</v>
      </c>
      <c r="B33" s="200">
        <v>20147</v>
      </c>
      <c r="C33" s="200">
        <v>21013</v>
      </c>
      <c r="D33" s="200">
        <v>21402</v>
      </c>
      <c r="E33" s="200">
        <v>19520</v>
      </c>
      <c r="F33" s="200">
        <v>18963</v>
      </c>
      <c r="G33" s="200">
        <v>19690</v>
      </c>
      <c r="H33" s="200">
        <v>20465</v>
      </c>
      <c r="I33" s="200">
        <v>20959</v>
      </c>
      <c r="J33" s="200">
        <v>21590</v>
      </c>
      <c r="K33" s="200">
        <v>22430</v>
      </c>
      <c r="L33" s="200">
        <v>23488</v>
      </c>
      <c r="M33" s="200">
        <v>24283</v>
      </c>
      <c r="N33" s="200">
        <v>25791</v>
      </c>
      <c r="O33" s="201">
        <v>26681</v>
      </c>
      <c r="P33" s="201">
        <v>28250</v>
      </c>
      <c r="Q33" s="201">
        <v>29399</v>
      </c>
      <c r="R33" s="201">
        <v>30486</v>
      </c>
      <c r="S33" s="201">
        <v>30712.83</v>
      </c>
      <c r="T33" s="201">
        <v>31757.43</v>
      </c>
      <c r="U33" s="201">
        <v>32678.369000000002</v>
      </c>
      <c r="V33" s="201">
        <v>33118.71</v>
      </c>
      <c r="W33" s="201">
        <v>34195.905999999995</v>
      </c>
      <c r="X33" s="202">
        <v>34765.300000000003</v>
      </c>
      <c r="Y33" s="202">
        <v>35638.53</v>
      </c>
      <c r="Z33" s="202">
        <v>36157.339999999997</v>
      </c>
      <c r="AA33" s="202">
        <v>36041.69</v>
      </c>
      <c r="AB33" s="202">
        <v>36602.04</v>
      </c>
      <c r="AC33" s="202">
        <v>36748.449999999997</v>
      </c>
      <c r="AD33" s="203">
        <v>36882.46</v>
      </c>
      <c r="AE33" s="203">
        <v>37306.759999999995</v>
      </c>
      <c r="AF33" s="203">
        <v>37516.18</v>
      </c>
      <c r="AG33" s="203">
        <v>36905.129999999997</v>
      </c>
      <c r="AH33" s="203">
        <v>37110.009999999995</v>
      </c>
      <c r="AI33" s="239">
        <v>36199.800000000003</v>
      </c>
      <c r="AJ33" s="239">
        <v>36450.080000000002</v>
      </c>
      <c r="AK33" s="239">
        <v>37273.800000000003</v>
      </c>
      <c r="AL33" s="239">
        <v>38598.15</v>
      </c>
      <c r="AM33" s="239">
        <v>39845.089999999997</v>
      </c>
      <c r="AN33" s="239">
        <v>41509.660000000003</v>
      </c>
      <c r="AO33" s="239">
        <v>42510</v>
      </c>
      <c r="AP33" s="239">
        <v>44335.48</v>
      </c>
      <c r="AQ33" s="239">
        <v>44743.090000000004</v>
      </c>
      <c r="AR33" s="239">
        <v>40987.369999999995</v>
      </c>
      <c r="AS33" s="239">
        <v>44038.9</v>
      </c>
      <c r="AT33" s="239">
        <v>45385.32</v>
      </c>
      <c r="AU33" s="239">
        <v>46201.18</v>
      </c>
      <c r="AV33" s="240">
        <f>+table3ws1!D48</f>
        <v>46627.199999999997</v>
      </c>
    </row>
    <row r="34" spans="1:48" s="189" customFormat="1" ht="17.399999999999999" thickBot="1" x14ac:dyDescent="0.45">
      <c r="A34" s="245" t="s">
        <v>370</v>
      </c>
      <c r="B34" s="208">
        <v>11807</v>
      </c>
      <c r="C34" s="208">
        <v>12732</v>
      </c>
      <c r="D34" s="208">
        <v>14040</v>
      </c>
      <c r="E34" s="208">
        <v>15233</v>
      </c>
      <c r="F34" s="208">
        <v>15440</v>
      </c>
      <c r="G34" s="208">
        <v>16249</v>
      </c>
      <c r="H34" s="208">
        <v>17099</v>
      </c>
      <c r="I34" s="208">
        <v>17505</v>
      </c>
      <c r="J34" s="208">
        <v>18038</v>
      </c>
      <c r="K34" s="208">
        <v>18732</v>
      </c>
      <c r="L34" s="208">
        <v>19578</v>
      </c>
      <c r="M34" s="208">
        <v>20518</v>
      </c>
      <c r="N34" s="208">
        <v>21560</v>
      </c>
      <c r="O34" s="208">
        <v>22715</v>
      </c>
      <c r="P34" s="208">
        <v>23562</v>
      </c>
      <c r="Q34" s="208">
        <v>23837</v>
      </c>
      <c r="R34" s="208">
        <v>24042</v>
      </c>
      <c r="S34" s="208">
        <v>25092</v>
      </c>
      <c r="T34" s="208">
        <v>25314.478068281973</v>
      </c>
      <c r="U34" s="208">
        <v>26332.00084129045</v>
      </c>
      <c r="V34" s="208">
        <v>26662</v>
      </c>
      <c r="W34" s="208">
        <v>27734.776671803691</v>
      </c>
      <c r="X34" s="247">
        <v>28896</v>
      </c>
      <c r="Y34" s="248">
        <v>30122.058525702381</v>
      </c>
      <c r="Z34" s="248">
        <v>31512.064479300749</v>
      </c>
      <c r="AA34" s="248">
        <v>31828.1784719307</v>
      </c>
      <c r="AB34" s="248">
        <v>32512.595992190592</v>
      </c>
      <c r="AC34" s="248">
        <v>33350.167996201191</v>
      </c>
      <c r="AD34" s="249">
        <v>34735.474262291616</v>
      </c>
      <c r="AE34" s="249">
        <v>36316.323806194916</v>
      </c>
      <c r="AF34" s="249">
        <v>38402.429358479458</v>
      </c>
      <c r="AG34" s="249">
        <v>38677.350137230249</v>
      </c>
      <c r="AH34" s="249">
        <v>38914.422415407607</v>
      </c>
      <c r="AI34" s="248">
        <v>39158.339750772102</v>
      </c>
      <c r="AJ34" s="248">
        <v>39487.30803855574</v>
      </c>
      <c r="AK34" s="248">
        <v>40229</v>
      </c>
      <c r="AL34" s="248">
        <v>41147.00858279477</v>
      </c>
      <c r="AM34" s="248">
        <v>43048.29971472019</v>
      </c>
      <c r="AN34" s="248">
        <v>44704.040055013698</v>
      </c>
      <c r="AO34" s="248">
        <v>47275</v>
      </c>
      <c r="AP34" s="248">
        <v>50404.141460744308</v>
      </c>
      <c r="AQ34" s="248">
        <v>53463.741311563419</v>
      </c>
      <c r="AR34" s="248">
        <v>56376.726725086301</v>
      </c>
      <c r="AS34" s="248">
        <v>58168</v>
      </c>
      <c r="AT34" s="248">
        <v>62356</v>
      </c>
      <c r="AU34" s="248">
        <v>65627</v>
      </c>
      <c r="AV34" s="250">
        <f>+table3ws1!E48</f>
        <v>68969.243548400933</v>
      </c>
    </row>
    <row r="35" spans="1:48" s="89" customFormat="1" ht="17.25" hidden="1" customHeight="1" thickBot="1" x14ac:dyDescent="0.45">
      <c r="A35" s="213" t="s">
        <v>25</v>
      </c>
      <c r="B35" s="214" t="s">
        <v>22</v>
      </c>
      <c r="C35" s="214" t="s">
        <v>22</v>
      </c>
      <c r="D35" s="214" t="s">
        <v>22</v>
      </c>
      <c r="E35" s="214" t="s">
        <v>22</v>
      </c>
      <c r="F35" s="214" t="s">
        <v>22</v>
      </c>
      <c r="G35" s="214" t="s">
        <v>22</v>
      </c>
      <c r="H35" s="214" t="s">
        <v>22</v>
      </c>
      <c r="I35" s="214">
        <v>1.1950000000000001</v>
      </c>
      <c r="J35" s="214">
        <v>1.194</v>
      </c>
      <c r="K35" s="214" t="s">
        <v>22</v>
      </c>
      <c r="L35" s="214" t="s">
        <v>22</v>
      </c>
      <c r="M35" s="214" t="s">
        <v>22</v>
      </c>
      <c r="N35" s="214" t="s">
        <v>22</v>
      </c>
      <c r="O35" s="215" t="s">
        <v>22</v>
      </c>
      <c r="P35" s="215" t="s">
        <v>22</v>
      </c>
      <c r="Q35" s="215" t="s">
        <v>22</v>
      </c>
      <c r="R35" s="215" t="s">
        <v>22</v>
      </c>
      <c r="S35" s="215" t="s">
        <v>22</v>
      </c>
      <c r="T35" s="215" t="s">
        <v>22</v>
      </c>
      <c r="U35" s="215" t="s">
        <v>22</v>
      </c>
      <c r="V35" s="215" t="s">
        <v>22</v>
      </c>
      <c r="W35" s="215" t="s">
        <v>22</v>
      </c>
      <c r="X35" s="215" t="s">
        <v>22</v>
      </c>
      <c r="Y35" s="215" t="s">
        <v>22</v>
      </c>
      <c r="Z35" s="215" t="s">
        <v>22</v>
      </c>
      <c r="AA35" s="215" t="s">
        <v>22</v>
      </c>
      <c r="AB35" s="215" t="s">
        <v>22</v>
      </c>
      <c r="AC35" s="215" t="s">
        <v>22</v>
      </c>
      <c r="AD35" s="216" t="s">
        <v>22</v>
      </c>
      <c r="AE35" s="216" t="s">
        <v>22</v>
      </c>
      <c r="AF35" s="216" t="s">
        <v>22</v>
      </c>
      <c r="AG35" s="216" t="s">
        <v>22</v>
      </c>
      <c r="AH35" s="216" t="s">
        <v>22</v>
      </c>
      <c r="AI35" s="217" t="s">
        <v>22</v>
      </c>
      <c r="AJ35" s="217" t="s">
        <v>22</v>
      </c>
      <c r="AK35" s="217" t="s">
        <v>22</v>
      </c>
      <c r="AL35" s="217" t="s">
        <v>22</v>
      </c>
      <c r="AM35" s="217" t="s">
        <v>22</v>
      </c>
      <c r="AN35" s="217" t="s">
        <v>22</v>
      </c>
      <c r="AO35" s="217" t="s">
        <v>22</v>
      </c>
      <c r="AP35" s="217" t="s">
        <v>22</v>
      </c>
      <c r="AQ35" s="217" t="s">
        <v>22</v>
      </c>
      <c r="AR35" s="217" t="s">
        <v>22</v>
      </c>
      <c r="AS35" s="217" t="s">
        <v>22</v>
      </c>
      <c r="AT35" s="217" t="s">
        <v>22</v>
      </c>
      <c r="AU35" s="217" t="s">
        <v>22</v>
      </c>
      <c r="AV35" s="218" t="s">
        <v>22</v>
      </c>
    </row>
    <row r="36" spans="1:48" ht="17.25" hidden="1" customHeight="1" thickBot="1" x14ac:dyDescent="0.45">
      <c r="A36" s="206" t="s">
        <v>24</v>
      </c>
      <c r="B36" s="251" t="s">
        <v>22</v>
      </c>
      <c r="C36" s="251" t="s">
        <v>22</v>
      </c>
      <c r="D36" s="252" t="s">
        <v>22</v>
      </c>
      <c r="E36" s="252" t="s">
        <v>22</v>
      </c>
      <c r="F36" s="252" t="s">
        <v>22</v>
      </c>
      <c r="G36" s="252" t="s">
        <v>22</v>
      </c>
      <c r="H36" s="252" t="s">
        <v>22</v>
      </c>
      <c r="I36" s="252">
        <v>14649</v>
      </c>
      <c r="J36" s="252">
        <v>15107</v>
      </c>
      <c r="K36" s="252" t="s">
        <v>22</v>
      </c>
      <c r="L36" s="252" t="s">
        <v>22</v>
      </c>
      <c r="M36" s="252" t="s">
        <v>22</v>
      </c>
      <c r="N36" s="252" t="s">
        <v>22</v>
      </c>
      <c r="O36" s="253" t="s">
        <v>22</v>
      </c>
      <c r="P36" s="253" t="s">
        <v>22</v>
      </c>
      <c r="Q36" s="253" t="s">
        <v>22</v>
      </c>
      <c r="R36" s="253" t="s">
        <v>22</v>
      </c>
      <c r="S36" s="253" t="s">
        <v>22</v>
      </c>
      <c r="T36" s="253" t="s">
        <v>22</v>
      </c>
      <c r="U36" s="253" t="s">
        <v>22</v>
      </c>
      <c r="V36" s="253" t="s">
        <v>22</v>
      </c>
      <c r="W36" s="253" t="s">
        <v>22</v>
      </c>
      <c r="X36" s="253" t="s">
        <v>22</v>
      </c>
      <c r="Y36" s="253" t="s">
        <v>22</v>
      </c>
      <c r="Z36" s="253" t="s">
        <v>22</v>
      </c>
      <c r="AA36" s="253" t="s">
        <v>22</v>
      </c>
      <c r="AB36" s="253" t="s">
        <v>22</v>
      </c>
      <c r="AC36" s="253" t="s">
        <v>22</v>
      </c>
      <c r="AD36" s="254" t="s">
        <v>22</v>
      </c>
      <c r="AE36" s="254" t="s">
        <v>22</v>
      </c>
      <c r="AF36" s="254" t="s">
        <v>22</v>
      </c>
      <c r="AG36" s="254" t="s">
        <v>22</v>
      </c>
      <c r="AH36" s="254" t="s">
        <v>22</v>
      </c>
      <c r="AI36" s="255" t="s">
        <v>22</v>
      </c>
      <c r="AJ36" s="255" t="s">
        <v>22</v>
      </c>
      <c r="AK36" s="255" t="s">
        <v>22</v>
      </c>
      <c r="AL36" s="255" t="s">
        <v>22</v>
      </c>
      <c r="AM36" s="255" t="s">
        <v>22</v>
      </c>
      <c r="AN36" s="255" t="s">
        <v>22</v>
      </c>
      <c r="AO36" s="255" t="s">
        <v>22</v>
      </c>
      <c r="AP36" s="255" t="s">
        <v>22</v>
      </c>
      <c r="AQ36" s="255" t="s">
        <v>22</v>
      </c>
      <c r="AR36" s="255" t="s">
        <v>22</v>
      </c>
      <c r="AS36" s="255" t="s">
        <v>22</v>
      </c>
      <c r="AT36" s="255" t="s">
        <v>22</v>
      </c>
      <c r="AU36" s="255" t="s">
        <v>22</v>
      </c>
      <c r="AV36" s="256" t="s">
        <v>22</v>
      </c>
    </row>
    <row r="37" spans="1:48" s="4" customFormat="1" ht="19.8" thickBot="1" x14ac:dyDescent="0.5">
      <c r="A37" s="383" t="s">
        <v>418</v>
      </c>
      <c r="B37" s="384"/>
      <c r="C37" s="384"/>
      <c r="D37" s="384"/>
      <c r="E37" s="384"/>
      <c r="F37" s="384"/>
      <c r="G37" s="384"/>
      <c r="H37" s="384"/>
      <c r="I37" s="384"/>
      <c r="J37" s="384"/>
      <c r="K37" s="384"/>
      <c r="L37" s="384"/>
      <c r="M37" s="384"/>
      <c r="N37" s="384"/>
      <c r="O37" s="384"/>
      <c r="P37" s="384"/>
      <c r="Q37" s="384"/>
      <c r="R37" s="384"/>
      <c r="S37" s="384"/>
      <c r="T37" s="384"/>
      <c r="U37" s="384"/>
      <c r="V37" s="384"/>
      <c r="W37" s="384"/>
      <c r="X37" s="384"/>
      <c r="Y37" s="384"/>
      <c r="Z37" s="384"/>
      <c r="AA37" s="384"/>
      <c r="AB37" s="384"/>
      <c r="AC37" s="384"/>
      <c r="AD37" s="385"/>
      <c r="AE37" s="385"/>
      <c r="AF37" s="385"/>
      <c r="AG37" s="385"/>
      <c r="AH37" s="385"/>
      <c r="AI37" s="385"/>
      <c r="AJ37" s="385"/>
      <c r="AK37" s="385"/>
      <c r="AL37" s="385"/>
      <c r="AM37" s="385"/>
      <c r="AN37" s="385"/>
      <c r="AO37" s="385"/>
      <c r="AP37" s="385"/>
      <c r="AQ37" s="385"/>
      <c r="AR37" s="385"/>
      <c r="AS37" s="385"/>
      <c r="AT37" s="385"/>
      <c r="AU37" s="385"/>
      <c r="AV37" s="386"/>
    </row>
    <row r="38" spans="1:48" s="198" customFormat="1" ht="19.2" x14ac:dyDescent="0.45">
      <c r="A38" s="194" t="s">
        <v>415</v>
      </c>
      <c r="B38" s="195"/>
      <c r="C38" s="195"/>
      <c r="D38" s="195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7"/>
      <c r="Y38" s="197"/>
      <c r="Z38" s="197"/>
      <c r="AA38" s="197"/>
      <c r="AB38" s="197"/>
      <c r="AC38" s="387"/>
      <c r="AD38" s="387"/>
      <c r="AE38" s="387"/>
      <c r="AF38" s="387"/>
      <c r="AG38" s="387"/>
      <c r="AH38" s="387"/>
      <c r="AI38" s="387"/>
      <c r="AJ38" s="387"/>
      <c r="AK38" s="387"/>
      <c r="AL38" s="387"/>
      <c r="AM38" s="387"/>
      <c r="AN38" s="387"/>
      <c r="AO38" s="387"/>
      <c r="AP38" s="387"/>
      <c r="AQ38" s="387"/>
      <c r="AR38" s="461"/>
      <c r="AS38" s="461"/>
      <c r="AT38" s="461"/>
      <c r="AU38" s="461"/>
      <c r="AV38" s="388"/>
    </row>
    <row r="39" spans="1:48" s="205" customFormat="1" x14ac:dyDescent="0.4">
      <c r="A39" s="199" t="s">
        <v>20</v>
      </c>
      <c r="B39" s="200">
        <v>36368</v>
      </c>
      <c r="C39" s="200">
        <v>36621</v>
      </c>
      <c r="D39" s="200">
        <v>36351</v>
      </c>
      <c r="E39" s="200">
        <v>35483</v>
      </c>
      <c r="F39" s="200">
        <v>34521</v>
      </c>
      <c r="G39" s="200">
        <v>35225</v>
      </c>
      <c r="H39" s="200">
        <v>35950</v>
      </c>
      <c r="I39" s="200">
        <v>36278</v>
      </c>
      <c r="J39" s="200">
        <v>37196</v>
      </c>
      <c r="K39" s="200">
        <v>37954</v>
      </c>
      <c r="L39" s="200">
        <v>38835</v>
      </c>
      <c r="M39" s="200">
        <v>40422</v>
      </c>
      <c r="N39" s="200">
        <v>41964</v>
      </c>
      <c r="O39" s="201">
        <v>43448</v>
      </c>
      <c r="P39" s="201">
        <v>44833</v>
      </c>
      <c r="Q39" s="201">
        <v>45874</v>
      </c>
      <c r="R39" s="201">
        <v>46830</v>
      </c>
      <c r="S39" s="201">
        <v>48787.45</v>
      </c>
      <c r="T39" s="201">
        <v>50056.98</v>
      </c>
      <c r="U39" s="201">
        <v>50645.61299999999</v>
      </c>
      <c r="V39" s="201">
        <v>51025.58</v>
      </c>
      <c r="W39" s="201">
        <v>51459.747000000003</v>
      </c>
      <c r="X39" s="202">
        <v>51218.52</v>
      </c>
      <c r="Y39" s="202">
        <v>51763.55</v>
      </c>
      <c r="Z39" s="202">
        <v>51655.96</v>
      </c>
      <c r="AA39" s="202">
        <v>51387.09</v>
      </c>
      <c r="AB39" s="202">
        <v>51240.160000000003</v>
      </c>
      <c r="AC39" s="202">
        <v>51279.89</v>
      </c>
      <c r="AD39" s="203">
        <v>51248.010000000009</v>
      </c>
      <c r="AE39" s="203">
        <v>49711.119999999995</v>
      </c>
      <c r="AF39" s="203">
        <v>50091.9</v>
      </c>
      <c r="AG39" s="203">
        <v>50315.360000000001</v>
      </c>
      <c r="AH39" s="203">
        <v>51613.409999999996</v>
      </c>
      <c r="AI39" s="239">
        <v>51670.93</v>
      </c>
      <c r="AJ39" s="239">
        <v>52278.670000000006</v>
      </c>
      <c r="AK39" s="239">
        <v>53569.599999999999</v>
      </c>
      <c r="AL39" s="239">
        <v>55427.78</v>
      </c>
      <c r="AM39" s="239">
        <v>57404.12</v>
      </c>
      <c r="AN39" s="239">
        <v>59456.11</v>
      </c>
      <c r="AO39" s="239">
        <v>60500.71</v>
      </c>
      <c r="AP39" s="239">
        <v>61795.87</v>
      </c>
      <c r="AQ39" s="239">
        <v>61863.26</v>
      </c>
      <c r="AR39" s="239">
        <v>61162.84</v>
      </c>
      <c r="AS39" s="239">
        <v>61242.619999999995</v>
      </c>
      <c r="AT39" s="239">
        <v>60915.73</v>
      </c>
      <c r="AU39" s="239">
        <v>60173.39</v>
      </c>
      <c r="AV39" s="240">
        <f>+table3ws2!S26</f>
        <v>59785.64</v>
      </c>
    </row>
    <row r="40" spans="1:48" x14ac:dyDescent="0.4">
      <c r="A40" s="206" t="s">
        <v>370</v>
      </c>
      <c r="B40" s="207">
        <v>18478</v>
      </c>
      <c r="C40" s="207">
        <v>20220</v>
      </c>
      <c r="D40" s="208">
        <v>22700</v>
      </c>
      <c r="E40" s="208">
        <v>24404</v>
      </c>
      <c r="F40" s="208">
        <v>24935</v>
      </c>
      <c r="G40" s="208">
        <v>25931</v>
      </c>
      <c r="H40" s="208">
        <v>27110</v>
      </c>
      <c r="I40" s="208">
        <v>27856</v>
      </c>
      <c r="J40" s="208">
        <v>28958</v>
      </c>
      <c r="K40" s="208">
        <v>29958</v>
      </c>
      <c r="L40" s="208">
        <v>31031</v>
      </c>
      <c r="M40" s="208">
        <v>32351</v>
      </c>
      <c r="N40" s="208">
        <v>35098</v>
      </c>
      <c r="O40" s="98">
        <v>36953</v>
      </c>
      <c r="P40" s="98">
        <v>37959</v>
      </c>
      <c r="Q40" s="98">
        <v>38040</v>
      </c>
      <c r="R40" s="98">
        <v>38362</v>
      </c>
      <c r="S40" s="98">
        <v>40132</v>
      </c>
      <c r="T40" s="98">
        <v>40126.337331377144</v>
      </c>
      <c r="U40" s="98">
        <v>41189.390183140626</v>
      </c>
      <c r="V40" s="98">
        <v>41153</v>
      </c>
      <c r="W40" s="98">
        <v>43652.759466540003</v>
      </c>
      <c r="X40" s="209">
        <v>45030</v>
      </c>
      <c r="Y40" s="210">
        <v>46731.509935466165</v>
      </c>
      <c r="Z40" s="210">
        <v>48212.34840045563</v>
      </c>
      <c r="AA40" s="210">
        <v>48579.079229043724</v>
      </c>
      <c r="AB40" s="210">
        <v>48896.624859485244</v>
      </c>
      <c r="AC40" s="210">
        <v>49629.995075067425</v>
      </c>
      <c r="AD40" s="211">
        <v>51296.104453031432</v>
      </c>
      <c r="AE40" s="211">
        <v>53632.453052355289</v>
      </c>
      <c r="AF40" s="211">
        <v>56449.296264088844</v>
      </c>
      <c r="AG40" s="211">
        <v>56722.824756799047</v>
      </c>
      <c r="AH40" s="211">
        <v>56579.433284851075</v>
      </c>
      <c r="AI40" s="210">
        <v>56064.898306495234</v>
      </c>
      <c r="AJ40" s="210">
        <v>56143.315837233909</v>
      </c>
      <c r="AK40" s="210">
        <v>57027</v>
      </c>
      <c r="AL40" s="210">
        <v>56788.336823159814</v>
      </c>
      <c r="AM40" s="210">
        <v>58291.904999045386</v>
      </c>
      <c r="AN40" s="210">
        <v>59265.202120790564</v>
      </c>
      <c r="AO40" s="210">
        <v>60894.053207108984</v>
      </c>
      <c r="AP40" s="210">
        <v>77617.007755533225</v>
      </c>
      <c r="AQ40" s="210">
        <v>81527.910962424896</v>
      </c>
      <c r="AR40" s="210">
        <v>84491.577433436265</v>
      </c>
      <c r="AS40" s="210">
        <v>86999.345695473909</v>
      </c>
      <c r="AT40" s="210">
        <v>92690.259046798252</v>
      </c>
      <c r="AU40" s="210">
        <v>98077.108550640056</v>
      </c>
      <c r="AV40" s="212">
        <f>+table3ws2!R78</f>
        <v>103109.45592609736</v>
      </c>
    </row>
    <row r="41" spans="1:48" s="89" customFormat="1" ht="16.5" hidden="1" customHeight="1" x14ac:dyDescent="0.4">
      <c r="A41" s="213" t="s">
        <v>21</v>
      </c>
      <c r="B41" s="214">
        <v>1.585</v>
      </c>
      <c r="C41" s="214">
        <v>1.5980000000000001</v>
      </c>
      <c r="D41" s="214">
        <v>1.619</v>
      </c>
      <c r="E41" s="214">
        <v>1.645</v>
      </c>
      <c r="F41" s="214">
        <v>1.657</v>
      </c>
      <c r="G41" s="214">
        <v>1.661</v>
      </c>
      <c r="H41" s="214">
        <v>1.6659999999999999</v>
      </c>
      <c r="I41" s="214">
        <v>1.675</v>
      </c>
      <c r="J41" s="214">
        <v>1.681</v>
      </c>
      <c r="K41" s="214">
        <v>1.6859999999999999</v>
      </c>
      <c r="L41" s="214">
        <v>1.6970000000000001</v>
      </c>
      <c r="M41" s="214">
        <v>1.698</v>
      </c>
      <c r="N41" s="214">
        <v>1.708</v>
      </c>
      <c r="O41" s="215" t="s">
        <v>371</v>
      </c>
      <c r="P41" s="215" t="s">
        <v>371</v>
      </c>
      <c r="Q41" s="215" t="s">
        <v>371</v>
      </c>
      <c r="R41" s="215" t="s">
        <v>371</v>
      </c>
      <c r="S41" s="215" t="s">
        <v>371</v>
      </c>
      <c r="T41" s="215" t="s">
        <v>371</v>
      </c>
      <c r="U41" s="215" t="s">
        <v>371</v>
      </c>
      <c r="V41" s="215" t="s">
        <v>371</v>
      </c>
      <c r="W41" s="215" t="s">
        <v>371</v>
      </c>
      <c r="X41" s="215" t="s">
        <v>371</v>
      </c>
      <c r="Y41" s="215" t="s">
        <v>371</v>
      </c>
      <c r="Z41" s="215" t="s">
        <v>371</v>
      </c>
      <c r="AA41" s="215" t="s">
        <v>371</v>
      </c>
      <c r="AB41" s="215" t="s">
        <v>371</v>
      </c>
      <c r="AC41" s="215" t="s">
        <v>371</v>
      </c>
      <c r="AD41" s="216" t="s">
        <v>371</v>
      </c>
      <c r="AE41" s="216" t="s">
        <v>371</v>
      </c>
      <c r="AF41" s="216" t="s">
        <v>371</v>
      </c>
      <c r="AG41" s="216" t="s">
        <v>371</v>
      </c>
      <c r="AH41" s="216" t="s">
        <v>371</v>
      </c>
      <c r="AI41" s="217" t="s">
        <v>371</v>
      </c>
      <c r="AJ41" s="217" t="s">
        <v>371</v>
      </c>
      <c r="AK41" s="217" t="s">
        <v>371</v>
      </c>
      <c r="AL41" s="217" t="s">
        <v>371</v>
      </c>
      <c r="AM41" s="217" t="s">
        <v>371</v>
      </c>
      <c r="AN41" s="217" t="s">
        <v>371</v>
      </c>
      <c r="AO41" s="217" t="s">
        <v>371</v>
      </c>
      <c r="AP41" s="217" t="s">
        <v>371</v>
      </c>
      <c r="AQ41" s="217" t="s">
        <v>371</v>
      </c>
      <c r="AR41" s="217" t="s">
        <v>371</v>
      </c>
      <c r="AS41" s="217" t="s">
        <v>371</v>
      </c>
      <c r="AT41" s="217" t="s">
        <v>371</v>
      </c>
      <c r="AU41" s="217" t="s">
        <v>371</v>
      </c>
      <c r="AV41" s="218" t="s">
        <v>371</v>
      </c>
    </row>
    <row r="42" spans="1:48" s="89" customFormat="1" ht="16.5" hidden="1" customHeight="1" x14ac:dyDescent="0.4">
      <c r="A42" s="213" t="s">
        <v>23</v>
      </c>
      <c r="B42" s="214" t="s">
        <v>371</v>
      </c>
      <c r="C42" s="214" t="s">
        <v>371</v>
      </c>
      <c r="D42" s="214" t="s">
        <v>371</v>
      </c>
      <c r="E42" s="214" t="s">
        <v>371</v>
      </c>
      <c r="F42" s="214" t="s">
        <v>371</v>
      </c>
      <c r="G42" s="214" t="s">
        <v>371</v>
      </c>
      <c r="H42" s="214" t="s">
        <v>371</v>
      </c>
      <c r="I42" s="214" t="s">
        <v>371</v>
      </c>
      <c r="J42" s="214" t="s">
        <v>371</v>
      </c>
      <c r="K42" s="214" t="s">
        <v>371</v>
      </c>
      <c r="L42" s="214" t="s">
        <v>371</v>
      </c>
      <c r="M42" s="214" t="s">
        <v>371</v>
      </c>
      <c r="N42" s="214">
        <v>1.6879999999999999</v>
      </c>
      <c r="O42" s="220">
        <v>1.7050000000000001</v>
      </c>
      <c r="P42" s="220">
        <v>1.6950000000000001</v>
      </c>
      <c r="Q42" s="220">
        <v>1.702</v>
      </c>
      <c r="R42" s="220">
        <v>1.708</v>
      </c>
      <c r="S42" s="220">
        <v>1.7192000000000001</v>
      </c>
      <c r="T42" s="220">
        <v>1.7183324039424666</v>
      </c>
      <c r="U42" s="220">
        <v>1.7172092056503425</v>
      </c>
      <c r="V42" s="220">
        <v>1.7130000000000001</v>
      </c>
      <c r="W42" s="230" t="s">
        <v>371</v>
      </c>
      <c r="X42" s="230" t="s">
        <v>371</v>
      </c>
      <c r="Y42" s="226" t="s">
        <v>371</v>
      </c>
      <c r="Z42" s="226" t="s">
        <v>371</v>
      </c>
      <c r="AA42" s="226" t="s">
        <v>371</v>
      </c>
      <c r="AB42" s="226" t="s">
        <v>371</v>
      </c>
      <c r="AC42" s="226" t="s">
        <v>371</v>
      </c>
      <c r="AD42" s="227" t="s">
        <v>371</v>
      </c>
      <c r="AE42" s="227" t="s">
        <v>371</v>
      </c>
      <c r="AF42" s="227" t="s">
        <v>371</v>
      </c>
      <c r="AG42" s="227" t="s">
        <v>371</v>
      </c>
      <c r="AH42" s="227" t="s">
        <v>371</v>
      </c>
      <c r="AI42" s="228" t="s">
        <v>371</v>
      </c>
      <c r="AJ42" s="228" t="s">
        <v>371</v>
      </c>
      <c r="AK42" s="228" t="s">
        <v>371</v>
      </c>
      <c r="AL42" s="228" t="s">
        <v>371</v>
      </c>
      <c r="AM42" s="228" t="s">
        <v>371</v>
      </c>
      <c r="AN42" s="228" t="s">
        <v>371</v>
      </c>
      <c r="AO42" s="228" t="s">
        <v>371</v>
      </c>
      <c r="AP42" s="228" t="s">
        <v>371</v>
      </c>
      <c r="AQ42" s="228" t="s">
        <v>371</v>
      </c>
      <c r="AR42" s="228" t="s">
        <v>371</v>
      </c>
      <c r="AS42" s="228" t="s">
        <v>371</v>
      </c>
      <c r="AT42" s="228" t="s">
        <v>371</v>
      </c>
      <c r="AU42" s="228" t="s">
        <v>371</v>
      </c>
      <c r="AV42" s="229" t="s">
        <v>371</v>
      </c>
    </row>
    <row r="43" spans="1:48" s="89" customFormat="1" ht="16.5" hidden="1" customHeight="1" x14ac:dyDescent="0.4">
      <c r="A43" s="213" t="s">
        <v>177</v>
      </c>
      <c r="B43" s="257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20" t="s">
        <v>371</v>
      </c>
      <c r="P43" s="220" t="s">
        <v>371</v>
      </c>
      <c r="Q43" s="220" t="s">
        <v>371</v>
      </c>
      <c r="R43" s="220" t="s">
        <v>371</v>
      </c>
      <c r="S43" s="220" t="s">
        <v>371</v>
      </c>
      <c r="T43" s="230" t="s">
        <v>371</v>
      </c>
      <c r="U43" s="230" t="s">
        <v>371</v>
      </c>
      <c r="V43" s="230" t="s">
        <v>371</v>
      </c>
      <c r="W43" s="220">
        <v>1.622134581348551</v>
      </c>
      <c r="X43" s="225">
        <v>1.62168</v>
      </c>
      <c r="Y43" s="225">
        <v>1.6204023234341534</v>
      </c>
      <c r="Z43" s="225">
        <v>1.620278921049962</v>
      </c>
      <c r="AA43" s="226" t="s">
        <v>371</v>
      </c>
      <c r="AB43" s="226" t="s">
        <v>371</v>
      </c>
      <c r="AC43" s="226" t="s">
        <v>371</v>
      </c>
      <c r="AD43" s="227" t="s">
        <v>371</v>
      </c>
      <c r="AE43" s="227" t="s">
        <v>371</v>
      </c>
      <c r="AF43" s="227" t="s">
        <v>371</v>
      </c>
      <c r="AG43" s="227" t="s">
        <v>371</v>
      </c>
      <c r="AH43" s="227" t="s">
        <v>371</v>
      </c>
      <c r="AI43" s="228" t="s">
        <v>371</v>
      </c>
      <c r="AJ43" s="228" t="s">
        <v>371</v>
      </c>
      <c r="AK43" s="228" t="s">
        <v>371</v>
      </c>
      <c r="AL43" s="228" t="s">
        <v>371</v>
      </c>
      <c r="AM43" s="228" t="s">
        <v>371</v>
      </c>
      <c r="AN43" s="228" t="s">
        <v>371</v>
      </c>
      <c r="AO43" s="228" t="s">
        <v>371</v>
      </c>
      <c r="AP43" s="228" t="s">
        <v>371</v>
      </c>
      <c r="AQ43" s="228" t="s">
        <v>371</v>
      </c>
      <c r="AR43" s="228" t="s">
        <v>371</v>
      </c>
      <c r="AS43" s="228" t="s">
        <v>371</v>
      </c>
      <c r="AT43" s="228" t="s">
        <v>371</v>
      </c>
      <c r="AU43" s="228" t="s">
        <v>371</v>
      </c>
      <c r="AV43" s="229" t="s">
        <v>371</v>
      </c>
    </row>
    <row r="44" spans="1:48" s="89" customFormat="1" ht="16.5" hidden="1" customHeight="1" x14ac:dyDescent="0.4">
      <c r="A44" s="213" t="s">
        <v>278</v>
      </c>
      <c r="B44" s="257"/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20" t="s">
        <v>371</v>
      </c>
      <c r="P44" s="220" t="s">
        <v>371</v>
      </c>
      <c r="Q44" s="220" t="s">
        <v>371</v>
      </c>
      <c r="R44" s="220" t="s">
        <v>371</v>
      </c>
      <c r="S44" s="220" t="s">
        <v>371</v>
      </c>
      <c r="T44" s="230" t="s">
        <v>371</v>
      </c>
      <c r="U44" s="230" t="s">
        <v>371</v>
      </c>
      <c r="V44" s="230" t="s">
        <v>371</v>
      </c>
      <c r="W44" s="230" t="s">
        <v>371</v>
      </c>
      <c r="X44" s="226" t="s">
        <v>371</v>
      </c>
      <c r="Y44" s="226" t="s">
        <v>371</v>
      </c>
      <c r="Z44" s="226" t="s">
        <v>371</v>
      </c>
      <c r="AA44" s="225">
        <v>1.5832708946994281</v>
      </c>
      <c r="AB44" s="226" t="s">
        <v>371</v>
      </c>
      <c r="AC44" s="226" t="s">
        <v>371</v>
      </c>
      <c r="AD44" s="227" t="s">
        <v>371</v>
      </c>
      <c r="AE44" s="227" t="s">
        <v>371</v>
      </c>
      <c r="AF44" s="227" t="s">
        <v>371</v>
      </c>
      <c r="AG44" s="227" t="s">
        <v>371</v>
      </c>
      <c r="AH44" s="227" t="s">
        <v>371</v>
      </c>
      <c r="AI44" s="228" t="s">
        <v>371</v>
      </c>
      <c r="AJ44" s="228" t="s">
        <v>371</v>
      </c>
      <c r="AK44" s="228" t="s">
        <v>371</v>
      </c>
      <c r="AL44" s="228" t="s">
        <v>371</v>
      </c>
      <c r="AM44" s="228" t="s">
        <v>371</v>
      </c>
      <c r="AN44" s="228" t="s">
        <v>371</v>
      </c>
      <c r="AO44" s="228" t="s">
        <v>371</v>
      </c>
      <c r="AP44" s="228" t="s">
        <v>371</v>
      </c>
      <c r="AQ44" s="228" t="s">
        <v>371</v>
      </c>
      <c r="AR44" s="228" t="s">
        <v>371</v>
      </c>
      <c r="AS44" s="228" t="s">
        <v>371</v>
      </c>
      <c r="AT44" s="228" t="s">
        <v>371</v>
      </c>
      <c r="AU44" s="228" t="s">
        <v>371</v>
      </c>
      <c r="AV44" s="229" t="s">
        <v>371</v>
      </c>
    </row>
    <row r="45" spans="1:48" s="89" customFormat="1" x14ac:dyDescent="0.4">
      <c r="A45" s="213" t="s">
        <v>433</v>
      </c>
      <c r="B45" s="257"/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20" t="s">
        <v>371</v>
      </c>
      <c r="P45" s="220" t="s">
        <v>371</v>
      </c>
      <c r="Q45" s="220" t="s">
        <v>371</v>
      </c>
      <c r="R45" s="220" t="s">
        <v>371</v>
      </c>
      <c r="S45" s="220" t="s">
        <v>371</v>
      </c>
      <c r="T45" s="230" t="s">
        <v>371</v>
      </c>
      <c r="U45" s="230" t="s">
        <v>371</v>
      </c>
      <c r="V45" s="230" t="s">
        <v>371</v>
      </c>
      <c r="W45" s="230" t="s">
        <v>371</v>
      </c>
      <c r="X45" s="226" t="s">
        <v>371</v>
      </c>
      <c r="Y45" s="226" t="s">
        <v>371</v>
      </c>
      <c r="Z45" s="226" t="s">
        <v>371</v>
      </c>
      <c r="AA45" s="226" t="s">
        <v>371</v>
      </c>
      <c r="AB45" s="225">
        <v>1.5439082267522193</v>
      </c>
      <c r="AC45" s="225">
        <v>1.5441866988521229</v>
      </c>
      <c r="AD45" s="231">
        <v>1.5423267741244975</v>
      </c>
      <c r="AE45" s="231">
        <v>1.5424945080155101</v>
      </c>
      <c r="AF45" s="231">
        <v>1.5486892181135756</v>
      </c>
      <c r="AG45" s="231">
        <v>1.5675559222933579</v>
      </c>
      <c r="AH45" s="231">
        <v>1.572384943308317</v>
      </c>
      <c r="AI45" s="232">
        <v>1.5824412384405548</v>
      </c>
      <c r="AJ45" s="232">
        <v>1.5826339930334923</v>
      </c>
      <c r="AK45" s="232">
        <v>1.575</v>
      </c>
      <c r="AL45" s="232">
        <v>1.5618685361979141</v>
      </c>
      <c r="AM45" s="232">
        <v>1.5508877459595263</v>
      </c>
      <c r="AN45" s="232">
        <v>1.5438774418297987</v>
      </c>
      <c r="AO45" s="232">
        <v>1.5417860222129478</v>
      </c>
      <c r="AP45" s="373" t="s">
        <v>432</v>
      </c>
      <c r="AQ45" s="373" t="s">
        <v>432</v>
      </c>
      <c r="AR45" s="373" t="s">
        <v>432</v>
      </c>
      <c r="AS45" s="373" t="s">
        <v>432</v>
      </c>
      <c r="AT45" s="373" t="s">
        <v>432</v>
      </c>
      <c r="AU45" s="373" t="s">
        <v>432</v>
      </c>
      <c r="AV45" s="374" t="s">
        <v>432</v>
      </c>
    </row>
    <row r="46" spans="1:48" ht="17.399999999999999" thickBot="1" x14ac:dyDescent="0.45">
      <c r="A46" s="233" t="s">
        <v>24</v>
      </c>
      <c r="B46" s="234">
        <v>11656</v>
      </c>
      <c r="C46" s="234">
        <v>12656</v>
      </c>
      <c r="D46" s="235">
        <v>14025</v>
      </c>
      <c r="E46" s="235">
        <v>14839</v>
      </c>
      <c r="F46" s="235">
        <v>15051</v>
      </c>
      <c r="G46" s="235">
        <v>15616</v>
      </c>
      <c r="H46" s="235">
        <v>16275</v>
      </c>
      <c r="I46" s="235">
        <v>16626</v>
      </c>
      <c r="J46" s="235">
        <v>17228</v>
      </c>
      <c r="K46" s="235">
        <v>17765</v>
      </c>
      <c r="L46" s="235">
        <v>18287</v>
      </c>
      <c r="M46" s="235">
        <v>19056</v>
      </c>
      <c r="N46" s="235">
        <v>19596</v>
      </c>
      <c r="O46" s="236">
        <v>21676</v>
      </c>
      <c r="P46" s="236">
        <v>22389</v>
      </c>
      <c r="Q46" s="236">
        <v>22353</v>
      </c>
      <c r="R46" s="236">
        <v>22458</v>
      </c>
      <c r="S46" s="236">
        <v>23344</v>
      </c>
      <c r="T46" s="236">
        <v>23351.906324592979</v>
      </c>
      <c r="U46" s="236">
        <v>23986.238862224916</v>
      </c>
      <c r="V46" s="236">
        <v>24025</v>
      </c>
      <c r="W46" s="246">
        <f>+W40/W43</f>
        <v>26910.689142851246</v>
      </c>
      <c r="X46" s="246">
        <f>+X40/X43</f>
        <v>27767.500369986679</v>
      </c>
      <c r="Y46" s="210">
        <f>+Y40/Y43</f>
        <v>28839.44885763128</v>
      </c>
      <c r="Z46" s="210">
        <f>+Z40/Z43</f>
        <v>29755.585766192278</v>
      </c>
      <c r="AA46" s="210">
        <f>+AA40/AA44</f>
        <v>30682.733694960072</v>
      </c>
      <c r="AB46" s="210">
        <f t="shared" ref="AB46:AH46" si="3">+AB40/AB45</f>
        <v>31670.680946071952</v>
      </c>
      <c r="AC46" s="210">
        <f t="shared" si="3"/>
        <v>32139.892871736345</v>
      </c>
      <c r="AD46" s="210">
        <f t="shared" si="3"/>
        <v>33258.908107945987</v>
      </c>
      <c r="AE46" s="210">
        <f t="shared" si="3"/>
        <v>34769.94749326913</v>
      </c>
      <c r="AF46" s="210">
        <f t="shared" si="3"/>
        <v>36449.72509904117</v>
      </c>
      <c r="AG46" s="210">
        <f t="shared" si="3"/>
        <v>36185.519093834111</v>
      </c>
      <c r="AH46" s="210">
        <f t="shared" si="3"/>
        <v>35983.194526021893</v>
      </c>
      <c r="AI46" s="210">
        <f>+AI40/AI45</f>
        <v>35429.371369103974</v>
      </c>
      <c r="AJ46" s="210">
        <f>+AJ40/AJ45</f>
        <v>35474.605047261728</v>
      </c>
      <c r="AK46" s="210">
        <v>36219</v>
      </c>
      <c r="AL46" s="210">
        <v>36359.229670763925</v>
      </c>
      <c r="AM46" s="210">
        <v>37586.153576176774</v>
      </c>
      <c r="AN46" s="210">
        <v>38387.245331177088</v>
      </c>
      <c r="AO46" s="210">
        <v>39495.787567010673</v>
      </c>
      <c r="AP46" s="377" t="s">
        <v>432</v>
      </c>
      <c r="AQ46" s="377" t="s">
        <v>432</v>
      </c>
      <c r="AR46" s="377" t="s">
        <v>432</v>
      </c>
      <c r="AS46" s="377" t="s">
        <v>432</v>
      </c>
      <c r="AT46" s="377" t="s">
        <v>432</v>
      </c>
      <c r="AU46" s="377" t="s">
        <v>432</v>
      </c>
      <c r="AV46" s="379" t="s">
        <v>432</v>
      </c>
    </row>
    <row r="47" spans="1:48" s="198" customFormat="1" ht="19.2" x14ac:dyDescent="0.45">
      <c r="A47" s="194" t="s">
        <v>416</v>
      </c>
      <c r="B47" s="195"/>
      <c r="C47" s="195"/>
      <c r="D47" s="195"/>
      <c r="E47" s="196"/>
      <c r="F47" s="196"/>
      <c r="G47" s="196"/>
      <c r="H47" s="196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  <c r="X47" s="197"/>
      <c r="Y47" s="197"/>
      <c r="Z47" s="197"/>
      <c r="AA47" s="197"/>
      <c r="AB47" s="197"/>
      <c r="AC47" s="387"/>
      <c r="AD47" s="387"/>
      <c r="AE47" s="387"/>
      <c r="AF47" s="387"/>
      <c r="AG47" s="387"/>
      <c r="AH47" s="387"/>
      <c r="AI47" s="387"/>
      <c r="AJ47" s="387"/>
      <c r="AK47" s="387"/>
      <c r="AL47" s="387"/>
      <c r="AM47" s="387"/>
      <c r="AN47" s="387"/>
      <c r="AO47" s="387"/>
      <c r="AP47" s="387"/>
      <c r="AQ47" s="387"/>
      <c r="AR47" s="387"/>
      <c r="AS47" s="387"/>
      <c r="AT47" s="387"/>
      <c r="AU47" s="387"/>
      <c r="AV47" s="388"/>
    </row>
    <row r="48" spans="1:48" s="205" customFormat="1" x14ac:dyDescent="0.4">
      <c r="A48" s="199" t="s">
        <v>20</v>
      </c>
      <c r="B48" s="200">
        <v>2987</v>
      </c>
      <c r="C48" s="200">
        <v>3030</v>
      </c>
      <c r="D48" s="200">
        <v>3047</v>
      </c>
      <c r="E48" s="200">
        <v>2876</v>
      </c>
      <c r="F48" s="200">
        <v>2773</v>
      </c>
      <c r="G48" s="200">
        <v>2814</v>
      </c>
      <c r="H48" s="200">
        <v>2901</v>
      </c>
      <c r="I48" s="200">
        <v>2896</v>
      </c>
      <c r="J48" s="200">
        <v>2849</v>
      </c>
      <c r="K48" s="200">
        <v>2876</v>
      </c>
      <c r="L48" s="200">
        <v>2913</v>
      </c>
      <c r="M48" s="200">
        <v>2937</v>
      </c>
      <c r="N48" s="200">
        <v>3023</v>
      </c>
      <c r="O48" s="201">
        <v>3056</v>
      </c>
      <c r="P48" s="201">
        <v>3115</v>
      </c>
      <c r="Q48" s="201">
        <v>3125</v>
      </c>
      <c r="R48" s="201">
        <v>3186</v>
      </c>
      <c r="S48" s="201">
        <v>3208.26</v>
      </c>
      <c r="T48" s="201">
        <v>3277.59</v>
      </c>
      <c r="U48" s="201">
        <v>3336.76</v>
      </c>
      <c r="V48" s="201">
        <v>3368.39</v>
      </c>
      <c r="W48" s="201">
        <v>3409.5789999999997</v>
      </c>
      <c r="X48" s="202">
        <v>3414.67</v>
      </c>
      <c r="Y48" s="202">
        <v>3467.45</v>
      </c>
      <c r="Z48" s="202">
        <v>3493.94</v>
      </c>
      <c r="AA48" s="202">
        <v>3504.77</v>
      </c>
      <c r="AB48" s="202">
        <v>3531.64</v>
      </c>
      <c r="AC48" s="202">
        <v>3594.35</v>
      </c>
      <c r="AD48" s="203">
        <v>3557.94</v>
      </c>
      <c r="AE48" s="203">
        <v>3613.12</v>
      </c>
      <c r="AF48" s="203">
        <v>3617.0099999999998</v>
      </c>
      <c r="AG48" s="203">
        <v>3402.4999999999995</v>
      </c>
      <c r="AH48" s="203">
        <v>3402.9599999999996</v>
      </c>
      <c r="AI48" s="239">
        <v>3483.98</v>
      </c>
      <c r="AJ48" s="239">
        <v>3571.8299999999995</v>
      </c>
      <c r="AK48" s="239">
        <v>3703.6</v>
      </c>
      <c r="AL48" s="239">
        <v>3899.6899999999996</v>
      </c>
      <c r="AM48" s="239">
        <v>4112.33</v>
      </c>
      <c r="AN48" s="239">
        <v>4328.3099999999995</v>
      </c>
      <c r="AO48" s="239">
        <v>4433.3399999999992</v>
      </c>
      <c r="AP48" s="239">
        <v>4530.6000000000004</v>
      </c>
      <c r="AQ48" s="239">
        <v>4476.29</v>
      </c>
      <c r="AR48" s="239">
        <v>4486.21</v>
      </c>
      <c r="AS48" s="239">
        <v>4584.16</v>
      </c>
      <c r="AT48" s="239">
        <v>4601.82</v>
      </c>
      <c r="AU48" s="239">
        <v>4448.54</v>
      </c>
      <c r="AV48" s="240">
        <f>+table3ws2!S5</f>
        <v>4534.7700000000004</v>
      </c>
    </row>
    <row r="49" spans="1:48" x14ac:dyDescent="0.4">
      <c r="A49" s="206" t="s">
        <v>370</v>
      </c>
      <c r="B49" s="207">
        <v>27972</v>
      </c>
      <c r="C49" s="207">
        <v>30509</v>
      </c>
      <c r="D49" s="208">
        <v>34025</v>
      </c>
      <c r="E49" s="208">
        <v>36484</v>
      </c>
      <c r="F49" s="208">
        <v>37047</v>
      </c>
      <c r="G49" s="208">
        <v>38847</v>
      </c>
      <c r="H49" s="208">
        <v>40568</v>
      </c>
      <c r="I49" s="208">
        <v>41995</v>
      </c>
      <c r="J49" s="208">
        <v>44123</v>
      </c>
      <c r="K49" s="208">
        <v>46476</v>
      </c>
      <c r="L49" s="208">
        <v>48837</v>
      </c>
      <c r="M49" s="208">
        <v>51573</v>
      </c>
      <c r="N49" s="208">
        <v>55550</v>
      </c>
      <c r="O49" s="98">
        <v>59064</v>
      </c>
      <c r="P49" s="98">
        <v>61574</v>
      </c>
      <c r="Q49" s="98">
        <v>61887</v>
      </c>
      <c r="R49" s="98">
        <v>62576</v>
      </c>
      <c r="S49" s="98">
        <v>66040</v>
      </c>
      <c r="T49" s="98">
        <v>66639</v>
      </c>
      <c r="U49" s="98">
        <v>68951</v>
      </c>
      <c r="V49" s="98">
        <v>69732</v>
      </c>
      <c r="W49" s="98">
        <v>73383.052277128634</v>
      </c>
      <c r="X49" s="209">
        <v>76545.789999999994</v>
      </c>
      <c r="Y49" s="210">
        <v>80038.009935255017</v>
      </c>
      <c r="Z49" s="210">
        <v>83394.37028970159</v>
      </c>
      <c r="AA49" s="210">
        <v>84016.251408794298</v>
      </c>
      <c r="AB49" s="210">
        <v>85000.64136491828</v>
      </c>
      <c r="AC49" s="210">
        <v>87228.964004618363</v>
      </c>
      <c r="AD49" s="211">
        <v>91431.966151761982</v>
      </c>
      <c r="AE49" s="211">
        <v>95739.814049907029</v>
      </c>
      <c r="AF49" s="211">
        <v>100510.0725986381</v>
      </c>
      <c r="AG49" s="211">
        <v>102198.06408229242</v>
      </c>
      <c r="AH49" s="211">
        <v>102673.18798634132</v>
      </c>
      <c r="AI49" s="210">
        <v>102979.13485439066</v>
      </c>
      <c r="AJ49" s="210">
        <v>103444.30605879899</v>
      </c>
      <c r="AK49" s="210">
        <v>105754</v>
      </c>
      <c r="AL49" s="210">
        <v>107895.05164256645</v>
      </c>
      <c r="AM49" s="210">
        <v>112553.93320331782</v>
      </c>
      <c r="AN49" s="210">
        <v>115887.0051729197</v>
      </c>
      <c r="AO49" s="210">
        <v>121894.01348870154</v>
      </c>
      <c r="AP49" s="210">
        <v>127671</v>
      </c>
      <c r="AQ49" s="210">
        <v>135841</v>
      </c>
      <c r="AR49" s="210">
        <v>140987</v>
      </c>
      <c r="AS49" s="210">
        <v>146495</v>
      </c>
      <c r="AT49" s="210">
        <v>156096</v>
      </c>
      <c r="AU49" s="210">
        <v>167422</v>
      </c>
      <c r="AV49" s="212">
        <f>+table3ws2!S56</f>
        <v>171108</v>
      </c>
    </row>
    <row r="50" spans="1:48" s="89" customFormat="1" ht="16.5" hidden="1" customHeight="1" x14ac:dyDescent="0.4">
      <c r="A50" s="213" t="s">
        <v>21</v>
      </c>
      <c r="B50" s="214">
        <v>1.889</v>
      </c>
      <c r="C50" s="214">
        <v>1.901</v>
      </c>
      <c r="D50" s="214">
        <v>1.9079999999999999</v>
      </c>
      <c r="E50" s="214">
        <v>1.93</v>
      </c>
      <c r="F50" s="214">
        <v>1.9370000000000001</v>
      </c>
      <c r="G50" s="214">
        <v>1.9430000000000001</v>
      </c>
      <c r="H50" s="214">
        <v>1.948</v>
      </c>
      <c r="I50" s="214">
        <v>1.9570000000000001</v>
      </c>
      <c r="J50" s="214">
        <v>1.968</v>
      </c>
      <c r="K50" s="214">
        <v>1.9710000000000001</v>
      </c>
      <c r="L50" s="214">
        <v>1.97</v>
      </c>
      <c r="M50" s="214">
        <v>1.972</v>
      </c>
      <c r="N50" s="214">
        <v>1.9750000000000001</v>
      </c>
      <c r="O50" s="215" t="s">
        <v>371</v>
      </c>
      <c r="P50" s="215" t="s">
        <v>371</v>
      </c>
      <c r="Q50" s="215" t="s">
        <v>371</v>
      </c>
      <c r="R50" s="215" t="s">
        <v>371</v>
      </c>
      <c r="S50" s="215" t="s">
        <v>371</v>
      </c>
      <c r="T50" s="215" t="s">
        <v>371</v>
      </c>
      <c r="U50" s="215" t="s">
        <v>371</v>
      </c>
      <c r="V50" s="215" t="s">
        <v>371</v>
      </c>
      <c r="W50" s="215" t="s">
        <v>371</v>
      </c>
      <c r="X50" s="215" t="s">
        <v>371</v>
      </c>
      <c r="Y50" s="215" t="s">
        <v>371</v>
      </c>
      <c r="Z50" s="215" t="s">
        <v>371</v>
      </c>
      <c r="AA50" s="215" t="s">
        <v>371</v>
      </c>
      <c r="AB50" s="215" t="s">
        <v>371</v>
      </c>
      <c r="AC50" s="215" t="s">
        <v>371</v>
      </c>
      <c r="AD50" s="216" t="s">
        <v>371</v>
      </c>
      <c r="AE50" s="216" t="s">
        <v>371</v>
      </c>
      <c r="AF50" s="216" t="s">
        <v>371</v>
      </c>
      <c r="AG50" s="216" t="s">
        <v>371</v>
      </c>
      <c r="AH50" s="216" t="s">
        <v>371</v>
      </c>
      <c r="AI50" s="217" t="s">
        <v>371</v>
      </c>
      <c r="AJ50" s="217" t="s">
        <v>371</v>
      </c>
      <c r="AK50" s="217" t="s">
        <v>371</v>
      </c>
      <c r="AL50" s="217" t="s">
        <v>371</v>
      </c>
      <c r="AM50" s="217" t="s">
        <v>371</v>
      </c>
      <c r="AN50" s="217" t="s">
        <v>371</v>
      </c>
      <c r="AO50" s="217" t="s">
        <v>371</v>
      </c>
      <c r="AP50" s="217" t="s">
        <v>371</v>
      </c>
      <c r="AQ50" s="217" t="s">
        <v>371</v>
      </c>
      <c r="AR50" s="217" t="s">
        <v>371</v>
      </c>
      <c r="AS50" s="217" t="s">
        <v>371</v>
      </c>
      <c r="AT50" s="217" t="s">
        <v>371</v>
      </c>
      <c r="AU50" s="217" t="s">
        <v>371</v>
      </c>
      <c r="AV50" s="218" t="s">
        <v>371</v>
      </c>
    </row>
    <row r="51" spans="1:48" s="89" customFormat="1" ht="16.5" hidden="1" customHeight="1" x14ac:dyDescent="0.4">
      <c r="A51" s="213" t="s">
        <v>23</v>
      </c>
      <c r="B51" s="214" t="s">
        <v>371</v>
      </c>
      <c r="C51" s="214" t="s">
        <v>371</v>
      </c>
      <c r="D51" s="214" t="s">
        <v>371</v>
      </c>
      <c r="E51" s="214" t="s">
        <v>371</v>
      </c>
      <c r="F51" s="214" t="s">
        <v>371</v>
      </c>
      <c r="G51" s="214" t="s">
        <v>371</v>
      </c>
      <c r="H51" s="214" t="s">
        <v>371</v>
      </c>
      <c r="I51" s="214" t="s">
        <v>371</v>
      </c>
      <c r="J51" s="214" t="s">
        <v>371</v>
      </c>
      <c r="K51" s="214" t="s">
        <v>371</v>
      </c>
      <c r="L51" s="214" t="s">
        <v>371</v>
      </c>
      <c r="M51" s="214" t="s">
        <v>371</v>
      </c>
      <c r="N51" s="214">
        <v>1.946</v>
      </c>
      <c r="O51" s="220">
        <v>1.95</v>
      </c>
      <c r="P51" s="220">
        <v>1.952</v>
      </c>
      <c r="Q51" s="220">
        <v>1.954</v>
      </c>
      <c r="R51" s="220">
        <v>1.956</v>
      </c>
      <c r="S51" s="220">
        <v>1.9567699999999999</v>
      </c>
      <c r="T51" s="220">
        <v>1.9579</v>
      </c>
      <c r="U51" s="220">
        <v>1.94913</v>
      </c>
      <c r="V51" s="220">
        <v>1.948</v>
      </c>
      <c r="W51" s="230" t="s">
        <v>371</v>
      </c>
      <c r="X51" s="230" t="s">
        <v>371</v>
      </c>
      <c r="Y51" s="226" t="s">
        <v>371</v>
      </c>
      <c r="Z51" s="226" t="s">
        <v>371</v>
      </c>
      <c r="AA51" s="226" t="s">
        <v>371</v>
      </c>
      <c r="AB51" s="226" t="s">
        <v>371</v>
      </c>
      <c r="AC51" s="226" t="s">
        <v>371</v>
      </c>
      <c r="AD51" s="227" t="s">
        <v>371</v>
      </c>
      <c r="AE51" s="227" t="s">
        <v>371</v>
      </c>
      <c r="AF51" s="227" t="s">
        <v>371</v>
      </c>
      <c r="AG51" s="227" t="s">
        <v>371</v>
      </c>
      <c r="AH51" s="227" t="s">
        <v>371</v>
      </c>
      <c r="AI51" s="228" t="s">
        <v>371</v>
      </c>
      <c r="AJ51" s="228" t="s">
        <v>371</v>
      </c>
      <c r="AK51" s="228" t="s">
        <v>371</v>
      </c>
      <c r="AL51" s="228" t="s">
        <v>371</v>
      </c>
      <c r="AM51" s="228" t="s">
        <v>371</v>
      </c>
      <c r="AN51" s="228" t="s">
        <v>371</v>
      </c>
      <c r="AO51" s="228" t="s">
        <v>371</v>
      </c>
      <c r="AP51" s="228" t="s">
        <v>371</v>
      </c>
      <c r="AQ51" s="228" t="s">
        <v>371</v>
      </c>
      <c r="AR51" s="228" t="s">
        <v>371</v>
      </c>
      <c r="AS51" s="228" t="s">
        <v>371</v>
      </c>
      <c r="AT51" s="228" t="s">
        <v>371</v>
      </c>
      <c r="AU51" s="228" t="s">
        <v>371</v>
      </c>
      <c r="AV51" s="229" t="s">
        <v>371</v>
      </c>
    </row>
    <row r="52" spans="1:48" s="89" customFormat="1" ht="16.5" hidden="1" customHeight="1" x14ac:dyDescent="0.4">
      <c r="A52" s="213" t="s">
        <v>177</v>
      </c>
      <c r="B52" s="257"/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20" t="s">
        <v>371</v>
      </c>
      <c r="P52" s="220" t="s">
        <v>371</v>
      </c>
      <c r="Q52" s="220" t="s">
        <v>371</v>
      </c>
      <c r="R52" s="220" t="s">
        <v>371</v>
      </c>
      <c r="S52" s="220" t="s">
        <v>371</v>
      </c>
      <c r="T52" s="230" t="s">
        <v>371</v>
      </c>
      <c r="U52" s="230" t="s">
        <v>371</v>
      </c>
      <c r="V52" s="230" t="s">
        <v>371</v>
      </c>
      <c r="W52" s="220">
        <v>1.8387503685821691</v>
      </c>
      <c r="X52" s="225">
        <v>1.82724</v>
      </c>
      <c r="Y52" s="225">
        <v>1.8113949314626021</v>
      </c>
      <c r="Z52" s="225">
        <v>1.8148687414494811</v>
      </c>
      <c r="AA52" s="226" t="s">
        <v>371</v>
      </c>
      <c r="AB52" s="226" t="s">
        <v>371</v>
      </c>
      <c r="AC52" s="226" t="s">
        <v>371</v>
      </c>
      <c r="AD52" s="227" t="s">
        <v>371</v>
      </c>
      <c r="AE52" s="227" t="s">
        <v>371</v>
      </c>
      <c r="AF52" s="227" t="s">
        <v>371</v>
      </c>
      <c r="AG52" s="227" t="s">
        <v>371</v>
      </c>
      <c r="AH52" s="227" t="s">
        <v>371</v>
      </c>
      <c r="AI52" s="228" t="s">
        <v>371</v>
      </c>
      <c r="AJ52" s="228" t="s">
        <v>371</v>
      </c>
      <c r="AK52" s="228" t="s">
        <v>371</v>
      </c>
      <c r="AL52" s="228" t="s">
        <v>371</v>
      </c>
      <c r="AM52" s="228" t="s">
        <v>371</v>
      </c>
      <c r="AN52" s="228" t="s">
        <v>371</v>
      </c>
      <c r="AO52" s="228" t="s">
        <v>371</v>
      </c>
      <c r="AP52" s="228" t="s">
        <v>371</v>
      </c>
      <c r="AQ52" s="228" t="s">
        <v>371</v>
      </c>
      <c r="AR52" s="228" t="s">
        <v>371</v>
      </c>
      <c r="AS52" s="228" t="s">
        <v>371</v>
      </c>
      <c r="AT52" s="228" t="s">
        <v>371</v>
      </c>
      <c r="AU52" s="228" t="s">
        <v>371</v>
      </c>
      <c r="AV52" s="229" t="s">
        <v>371</v>
      </c>
    </row>
    <row r="53" spans="1:48" s="89" customFormat="1" ht="16.5" hidden="1" customHeight="1" x14ac:dyDescent="0.4">
      <c r="A53" s="213" t="s">
        <v>278</v>
      </c>
      <c r="B53" s="257"/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20" t="s">
        <v>371</v>
      </c>
      <c r="P53" s="220" t="s">
        <v>371</v>
      </c>
      <c r="Q53" s="220" t="s">
        <v>371</v>
      </c>
      <c r="R53" s="220" t="s">
        <v>371</v>
      </c>
      <c r="S53" s="220" t="s">
        <v>371</v>
      </c>
      <c r="T53" s="230" t="s">
        <v>371</v>
      </c>
      <c r="U53" s="230" t="s">
        <v>371</v>
      </c>
      <c r="V53" s="230" t="s">
        <v>371</v>
      </c>
      <c r="W53" s="230" t="s">
        <v>371</v>
      </c>
      <c r="X53" s="226" t="s">
        <v>371</v>
      </c>
      <c r="Y53" s="226" t="s">
        <v>371</v>
      </c>
      <c r="Z53" s="226" t="s">
        <v>371</v>
      </c>
      <c r="AA53" s="225">
        <v>1.7657998887516155</v>
      </c>
      <c r="AB53" s="226" t="s">
        <v>371</v>
      </c>
      <c r="AC53" s="226" t="s">
        <v>371</v>
      </c>
      <c r="AD53" s="227" t="s">
        <v>371</v>
      </c>
      <c r="AE53" s="227" t="s">
        <v>371</v>
      </c>
      <c r="AF53" s="227" t="s">
        <v>371</v>
      </c>
      <c r="AG53" s="227" t="s">
        <v>371</v>
      </c>
      <c r="AH53" s="227" t="s">
        <v>371</v>
      </c>
      <c r="AI53" s="228" t="s">
        <v>371</v>
      </c>
      <c r="AJ53" s="228" t="s">
        <v>371</v>
      </c>
      <c r="AK53" s="228" t="s">
        <v>371</v>
      </c>
      <c r="AL53" s="228" t="s">
        <v>371</v>
      </c>
      <c r="AM53" s="228" t="s">
        <v>371</v>
      </c>
      <c r="AN53" s="228" t="s">
        <v>371</v>
      </c>
      <c r="AO53" s="228" t="s">
        <v>371</v>
      </c>
      <c r="AP53" s="228" t="s">
        <v>371</v>
      </c>
      <c r="AQ53" s="228" t="s">
        <v>371</v>
      </c>
      <c r="AR53" s="228" t="s">
        <v>371</v>
      </c>
      <c r="AS53" s="228" t="s">
        <v>371</v>
      </c>
      <c r="AT53" s="228" t="s">
        <v>371</v>
      </c>
      <c r="AU53" s="228" t="s">
        <v>371</v>
      </c>
      <c r="AV53" s="229" t="s">
        <v>371</v>
      </c>
    </row>
    <row r="54" spans="1:48" s="89" customFormat="1" x14ac:dyDescent="0.4">
      <c r="A54" s="213" t="s">
        <v>433</v>
      </c>
      <c r="B54" s="257"/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20" t="s">
        <v>371</v>
      </c>
      <c r="P54" s="220" t="s">
        <v>371</v>
      </c>
      <c r="Q54" s="220" t="s">
        <v>371</v>
      </c>
      <c r="R54" s="220" t="s">
        <v>371</v>
      </c>
      <c r="S54" s="220" t="s">
        <v>371</v>
      </c>
      <c r="T54" s="230" t="s">
        <v>371</v>
      </c>
      <c r="U54" s="230" t="s">
        <v>371</v>
      </c>
      <c r="V54" s="230" t="s">
        <v>371</v>
      </c>
      <c r="W54" s="230" t="s">
        <v>371</v>
      </c>
      <c r="X54" s="226" t="s">
        <v>371</v>
      </c>
      <c r="Y54" s="226" t="s">
        <v>371</v>
      </c>
      <c r="Z54" s="226" t="s">
        <v>371</v>
      </c>
      <c r="AA54" s="226" t="s">
        <v>371</v>
      </c>
      <c r="AB54" s="225">
        <v>1.7065299946766948</v>
      </c>
      <c r="AC54" s="225">
        <v>1.7027324967518471</v>
      </c>
      <c r="AD54" s="231">
        <v>1.6931462207906822</v>
      </c>
      <c r="AE54" s="231">
        <v>1.6901845821893544</v>
      </c>
      <c r="AF54" s="231">
        <v>1.705699337159698</v>
      </c>
      <c r="AG54" s="231">
        <v>1.7177445028067597</v>
      </c>
      <c r="AH54" s="231">
        <v>1.7212034732115575</v>
      </c>
      <c r="AI54" s="232">
        <v>1.7250006404743998</v>
      </c>
      <c r="AJ54" s="232">
        <v>1.7231784306923905</v>
      </c>
      <c r="AK54" s="232">
        <v>1.7150000000000001</v>
      </c>
      <c r="AL54" s="232">
        <v>1.704765833976547</v>
      </c>
      <c r="AM54" s="232">
        <v>1.6940494729751747</v>
      </c>
      <c r="AN54" s="232">
        <v>1.6881427548165451</v>
      </c>
      <c r="AO54" s="232">
        <v>1.6811978463415846</v>
      </c>
      <c r="AP54" s="373" t="s">
        <v>432</v>
      </c>
      <c r="AQ54" s="373" t="s">
        <v>432</v>
      </c>
      <c r="AR54" s="373" t="s">
        <v>432</v>
      </c>
      <c r="AS54" s="373" t="s">
        <v>432</v>
      </c>
      <c r="AT54" s="373" t="s">
        <v>432</v>
      </c>
      <c r="AU54" s="373" t="s">
        <v>432</v>
      </c>
      <c r="AV54" s="374" t="s">
        <v>432</v>
      </c>
    </row>
    <row r="55" spans="1:48" ht="17.399999999999999" thickBot="1" x14ac:dyDescent="0.45">
      <c r="A55" s="233" t="s">
        <v>24</v>
      </c>
      <c r="B55" s="234">
        <v>14805</v>
      </c>
      <c r="C55" s="234">
        <v>16053</v>
      </c>
      <c r="D55" s="235">
        <v>17833</v>
      </c>
      <c r="E55" s="235">
        <v>18905</v>
      </c>
      <c r="F55" s="235">
        <v>19123</v>
      </c>
      <c r="G55" s="235">
        <v>19993</v>
      </c>
      <c r="H55" s="235">
        <v>20825</v>
      </c>
      <c r="I55" s="235">
        <v>21459</v>
      </c>
      <c r="J55" s="235">
        <v>22420</v>
      </c>
      <c r="K55" s="235">
        <v>23580</v>
      </c>
      <c r="L55" s="235">
        <v>24793</v>
      </c>
      <c r="M55" s="235">
        <v>26149</v>
      </c>
      <c r="N55" s="235">
        <v>26902</v>
      </c>
      <c r="O55" s="236">
        <v>30286</v>
      </c>
      <c r="P55" s="236">
        <v>31543</v>
      </c>
      <c r="Q55" s="236">
        <v>31670</v>
      </c>
      <c r="R55" s="236">
        <v>31993</v>
      </c>
      <c r="S55" s="236">
        <v>33749</v>
      </c>
      <c r="T55" s="236">
        <v>34035.956892588998</v>
      </c>
      <c r="U55" s="236">
        <v>35375.26999225295</v>
      </c>
      <c r="V55" s="236">
        <v>35795</v>
      </c>
      <c r="W55" s="246">
        <f>+W49/W52</f>
        <v>39909.197861215456</v>
      </c>
      <c r="X55" s="246">
        <f>+X49/X52</f>
        <v>41891.481140955759</v>
      </c>
      <c r="Y55" s="210">
        <f>+Y49/Y52</f>
        <v>44185.841831095728</v>
      </c>
      <c r="Z55" s="210">
        <f>+Z49/Z52</f>
        <v>45950.634547321046</v>
      </c>
      <c r="AA55" s="210">
        <f>+AA49/AA53</f>
        <v>47579.712709231208</v>
      </c>
      <c r="AB55" s="210">
        <f t="shared" ref="AB55:AH55" si="4">+AB49/AB54</f>
        <v>49809.052070615267</v>
      </c>
      <c r="AC55" s="210">
        <f t="shared" si="4"/>
        <v>51228.812612091082</v>
      </c>
      <c r="AD55" s="210">
        <f t="shared" si="4"/>
        <v>54001.222711328606</v>
      </c>
      <c r="AE55" s="210">
        <f t="shared" si="4"/>
        <v>56644.590809065332</v>
      </c>
      <c r="AF55" s="210">
        <f t="shared" si="4"/>
        <v>58926.019614925681</v>
      </c>
      <c r="AG55" s="210">
        <f t="shared" si="4"/>
        <v>59495.497680419205</v>
      </c>
      <c r="AH55" s="210">
        <f t="shared" si="4"/>
        <v>59651.975832215561</v>
      </c>
      <c r="AI55" s="210">
        <f>+AI49/AI54</f>
        <v>59698.027025700081</v>
      </c>
      <c r="AJ55" s="210">
        <f>+AJ49/AJ54</f>
        <v>60031.10543650086</v>
      </c>
      <c r="AK55" s="210">
        <v>61654</v>
      </c>
      <c r="AL55" s="210">
        <v>63290.247547306724</v>
      </c>
      <c r="AM55" s="210">
        <v>66440.759256956619</v>
      </c>
      <c r="AN55" s="210">
        <v>68647.633526415506</v>
      </c>
      <c r="AO55" s="210">
        <v>72504.264595599059</v>
      </c>
      <c r="AP55" s="377" t="s">
        <v>432</v>
      </c>
      <c r="AQ55" s="377" t="s">
        <v>432</v>
      </c>
      <c r="AR55" s="377" t="s">
        <v>432</v>
      </c>
      <c r="AS55" s="377" t="s">
        <v>432</v>
      </c>
      <c r="AT55" s="377" t="s">
        <v>432</v>
      </c>
      <c r="AU55" s="377" t="s">
        <v>432</v>
      </c>
      <c r="AV55" s="379" t="s">
        <v>432</v>
      </c>
    </row>
    <row r="56" spans="1:48" s="198" customFormat="1" ht="19.2" x14ac:dyDescent="0.45">
      <c r="A56" s="194" t="s">
        <v>31</v>
      </c>
      <c r="B56" s="195"/>
      <c r="C56" s="195"/>
      <c r="D56" s="195"/>
      <c r="E56" s="196"/>
      <c r="F56" s="196"/>
      <c r="G56" s="196"/>
      <c r="H56" s="196"/>
      <c r="I56" s="196"/>
      <c r="J56" s="196"/>
      <c r="K56" s="196"/>
      <c r="L56" s="196"/>
      <c r="M56" s="196"/>
      <c r="N56" s="196"/>
      <c r="O56" s="196"/>
      <c r="P56" s="196"/>
      <c r="Q56" s="196"/>
      <c r="R56" s="196"/>
      <c r="S56" s="196"/>
      <c r="T56" s="196"/>
      <c r="U56" s="196"/>
      <c r="V56" s="196"/>
      <c r="W56" s="196"/>
      <c r="X56" s="197"/>
      <c r="Y56" s="197"/>
      <c r="Z56" s="197"/>
      <c r="AA56" s="197"/>
      <c r="AB56" s="197"/>
      <c r="AC56" s="387"/>
      <c r="AD56" s="387"/>
      <c r="AE56" s="387"/>
      <c r="AF56" s="387"/>
      <c r="AG56" s="387"/>
      <c r="AH56" s="387"/>
      <c r="AI56" s="387"/>
      <c r="AJ56" s="387"/>
      <c r="AK56" s="387"/>
      <c r="AL56" s="387"/>
      <c r="AM56" s="387"/>
      <c r="AN56" s="387"/>
      <c r="AO56" s="387"/>
      <c r="AP56" s="387"/>
      <c r="AQ56" s="387"/>
      <c r="AR56" s="387"/>
      <c r="AS56" s="387"/>
      <c r="AT56" s="387"/>
      <c r="AU56" s="387"/>
      <c r="AV56" s="388"/>
    </row>
    <row r="57" spans="1:48" s="205" customFormat="1" x14ac:dyDescent="0.4">
      <c r="A57" s="199" t="s">
        <v>20</v>
      </c>
      <c r="B57" s="200">
        <v>33381</v>
      </c>
      <c r="C57" s="200">
        <v>33591</v>
      </c>
      <c r="D57" s="200">
        <v>33304</v>
      </c>
      <c r="E57" s="200">
        <v>32607</v>
      </c>
      <c r="F57" s="200">
        <v>31748</v>
      </c>
      <c r="G57" s="200">
        <v>32410</v>
      </c>
      <c r="H57" s="200">
        <v>33049</v>
      </c>
      <c r="I57" s="200">
        <v>33382</v>
      </c>
      <c r="J57" s="200">
        <v>34347</v>
      </c>
      <c r="K57" s="200">
        <v>35077</v>
      </c>
      <c r="L57" s="200">
        <v>35885</v>
      </c>
      <c r="M57" s="200">
        <v>37432</v>
      </c>
      <c r="N57" s="200">
        <v>38886</v>
      </c>
      <c r="O57" s="201">
        <v>40328</v>
      </c>
      <c r="P57" s="201">
        <v>41582</v>
      </c>
      <c r="Q57" s="201">
        <v>42609</v>
      </c>
      <c r="R57" s="201">
        <v>43482</v>
      </c>
      <c r="S57" s="201">
        <v>45420</v>
      </c>
      <c r="T57" s="201">
        <v>46608</v>
      </c>
      <c r="U57" s="201">
        <v>47150.378999999994</v>
      </c>
      <c r="V57" s="201">
        <v>47501.37</v>
      </c>
      <c r="W57" s="201">
        <v>47903.331999999995</v>
      </c>
      <c r="X57" s="202">
        <v>47642.04</v>
      </c>
      <c r="Y57" s="202">
        <v>48129.62</v>
      </c>
      <c r="Z57" s="202">
        <v>47983.38</v>
      </c>
      <c r="AA57" s="202">
        <v>47715.93</v>
      </c>
      <c r="AB57" s="202">
        <v>47546.94</v>
      </c>
      <c r="AC57" s="202">
        <v>47538.67</v>
      </c>
      <c r="AD57" s="203">
        <v>47533.740000000013</v>
      </c>
      <c r="AE57" s="203">
        <v>45951.360000000001</v>
      </c>
      <c r="AF57" s="203">
        <v>46348.740000000005</v>
      </c>
      <c r="AG57" s="203">
        <v>46786.850000000006</v>
      </c>
      <c r="AH57" s="203">
        <v>48066.589999999989</v>
      </c>
      <c r="AI57" s="239">
        <v>48042.510000000017</v>
      </c>
      <c r="AJ57" s="239">
        <v>48563.889999999985</v>
      </c>
      <c r="AK57" s="239">
        <v>49732.1</v>
      </c>
      <c r="AL57" s="239">
        <v>51370.450000000004</v>
      </c>
      <c r="AM57" s="239">
        <v>53113.39</v>
      </c>
      <c r="AN57" s="239">
        <v>54884.070000000007</v>
      </c>
      <c r="AO57" s="239">
        <v>55860.740000000013</v>
      </c>
      <c r="AP57" s="239">
        <v>57054.44</v>
      </c>
      <c r="AQ57" s="239">
        <v>57198.57</v>
      </c>
      <c r="AR57" s="239">
        <v>56442.54</v>
      </c>
      <c r="AS57" s="239">
        <v>56351.21</v>
      </c>
      <c r="AT57" s="239">
        <v>56027.62</v>
      </c>
      <c r="AU57" s="239">
        <v>55463.99</v>
      </c>
      <c r="AV57" s="240">
        <f>+table3ws2!S12</f>
        <v>54968.34</v>
      </c>
    </row>
    <row r="58" spans="1:48" x14ac:dyDescent="0.4">
      <c r="A58" s="206" t="s">
        <v>370</v>
      </c>
      <c r="B58" s="207">
        <v>17628</v>
      </c>
      <c r="C58" s="207">
        <v>19292</v>
      </c>
      <c r="D58" s="208">
        <v>21664</v>
      </c>
      <c r="E58" s="208">
        <v>23338</v>
      </c>
      <c r="F58" s="208">
        <v>23877</v>
      </c>
      <c r="G58" s="208">
        <v>24810</v>
      </c>
      <c r="H58" s="208">
        <v>25929</v>
      </c>
      <c r="I58" s="208">
        <v>26630</v>
      </c>
      <c r="J58" s="208">
        <v>27700</v>
      </c>
      <c r="K58" s="208">
        <v>28604</v>
      </c>
      <c r="L58" s="208">
        <v>29583</v>
      </c>
      <c r="M58" s="208">
        <v>30837</v>
      </c>
      <c r="N58" s="208">
        <v>33501</v>
      </c>
      <c r="O58" s="98">
        <v>35272</v>
      </c>
      <c r="P58" s="98">
        <v>36182</v>
      </c>
      <c r="Q58" s="98">
        <v>36283</v>
      </c>
      <c r="R58" s="98">
        <v>36575</v>
      </c>
      <c r="S58" s="98">
        <v>38291</v>
      </c>
      <c r="T58" s="98">
        <v>38256.813484594917</v>
      </c>
      <c r="U58" s="98">
        <v>39213.366550251587</v>
      </c>
      <c r="V58" s="98">
        <v>39120</v>
      </c>
      <c r="W58" s="98">
        <v>41524.455584843323</v>
      </c>
      <c r="X58" s="209">
        <v>42760.26</v>
      </c>
      <c r="Y58" s="210">
        <v>44321.66564311125</v>
      </c>
      <c r="Z58" s="210">
        <v>45632.16827347302</v>
      </c>
      <c r="AA58" s="210">
        <v>45961.722492467408</v>
      </c>
      <c r="AB58" s="210">
        <v>46195.909677888856</v>
      </c>
      <c r="AC58" s="210">
        <v>46766.463670313038</v>
      </c>
      <c r="AD58" s="211">
        <v>48269.181740590982</v>
      </c>
      <c r="AE58" s="211">
        <v>50299.788111603244</v>
      </c>
      <c r="AF58" s="211">
        <v>52983.706160296897</v>
      </c>
      <c r="AG58" s="211">
        <v>53392.304795043885</v>
      </c>
      <c r="AH58" s="211">
        <v>53298.090803196152</v>
      </c>
      <c r="AI58" s="210">
        <v>52642.638444785662</v>
      </c>
      <c r="AJ58" s="210">
        <v>52645.5250551387</v>
      </c>
      <c r="AK58" s="210">
        <v>53380</v>
      </c>
      <c r="AL58" s="210">
        <v>52890.878722884474</v>
      </c>
      <c r="AM58" s="210">
        <v>54072.562489421223</v>
      </c>
      <c r="AN58" s="210">
        <v>54804.179738310217</v>
      </c>
      <c r="AO58" s="210">
        <v>56036.838805393541</v>
      </c>
      <c r="AP58" s="210">
        <v>73628</v>
      </c>
      <c r="AQ58" s="210">
        <v>77266</v>
      </c>
      <c r="AR58" s="210">
        <v>80004</v>
      </c>
      <c r="AS58" s="210">
        <v>82207</v>
      </c>
      <c r="AT58" s="210">
        <v>87499</v>
      </c>
      <c r="AU58" s="210">
        <v>92555</v>
      </c>
      <c r="AV58" s="212">
        <f>+table3ws2!S64</f>
        <v>97374</v>
      </c>
    </row>
    <row r="59" spans="1:48" s="89" customFormat="1" ht="16.5" hidden="1" customHeight="1" x14ac:dyDescent="0.4">
      <c r="A59" s="213" t="s">
        <v>21</v>
      </c>
      <c r="B59" s="214">
        <v>1.5580000000000001</v>
      </c>
      <c r="C59" s="214">
        <v>1.57</v>
      </c>
      <c r="D59" s="214">
        <v>1.5920000000000001</v>
      </c>
      <c r="E59" s="214">
        <v>1.619</v>
      </c>
      <c r="F59" s="214">
        <v>1.6319999999999999</v>
      </c>
      <c r="G59" s="214">
        <v>1.6359999999999999</v>
      </c>
      <c r="H59" s="214">
        <v>1.641</v>
      </c>
      <c r="I59" s="214">
        <v>1.651</v>
      </c>
      <c r="J59" s="214">
        <v>1.657</v>
      </c>
      <c r="K59" s="214">
        <v>1.663</v>
      </c>
      <c r="L59" s="214">
        <v>1.675</v>
      </c>
      <c r="M59" s="214">
        <v>1.6759999999999999</v>
      </c>
      <c r="N59" s="214">
        <v>1.6870000000000001</v>
      </c>
      <c r="O59" s="215" t="s">
        <v>371</v>
      </c>
      <c r="P59" s="215" t="s">
        <v>371</v>
      </c>
      <c r="Q59" s="215" t="s">
        <v>371</v>
      </c>
      <c r="R59" s="215" t="s">
        <v>371</v>
      </c>
      <c r="S59" s="215" t="s">
        <v>371</v>
      </c>
      <c r="T59" s="215" t="s">
        <v>371</v>
      </c>
      <c r="U59" s="215" t="s">
        <v>371</v>
      </c>
      <c r="V59" s="215" t="s">
        <v>371</v>
      </c>
      <c r="W59" s="215" t="s">
        <v>371</v>
      </c>
      <c r="X59" s="215" t="s">
        <v>371</v>
      </c>
      <c r="Y59" s="215" t="s">
        <v>371</v>
      </c>
      <c r="Z59" s="215" t="s">
        <v>371</v>
      </c>
      <c r="AA59" s="215" t="s">
        <v>371</v>
      </c>
      <c r="AB59" s="215" t="s">
        <v>371</v>
      </c>
      <c r="AC59" s="215" t="s">
        <v>371</v>
      </c>
      <c r="AD59" s="216" t="s">
        <v>371</v>
      </c>
      <c r="AE59" s="216" t="s">
        <v>371</v>
      </c>
      <c r="AF59" s="216" t="s">
        <v>371</v>
      </c>
      <c r="AG59" s="216" t="s">
        <v>371</v>
      </c>
      <c r="AH59" s="216" t="s">
        <v>371</v>
      </c>
      <c r="AI59" s="217" t="s">
        <v>371</v>
      </c>
      <c r="AJ59" s="217" t="s">
        <v>371</v>
      </c>
      <c r="AK59" s="217" t="s">
        <v>371</v>
      </c>
      <c r="AL59" s="217" t="s">
        <v>371</v>
      </c>
      <c r="AM59" s="217" t="s">
        <v>371</v>
      </c>
      <c r="AN59" s="217" t="s">
        <v>371</v>
      </c>
      <c r="AO59" s="217" t="s">
        <v>371</v>
      </c>
      <c r="AP59" s="217" t="s">
        <v>371</v>
      </c>
      <c r="AQ59" s="217" t="s">
        <v>371</v>
      </c>
      <c r="AR59" s="217" t="s">
        <v>371</v>
      </c>
      <c r="AS59" s="217" t="s">
        <v>371</v>
      </c>
      <c r="AT59" s="217" t="s">
        <v>371</v>
      </c>
      <c r="AU59" s="217" t="s">
        <v>371</v>
      </c>
      <c r="AV59" s="218" t="s">
        <v>371</v>
      </c>
    </row>
    <row r="60" spans="1:48" s="89" customFormat="1" ht="16.5" hidden="1" customHeight="1" x14ac:dyDescent="0.4">
      <c r="A60" s="213" t="s">
        <v>23</v>
      </c>
      <c r="B60" s="214" t="s">
        <v>371</v>
      </c>
      <c r="C60" s="214" t="s">
        <v>371</v>
      </c>
      <c r="D60" s="214" t="s">
        <v>371</v>
      </c>
      <c r="E60" s="214" t="s">
        <v>371</v>
      </c>
      <c r="F60" s="214" t="s">
        <v>371</v>
      </c>
      <c r="G60" s="214" t="s">
        <v>371</v>
      </c>
      <c r="H60" s="214" t="s">
        <v>371</v>
      </c>
      <c r="I60" s="214" t="s">
        <v>371</v>
      </c>
      <c r="J60" s="214" t="s">
        <v>371</v>
      </c>
      <c r="K60" s="214" t="s">
        <v>371</v>
      </c>
      <c r="L60" s="214" t="s">
        <v>371</v>
      </c>
      <c r="M60" s="214" t="s">
        <v>371</v>
      </c>
      <c r="N60" s="214">
        <v>1.6679999999999999</v>
      </c>
      <c r="O60" s="220">
        <v>1.6859999999999999</v>
      </c>
      <c r="P60" s="220">
        <v>1.6759999999999999</v>
      </c>
      <c r="Q60" s="220">
        <v>1.6830000000000001</v>
      </c>
      <c r="R60" s="220">
        <v>1.69</v>
      </c>
      <c r="S60" s="220">
        <v>1.7020599999999999</v>
      </c>
      <c r="T60" s="220">
        <v>1.7013972964340882</v>
      </c>
      <c r="U60" s="220">
        <v>1.7006280939314442</v>
      </c>
      <c r="V60" s="220">
        <v>1.696</v>
      </c>
      <c r="W60" s="230" t="s">
        <v>371</v>
      </c>
      <c r="X60" s="230" t="s">
        <v>371</v>
      </c>
      <c r="Y60" s="226" t="s">
        <v>371</v>
      </c>
      <c r="Z60" s="226" t="s">
        <v>371</v>
      </c>
      <c r="AA60" s="226" t="s">
        <v>371</v>
      </c>
      <c r="AB60" s="226" t="s">
        <v>371</v>
      </c>
      <c r="AC60" s="226" t="s">
        <v>371</v>
      </c>
      <c r="AD60" s="227" t="s">
        <v>371</v>
      </c>
      <c r="AE60" s="227" t="s">
        <v>371</v>
      </c>
      <c r="AF60" s="227" t="s">
        <v>371</v>
      </c>
      <c r="AG60" s="227" t="s">
        <v>371</v>
      </c>
      <c r="AH60" s="227" t="s">
        <v>371</v>
      </c>
      <c r="AI60" s="228" t="s">
        <v>371</v>
      </c>
      <c r="AJ60" s="228" t="s">
        <v>371</v>
      </c>
      <c r="AK60" s="228" t="s">
        <v>371</v>
      </c>
      <c r="AL60" s="228" t="s">
        <v>371</v>
      </c>
      <c r="AM60" s="228" t="s">
        <v>371</v>
      </c>
      <c r="AN60" s="228" t="s">
        <v>371</v>
      </c>
      <c r="AO60" s="228" t="s">
        <v>371</v>
      </c>
      <c r="AP60" s="228" t="s">
        <v>371</v>
      </c>
      <c r="AQ60" s="228" t="s">
        <v>371</v>
      </c>
      <c r="AR60" s="228" t="s">
        <v>371</v>
      </c>
      <c r="AS60" s="228" t="s">
        <v>371</v>
      </c>
      <c r="AT60" s="228" t="s">
        <v>371</v>
      </c>
      <c r="AU60" s="228" t="s">
        <v>371</v>
      </c>
      <c r="AV60" s="229" t="s">
        <v>371</v>
      </c>
    </row>
    <row r="61" spans="1:48" s="89" customFormat="1" ht="16.5" hidden="1" customHeight="1" x14ac:dyDescent="0.4">
      <c r="A61" s="213" t="s">
        <v>177</v>
      </c>
      <c r="B61" s="257"/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20" t="s">
        <v>371</v>
      </c>
      <c r="P61" s="220" t="s">
        <v>371</v>
      </c>
      <c r="Q61" s="220" t="s">
        <v>371</v>
      </c>
      <c r="R61" s="220" t="s">
        <v>371</v>
      </c>
      <c r="S61" s="220" t="s">
        <v>371</v>
      </c>
      <c r="T61" s="230" t="s">
        <v>371</v>
      </c>
      <c r="U61" s="230" t="s">
        <v>371</v>
      </c>
      <c r="V61" s="230" t="s">
        <v>371</v>
      </c>
      <c r="W61" s="220">
        <v>1.6064652367072789</v>
      </c>
      <c r="X61" s="225">
        <v>1.6067100000000001</v>
      </c>
      <c r="Y61" s="225">
        <v>1.6064051676514375</v>
      </c>
      <c r="Z61" s="225">
        <v>1.605744468145011</v>
      </c>
      <c r="AA61" s="226" t="s">
        <v>371</v>
      </c>
      <c r="AB61" s="226" t="s">
        <v>371</v>
      </c>
      <c r="AC61" s="226" t="s">
        <v>371</v>
      </c>
      <c r="AD61" s="227" t="s">
        <v>371</v>
      </c>
      <c r="AE61" s="227" t="s">
        <v>371</v>
      </c>
      <c r="AF61" s="227" t="s">
        <v>371</v>
      </c>
      <c r="AG61" s="227" t="s">
        <v>371</v>
      </c>
      <c r="AH61" s="227" t="s">
        <v>371</v>
      </c>
      <c r="AI61" s="228" t="s">
        <v>371</v>
      </c>
      <c r="AJ61" s="228" t="s">
        <v>371</v>
      </c>
      <c r="AK61" s="228" t="s">
        <v>371</v>
      </c>
      <c r="AL61" s="228" t="s">
        <v>371</v>
      </c>
      <c r="AM61" s="228" t="s">
        <v>371</v>
      </c>
      <c r="AN61" s="228" t="s">
        <v>371</v>
      </c>
      <c r="AO61" s="228" t="s">
        <v>371</v>
      </c>
      <c r="AP61" s="228" t="s">
        <v>371</v>
      </c>
      <c r="AQ61" s="228" t="s">
        <v>371</v>
      </c>
      <c r="AR61" s="228" t="s">
        <v>371</v>
      </c>
      <c r="AS61" s="228" t="s">
        <v>371</v>
      </c>
      <c r="AT61" s="228" t="s">
        <v>371</v>
      </c>
      <c r="AU61" s="228" t="s">
        <v>371</v>
      </c>
      <c r="AV61" s="229" t="s">
        <v>371</v>
      </c>
    </row>
    <row r="62" spans="1:48" s="89" customFormat="1" ht="16.5" hidden="1" customHeight="1" x14ac:dyDescent="0.4">
      <c r="A62" s="213" t="s">
        <v>278</v>
      </c>
      <c r="B62" s="257"/>
      <c r="C62" s="257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7"/>
      <c r="O62" s="220" t="s">
        <v>371</v>
      </c>
      <c r="P62" s="220" t="s">
        <v>371</v>
      </c>
      <c r="Q62" s="220" t="s">
        <v>371</v>
      </c>
      <c r="R62" s="220" t="s">
        <v>371</v>
      </c>
      <c r="S62" s="220" t="s">
        <v>371</v>
      </c>
      <c r="T62" s="230" t="s">
        <v>371</v>
      </c>
      <c r="U62" s="230" t="s">
        <v>371</v>
      </c>
      <c r="V62" s="230" t="s">
        <v>371</v>
      </c>
      <c r="W62" s="230" t="s">
        <v>371</v>
      </c>
      <c r="X62" s="226" t="s">
        <v>371</v>
      </c>
      <c r="Y62" s="226" t="s">
        <v>371</v>
      </c>
      <c r="Z62" s="226" t="s">
        <v>371</v>
      </c>
      <c r="AA62" s="225">
        <v>1.5696024713360928</v>
      </c>
      <c r="AB62" s="226" t="s">
        <v>371</v>
      </c>
      <c r="AC62" s="226" t="s">
        <v>371</v>
      </c>
      <c r="AD62" s="227" t="s">
        <v>371</v>
      </c>
      <c r="AE62" s="227" t="s">
        <v>371</v>
      </c>
      <c r="AF62" s="227" t="s">
        <v>371</v>
      </c>
      <c r="AG62" s="227" t="s">
        <v>371</v>
      </c>
      <c r="AH62" s="227" t="s">
        <v>371</v>
      </c>
      <c r="AI62" s="228" t="s">
        <v>371</v>
      </c>
      <c r="AJ62" s="228" t="s">
        <v>371</v>
      </c>
      <c r="AK62" s="228" t="s">
        <v>371</v>
      </c>
      <c r="AL62" s="228" t="s">
        <v>371</v>
      </c>
      <c r="AM62" s="228" t="s">
        <v>371</v>
      </c>
      <c r="AN62" s="228" t="s">
        <v>371</v>
      </c>
      <c r="AO62" s="228" t="s">
        <v>371</v>
      </c>
      <c r="AP62" s="228" t="s">
        <v>371</v>
      </c>
      <c r="AQ62" s="228" t="s">
        <v>371</v>
      </c>
      <c r="AR62" s="228" t="s">
        <v>371</v>
      </c>
      <c r="AS62" s="228" t="s">
        <v>371</v>
      </c>
      <c r="AT62" s="228" t="s">
        <v>371</v>
      </c>
      <c r="AU62" s="228" t="s">
        <v>371</v>
      </c>
      <c r="AV62" s="229" t="s">
        <v>371</v>
      </c>
    </row>
    <row r="63" spans="1:48" s="89" customFormat="1" x14ac:dyDescent="0.4">
      <c r="A63" s="213" t="s">
        <v>433</v>
      </c>
      <c r="B63" s="257"/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20" t="s">
        <v>371</v>
      </c>
      <c r="P63" s="220" t="s">
        <v>371</v>
      </c>
      <c r="Q63" s="220" t="s">
        <v>371</v>
      </c>
      <c r="R63" s="220" t="s">
        <v>371</v>
      </c>
      <c r="S63" s="220" t="s">
        <v>371</v>
      </c>
      <c r="T63" s="230" t="s">
        <v>371</v>
      </c>
      <c r="U63" s="230" t="s">
        <v>371</v>
      </c>
      <c r="V63" s="230" t="s">
        <v>371</v>
      </c>
      <c r="W63" s="230" t="s">
        <v>371</v>
      </c>
      <c r="X63" s="226" t="s">
        <v>371</v>
      </c>
      <c r="Y63" s="226" t="s">
        <v>371</v>
      </c>
      <c r="Z63" s="226" t="s">
        <v>371</v>
      </c>
      <c r="AA63" s="226" t="s">
        <v>371</v>
      </c>
      <c r="AB63" s="225">
        <v>1.5314514997831621</v>
      </c>
      <c r="AC63" s="225">
        <v>1.531819126645739</v>
      </c>
      <c r="AD63" s="231">
        <v>1.5306898582796136</v>
      </c>
      <c r="AE63" s="231">
        <v>1.5304899999999999</v>
      </c>
      <c r="AF63" s="231">
        <v>1.5360693003995363</v>
      </c>
      <c r="AG63" s="231">
        <v>1.5563387204054131</v>
      </c>
      <c r="AH63" s="231">
        <v>1.5615990462606149</v>
      </c>
      <c r="AI63" s="232">
        <v>1.5718439332561926</v>
      </c>
      <c r="AJ63" s="232">
        <v>1.5721104451990979</v>
      </c>
      <c r="AK63" s="232">
        <v>1.5640000000000001</v>
      </c>
      <c r="AL63" s="232">
        <v>1.5508677126032577</v>
      </c>
      <c r="AM63" s="232">
        <v>1.539607453691056</v>
      </c>
      <c r="AN63" s="232">
        <v>1.5325956650900705</v>
      </c>
      <c r="AO63" s="232">
        <v>1.5305330093496787</v>
      </c>
      <c r="AP63" s="373" t="s">
        <v>432</v>
      </c>
      <c r="AQ63" s="373" t="s">
        <v>432</v>
      </c>
      <c r="AR63" s="373" t="s">
        <v>432</v>
      </c>
      <c r="AS63" s="373" t="s">
        <v>432</v>
      </c>
      <c r="AT63" s="373" t="s">
        <v>432</v>
      </c>
      <c r="AU63" s="373" t="s">
        <v>432</v>
      </c>
      <c r="AV63" s="374" t="s">
        <v>432</v>
      </c>
    </row>
    <row r="64" spans="1:48" ht="17.399999999999999" thickBot="1" x14ac:dyDescent="0.45">
      <c r="A64" s="233" t="s">
        <v>24</v>
      </c>
      <c r="B64" s="234">
        <v>11315</v>
      </c>
      <c r="C64" s="234">
        <v>12285</v>
      </c>
      <c r="D64" s="235">
        <v>13608</v>
      </c>
      <c r="E64" s="235">
        <v>14412</v>
      </c>
      <c r="F64" s="235">
        <v>14629</v>
      </c>
      <c r="G64" s="235">
        <v>15165</v>
      </c>
      <c r="H64" s="235">
        <v>15801</v>
      </c>
      <c r="I64" s="235">
        <v>16130</v>
      </c>
      <c r="J64" s="235">
        <v>16717</v>
      </c>
      <c r="K64" s="235">
        <v>17200</v>
      </c>
      <c r="L64" s="235">
        <v>17666</v>
      </c>
      <c r="M64" s="235">
        <v>18399</v>
      </c>
      <c r="N64" s="235">
        <v>18932</v>
      </c>
      <c r="O64" s="236">
        <v>20919</v>
      </c>
      <c r="P64" s="236">
        <v>21589</v>
      </c>
      <c r="Q64" s="236">
        <v>21560</v>
      </c>
      <c r="R64" s="236">
        <v>21647</v>
      </c>
      <c r="S64" s="236">
        <v>22497</v>
      </c>
      <c r="T64" s="236">
        <v>22485.526199422275</v>
      </c>
      <c r="U64" s="236">
        <v>23058.16697382653</v>
      </c>
      <c r="V64" s="236">
        <v>23063</v>
      </c>
      <c r="W64" s="246">
        <f>+W58/W61</f>
        <v>25848.337477849622</v>
      </c>
      <c r="X64" s="246">
        <f>+X58/X61</f>
        <v>26613.551916649551</v>
      </c>
      <c r="Y64" s="210">
        <f>+Y58/Y61</f>
        <v>27590.589557122425</v>
      </c>
      <c r="Z64" s="210">
        <f>+Z58/Z61</f>
        <v>28418.075963349409</v>
      </c>
      <c r="AA64" s="210">
        <f>+AA58/AA62</f>
        <v>29282.396869153377</v>
      </c>
      <c r="AB64" s="210">
        <f t="shared" ref="AB64:AH64" si="5">+AB58/AB63</f>
        <v>30164.787905088557</v>
      </c>
      <c r="AC64" s="210">
        <f t="shared" si="5"/>
        <v>30530.01679951515</v>
      </c>
      <c r="AD64" s="210">
        <f t="shared" si="5"/>
        <v>31534.266382898822</v>
      </c>
      <c r="AE64" s="210">
        <f t="shared" si="5"/>
        <v>32865.153063138765</v>
      </c>
      <c r="AF64" s="210">
        <f t="shared" si="5"/>
        <v>34493.044126665169</v>
      </c>
      <c r="AG64" s="210">
        <f t="shared" si="5"/>
        <v>34306.352527896779</v>
      </c>
      <c r="AH64" s="210">
        <f t="shared" si="5"/>
        <v>34130.458090905653</v>
      </c>
      <c r="AI64" s="210">
        <f>+AI58/AI63</f>
        <v>33491.008446196363</v>
      </c>
      <c r="AJ64" s="210">
        <f>+AJ58/AJ63</f>
        <v>33487.167021825539</v>
      </c>
      <c r="AK64" s="210">
        <v>34134</v>
      </c>
      <c r="AL64" s="210">
        <v>34104.055615486912</v>
      </c>
      <c r="AM64" s="210">
        <v>35121.00591601296</v>
      </c>
      <c r="AN64" s="210">
        <v>35759.059604993323</v>
      </c>
      <c r="AO64" s="210">
        <v>36612.63002044204</v>
      </c>
      <c r="AP64" s="377" t="s">
        <v>432</v>
      </c>
      <c r="AQ64" s="377" t="s">
        <v>432</v>
      </c>
      <c r="AR64" s="377" t="s">
        <v>432</v>
      </c>
      <c r="AS64" s="377" t="s">
        <v>432</v>
      </c>
      <c r="AT64" s="377" t="s">
        <v>432</v>
      </c>
      <c r="AU64" s="377" t="s">
        <v>432</v>
      </c>
      <c r="AV64" s="379" t="s">
        <v>432</v>
      </c>
    </row>
    <row r="65" spans="1:48" s="198" customFormat="1" ht="19.2" x14ac:dyDescent="0.45">
      <c r="A65" s="194" t="s">
        <v>417</v>
      </c>
      <c r="B65" s="195"/>
      <c r="C65" s="195"/>
      <c r="D65" s="195"/>
      <c r="E65" s="196"/>
      <c r="F65" s="196"/>
      <c r="G65" s="196"/>
      <c r="H65" s="196"/>
      <c r="I65" s="196"/>
      <c r="J65" s="196"/>
      <c r="K65" s="196"/>
      <c r="L65" s="196"/>
      <c r="M65" s="196"/>
      <c r="N65" s="196"/>
      <c r="O65" s="196"/>
      <c r="P65" s="196"/>
      <c r="Q65" s="196"/>
      <c r="R65" s="196"/>
      <c r="S65" s="196"/>
      <c r="T65" s="196"/>
      <c r="U65" s="196"/>
      <c r="V65" s="196"/>
      <c r="W65" s="196"/>
      <c r="X65" s="197"/>
      <c r="Y65" s="197"/>
      <c r="Z65" s="197"/>
      <c r="AA65" s="197"/>
      <c r="AB65" s="197"/>
      <c r="AC65" s="387"/>
      <c r="AD65" s="387"/>
      <c r="AE65" s="387"/>
      <c r="AF65" s="387"/>
      <c r="AG65" s="387"/>
      <c r="AH65" s="387"/>
      <c r="AI65" s="387"/>
      <c r="AJ65" s="387"/>
      <c r="AK65" s="387"/>
      <c r="AL65" s="387"/>
      <c r="AM65" s="387"/>
      <c r="AN65" s="387"/>
      <c r="AO65" s="387"/>
      <c r="AP65" s="387"/>
      <c r="AQ65" s="387"/>
      <c r="AR65" s="387"/>
      <c r="AS65" s="387"/>
      <c r="AT65" s="387"/>
      <c r="AU65" s="387"/>
      <c r="AV65" s="388"/>
    </row>
    <row r="66" spans="1:48" s="205" customFormat="1" x14ac:dyDescent="0.4">
      <c r="A66" s="199" t="s">
        <v>20</v>
      </c>
      <c r="B66" s="200">
        <v>11727</v>
      </c>
      <c r="C66" s="200">
        <v>12444</v>
      </c>
      <c r="D66" s="200">
        <v>12612</v>
      </c>
      <c r="E66" s="200">
        <v>12107</v>
      </c>
      <c r="F66" s="200">
        <v>11838</v>
      </c>
      <c r="G66" s="200">
        <v>12259</v>
      </c>
      <c r="H66" s="200">
        <v>12582</v>
      </c>
      <c r="I66" s="200">
        <v>12753</v>
      </c>
      <c r="J66" s="200">
        <v>13108</v>
      </c>
      <c r="K66" s="200">
        <v>13446</v>
      </c>
      <c r="L66" s="200">
        <v>13843</v>
      </c>
      <c r="M66" s="200">
        <v>14201</v>
      </c>
      <c r="N66" s="200">
        <v>14844</v>
      </c>
      <c r="O66" s="201">
        <v>15448</v>
      </c>
      <c r="P66" s="201">
        <v>16012</v>
      </c>
      <c r="Q66" s="201">
        <v>16387</v>
      </c>
      <c r="R66" s="201">
        <v>16752</v>
      </c>
      <c r="S66" s="201">
        <v>17053</v>
      </c>
      <c r="T66" s="201">
        <v>17558.04</v>
      </c>
      <c r="U66" s="201">
        <v>18126.633999999998</v>
      </c>
      <c r="V66" s="201">
        <v>18339.419999999998</v>
      </c>
      <c r="W66" s="201">
        <v>18872.826000000001</v>
      </c>
      <c r="X66" s="202">
        <v>18843.22</v>
      </c>
      <c r="Y66" s="202">
        <v>19226.84</v>
      </c>
      <c r="Z66" s="202">
        <v>19410.830000000002</v>
      </c>
      <c r="AA66" s="202">
        <v>19374.32</v>
      </c>
      <c r="AB66" s="202">
        <v>19481.580000000002</v>
      </c>
      <c r="AC66" s="202">
        <v>19575.810000000001</v>
      </c>
      <c r="AD66" s="203">
        <v>19607.25</v>
      </c>
      <c r="AE66" s="203">
        <v>19745.21</v>
      </c>
      <c r="AF66" s="203">
        <v>19861.550000000003</v>
      </c>
      <c r="AG66" s="203">
        <v>19308.080000000002</v>
      </c>
      <c r="AH66" s="203">
        <v>19246.650000000001</v>
      </c>
      <c r="AI66" s="239">
        <v>19209.03</v>
      </c>
      <c r="AJ66" s="239">
        <v>19355.879999999997</v>
      </c>
      <c r="AK66" s="239">
        <v>19823.599999999999</v>
      </c>
      <c r="AL66" s="239">
        <v>20568.379999999997</v>
      </c>
      <c r="AM66" s="239">
        <v>21188.250000000004</v>
      </c>
      <c r="AN66" s="239">
        <v>22010.9</v>
      </c>
      <c r="AO66" s="239">
        <v>22330.5</v>
      </c>
      <c r="AP66" s="239">
        <v>22973.05</v>
      </c>
      <c r="AQ66" s="239">
        <v>22767.72</v>
      </c>
      <c r="AR66" s="239">
        <v>21355.759999999998</v>
      </c>
      <c r="AS66" s="239">
        <v>22550.18</v>
      </c>
      <c r="AT66" s="239">
        <v>22942.7</v>
      </c>
      <c r="AU66" s="239">
        <v>22925.89</v>
      </c>
      <c r="AV66" s="240">
        <f>+table3ws2!S35</f>
        <v>22883.040000000001</v>
      </c>
    </row>
    <row r="67" spans="1:48" ht="17.399999999999999" thickBot="1" x14ac:dyDescent="0.45">
      <c r="A67" s="206" t="s">
        <v>370</v>
      </c>
      <c r="B67" s="207">
        <v>12444</v>
      </c>
      <c r="C67" s="207">
        <v>13442</v>
      </c>
      <c r="D67" s="208">
        <v>14775</v>
      </c>
      <c r="E67" s="208">
        <v>15875</v>
      </c>
      <c r="F67" s="208">
        <v>16035</v>
      </c>
      <c r="G67" s="208">
        <v>16880</v>
      </c>
      <c r="H67" s="208">
        <v>17777</v>
      </c>
      <c r="I67" s="208">
        <v>18217</v>
      </c>
      <c r="J67" s="208">
        <v>18778</v>
      </c>
      <c r="K67" s="208">
        <v>19539</v>
      </c>
      <c r="L67" s="208">
        <v>20458</v>
      </c>
      <c r="M67" s="208">
        <v>21453</v>
      </c>
      <c r="N67" s="208">
        <v>22562</v>
      </c>
      <c r="O67" s="98">
        <v>23826</v>
      </c>
      <c r="P67" s="98">
        <v>24769</v>
      </c>
      <c r="Q67" s="98">
        <v>25117</v>
      </c>
      <c r="R67" s="98">
        <v>25469</v>
      </c>
      <c r="S67" s="98">
        <v>26541</v>
      </c>
      <c r="T67" s="98">
        <v>26772.761163546729</v>
      </c>
      <c r="U67" s="98">
        <v>27867.965079433794</v>
      </c>
      <c r="V67" s="98">
        <v>28207</v>
      </c>
      <c r="W67" s="98">
        <v>29442.864147637389</v>
      </c>
      <c r="X67" s="209">
        <v>30766</v>
      </c>
      <c r="Y67" s="210">
        <v>32208.438903636801</v>
      </c>
      <c r="Z67" s="210">
        <v>33753.052144086578</v>
      </c>
      <c r="AA67" s="210">
        <v>34051.545928321611</v>
      </c>
      <c r="AB67" s="210">
        <v>34813.604527456191</v>
      </c>
      <c r="AC67" s="210">
        <v>35720.370517490723</v>
      </c>
      <c r="AD67" s="211">
        <v>37209.707490851601</v>
      </c>
      <c r="AE67" s="211">
        <v>38934</v>
      </c>
      <c r="AF67" s="211">
        <v>41144.804902940596</v>
      </c>
      <c r="AG67" s="211">
        <v>41656.081658559524</v>
      </c>
      <c r="AH67" s="211">
        <v>41849.153491127021</v>
      </c>
      <c r="AI67" s="210">
        <v>41899.51490575006</v>
      </c>
      <c r="AJ67" s="210">
        <v>42247.171894018771</v>
      </c>
      <c r="AK67" s="210">
        <v>43200</v>
      </c>
      <c r="AL67" s="210">
        <v>44249.260320939233</v>
      </c>
      <c r="AM67" s="210">
        <v>46326</v>
      </c>
      <c r="AN67" s="210">
        <v>48153.677290342508</v>
      </c>
      <c r="AO67" s="210">
        <v>50915.085662210884</v>
      </c>
      <c r="AP67" s="210">
        <v>54172</v>
      </c>
      <c r="AQ67" s="210">
        <v>57668</v>
      </c>
      <c r="AR67" s="210">
        <v>60721</v>
      </c>
      <c r="AS67" s="210">
        <v>62626</v>
      </c>
      <c r="AT67" s="210">
        <v>67187</v>
      </c>
      <c r="AU67" s="210">
        <v>70727</v>
      </c>
      <c r="AV67" s="212">
        <f>+table3ws2!S85</f>
        <v>75049</v>
      </c>
    </row>
    <row r="68" spans="1:48" s="89" customFormat="1" ht="17.399999999999999" hidden="1" thickBot="1" x14ac:dyDescent="0.45">
      <c r="A68" s="258" t="s">
        <v>25</v>
      </c>
      <c r="B68" s="214" t="s">
        <v>22</v>
      </c>
      <c r="C68" s="214" t="s">
        <v>22</v>
      </c>
      <c r="D68" s="214" t="s">
        <v>22</v>
      </c>
      <c r="E68" s="214" t="s">
        <v>22</v>
      </c>
      <c r="F68" s="214" t="s">
        <v>22</v>
      </c>
      <c r="G68" s="214" t="s">
        <v>22</v>
      </c>
      <c r="H68" s="214" t="s">
        <v>22</v>
      </c>
      <c r="I68" s="214">
        <v>1.1970000000000001</v>
      </c>
      <c r="J68" s="214">
        <v>1.1970000000000001</v>
      </c>
      <c r="K68" s="214" t="s">
        <v>22</v>
      </c>
      <c r="L68" s="214" t="s">
        <v>22</v>
      </c>
      <c r="M68" s="214" t="s">
        <v>22</v>
      </c>
      <c r="N68" s="214" t="s">
        <v>22</v>
      </c>
      <c r="O68" s="215" t="s">
        <v>22</v>
      </c>
      <c r="P68" s="215" t="s">
        <v>22</v>
      </c>
      <c r="Q68" s="215" t="s">
        <v>22</v>
      </c>
      <c r="R68" s="215" t="s">
        <v>22</v>
      </c>
      <c r="S68" s="215" t="s">
        <v>22</v>
      </c>
      <c r="T68" s="215" t="s">
        <v>22</v>
      </c>
      <c r="U68" s="215" t="s">
        <v>22</v>
      </c>
      <c r="V68" s="215" t="s">
        <v>22</v>
      </c>
      <c r="W68" s="215" t="s">
        <v>22</v>
      </c>
      <c r="X68" s="215" t="s">
        <v>22</v>
      </c>
      <c r="Y68" s="215" t="s">
        <v>22</v>
      </c>
      <c r="Z68" s="215" t="s">
        <v>22</v>
      </c>
      <c r="AA68" s="215" t="s">
        <v>22</v>
      </c>
      <c r="AB68" s="259" t="s">
        <v>22</v>
      </c>
      <c r="AC68" s="259" t="s">
        <v>22</v>
      </c>
      <c r="AD68" s="259" t="s">
        <v>22</v>
      </c>
      <c r="AE68" s="259" t="s">
        <v>22</v>
      </c>
      <c r="AF68" s="259" t="s">
        <v>22</v>
      </c>
      <c r="AG68" s="259" t="s">
        <v>22</v>
      </c>
      <c r="AH68" s="259" t="s">
        <v>22</v>
      </c>
      <c r="AI68" s="259" t="s">
        <v>22</v>
      </c>
      <c r="AJ68" s="259" t="s">
        <v>22</v>
      </c>
      <c r="AK68" s="259" t="s">
        <v>22</v>
      </c>
      <c r="AL68" s="259" t="s">
        <v>22</v>
      </c>
      <c r="AM68" s="259" t="s">
        <v>22</v>
      </c>
      <c r="AN68" s="259" t="s">
        <v>22</v>
      </c>
      <c r="AO68" s="259" t="s">
        <v>22</v>
      </c>
      <c r="AP68" s="259" t="s">
        <v>22</v>
      </c>
      <c r="AQ68" s="259" t="s">
        <v>22</v>
      </c>
      <c r="AR68" s="260" t="s">
        <v>22</v>
      </c>
      <c r="AS68" s="260" t="s">
        <v>22</v>
      </c>
      <c r="AT68" s="260" t="s">
        <v>22</v>
      </c>
      <c r="AU68" s="260" t="s">
        <v>22</v>
      </c>
      <c r="AV68" s="260" t="s">
        <v>22</v>
      </c>
    </row>
    <row r="69" spans="1:48" ht="17.399999999999999" hidden="1" thickBot="1" x14ac:dyDescent="0.45">
      <c r="A69" s="261" t="s">
        <v>24</v>
      </c>
      <c r="B69" s="262" t="s">
        <v>22</v>
      </c>
      <c r="C69" s="262" t="s">
        <v>22</v>
      </c>
      <c r="D69" s="263" t="s">
        <v>22</v>
      </c>
      <c r="E69" s="263" t="s">
        <v>22</v>
      </c>
      <c r="F69" s="263" t="s">
        <v>22</v>
      </c>
      <c r="G69" s="263" t="s">
        <v>22</v>
      </c>
      <c r="H69" s="263" t="s">
        <v>22</v>
      </c>
      <c r="I69" s="263">
        <v>15219</v>
      </c>
      <c r="J69" s="263">
        <v>15688</v>
      </c>
      <c r="K69" s="263" t="s">
        <v>22</v>
      </c>
      <c r="L69" s="263" t="s">
        <v>22</v>
      </c>
      <c r="M69" s="263" t="s">
        <v>22</v>
      </c>
      <c r="N69" s="263" t="s">
        <v>22</v>
      </c>
      <c r="O69" s="215" t="s">
        <v>22</v>
      </c>
      <c r="P69" s="215" t="s">
        <v>22</v>
      </c>
      <c r="Q69" s="215" t="s">
        <v>22</v>
      </c>
      <c r="R69" s="215" t="s">
        <v>22</v>
      </c>
      <c r="S69" s="215" t="s">
        <v>22</v>
      </c>
      <c r="T69" s="215" t="s">
        <v>22</v>
      </c>
      <c r="U69" s="215" t="s">
        <v>22</v>
      </c>
      <c r="V69" s="215" t="s">
        <v>22</v>
      </c>
      <c r="W69" s="215" t="s">
        <v>22</v>
      </c>
      <c r="X69" s="215" t="s">
        <v>22</v>
      </c>
      <c r="Y69" s="215" t="s">
        <v>22</v>
      </c>
      <c r="Z69" s="215" t="s">
        <v>22</v>
      </c>
      <c r="AA69" s="215" t="s">
        <v>22</v>
      </c>
      <c r="AB69" s="259" t="s">
        <v>22</v>
      </c>
      <c r="AC69" s="259" t="s">
        <v>22</v>
      </c>
      <c r="AD69" s="259" t="s">
        <v>22</v>
      </c>
      <c r="AE69" s="259" t="s">
        <v>22</v>
      </c>
      <c r="AF69" s="259" t="s">
        <v>22</v>
      </c>
      <c r="AG69" s="259" t="s">
        <v>22</v>
      </c>
      <c r="AH69" s="259" t="s">
        <v>22</v>
      </c>
      <c r="AI69" s="259" t="s">
        <v>22</v>
      </c>
      <c r="AJ69" s="259" t="s">
        <v>22</v>
      </c>
      <c r="AK69" s="259" t="s">
        <v>22</v>
      </c>
      <c r="AL69" s="259" t="s">
        <v>22</v>
      </c>
      <c r="AM69" s="259" t="s">
        <v>22</v>
      </c>
      <c r="AN69" s="259" t="s">
        <v>22</v>
      </c>
      <c r="AO69" s="259" t="s">
        <v>22</v>
      </c>
      <c r="AP69" s="259" t="s">
        <v>22</v>
      </c>
      <c r="AQ69" s="259" t="s">
        <v>22</v>
      </c>
      <c r="AR69" s="260" t="s">
        <v>22</v>
      </c>
      <c r="AS69" s="260" t="s">
        <v>22</v>
      </c>
      <c r="AT69" s="260" t="s">
        <v>22</v>
      </c>
      <c r="AU69" s="260" t="s">
        <v>22</v>
      </c>
      <c r="AV69" s="260" t="s">
        <v>22</v>
      </c>
    </row>
    <row r="70" spans="1:48" ht="17.399999999999999" thickTop="1" x14ac:dyDescent="0.4">
      <c r="A70" s="264"/>
      <c r="B70" s="264"/>
      <c r="C70" s="264"/>
      <c r="D70" s="264"/>
      <c r="E70" s="264"/>
      <c r="F70" s="264"/>
      <c r="G70" s="264"/>
      <c r="H70" s="264"/>
      <c r="I70" s="264"/>
      <c r="J70" s="264"/>
      <c r="K70" s="264"/>
      <c r="L70" s="264"/>
      <c r="M70" s="264"/>
      <c r="N70" s="264"/>
      <c r="O70" s="264"/>
      <c r="P70" s="264"/>
      <c r="Q70" s="264"/>
      <c r="R70" s="264"/>
      <c r="S70" s="264"/>
      <c r="T70" s="264"/>
      <c r="U70" s="264"/>
      <c r="V70" s="264"/>
      <c r="W70" s="264"/>
      <c r="X70" s="264"/>
      <c r="Y70" s="265"/>
      <c r="Z70" s="265"/>
      <c r="AA70" s="265"/>
      <c r="AB70" s="265"/>
      <c r="AC70" s="265"/>
      <c r="AD70" s="265"/>
      <c r="AE70" s="265"/>
      <c r="AF70" s="265"/>
      <c r="AG70" s="265"/>
      <c r="AH70" s="265"/>
      <c r="AI70" s="265"/>
      <c r="AJ70" s="265"/>
      <c r="AK70" s="265"/>
      <c r="AL70" s="265"/>
      <c r="AM70" s="265"/>
      <c r="AN70" s="265"/>
      <c r="AO70" s="265"/>
      <c r="AP70" s="265"/>
      <c r="AQ70" s="265"/>
      <c r="AR70" s="265"/>
      <c r="AS70" s="265"/>
      <c r="AT70" s="265"/>
      <c r="AU70" s="265"/>
      <c r="AV70" s="265"/>
    </row>
    <row r="71" spans="1:48" x14ac:dyDescent="0.4">
      <c r="A71" s="88" t="s">
        <v>299</v>
      </c>
      <c r="Y71" s="88"/>
      <c r="AR71" s="164"/>
      <c r="AS71" s="164"/>
      <c r="AT71" s="164"/>
      <c r="AU71" s="164"/>
      <c r="AV71" s="164"/>
    </row>
    <row r="72" spans="1:48" x14ac:dyDescent="0.4">
      <c r="AR72" s="88"/>
      <c r="AS72" s="88"/>
      <c r="AT72" s="88"/>
      <c r="AU72" s="88"/>
      <c r="AV72" s="88"/>
    </row>
    <row r="73" spans="1:48" x14ac:dyDescent="0.4">
      <c r="AR73" s="88"/>
      <c r="AS73" s="88"/>
      <c r="AT73" s="88"/>
      <c r="AU73" s="88"/>
      <c r="AV73" s="88"/>
    </row>
    <row r="74" spans="1:48" x14ac:dyDescent="0.4">
      <c r="AR74" s="88"/>
      <c r="AS74" s="88"/>
      <c r="AT74" s="88"/>
      <c r="AU74" s="88"/>
      <c r="AV74" s="88"/>
    </row>
    <row r="75" spans="1:48" x14ac:dyDescent="0.4">
      <c r="AR75" s="88"/>
      <c r="AS75" s="88"/>
      <c r="AT75" s="88"/>
      <c r="AU75" s="88"/>
      <c r="AV75" s="88"/>
    </row>
    <row r="76" spans="1:48" x14ac:dyDescent="0.4">
      <c r="AR76" s="88"/>
      <c r="AS76" s="88"/>
      <c r="AT76" s="88"/>
      <c r="AU76" s="88"/>
      <c r="AV76" s="88"/>
    </row>
    <row r="77" spans="1:48" x14ac:dyDescent="0.4">
      <c r="AR77" s="88"/>
      <c r="AS77" s="88"/>
      <c r="AT77" s="88"/>
      <c r="AU77" s="88"/>
      <c r="AV77" s="88"/>
    </row>
    <row r="78" spans="1:48" x14ac:dyDescent="0.4">
      <c r="AR78" s="88"/>
      <c r="AS78" s="88"/>
      <c r="AT78" s="88"/>
      <c r="AU78" s="88"/>
      <c r="AV78" s="88"/>
    </row>
    <row r="79" spans="1:48" x14ac:dyDescent="0.4">
      <c r="AR79" s="88"/>
      <c r="AS79" s="88"/>
      <c r="AT79" s="88"/>
      <c r="AU79" s="88"/>
      <c r="AV79" s="88"/>
    </row>
    <row r="80" spans="1:48" x14ac:dyDescent="0.4">
      <c r="AR80" s="88"/>
      <c r="AS80" s="88"/>
      <c r="AT80" s="88"/>
      <c r="AU80" s="88"/>
      <c r="AV80" s="88"/>
    </row>
    <row r="81" spans="44:48" x14ac:dyDescent="0.4">
      <c r="AR81" s="88"/>
      <c r="AS81" s="88"/>
      <c r="AT81" s="88"/>
      <c r="AU81" s="88"/>
      <c r="AV81" s="88"/>
    </row>
    <row r="82" spans="44:48" x14ac:dyDescent="0.4">
      <c r="AR82" s="88"/>
      <c r="AS82" s="88"/>
      <c r="AT82" s="88"/>
      <c r="AU82" s="88"/>
      <c r="AV82" s="88"/>
    </row>
    <row r="83" spans="44:48" x14ac:dyDescent="0.4">
      <c r="AR83" s="88"/>
      <c r="AS83" s="88"/>
      <c r="AT83" s="88"/>
      <c r="AU83" s="88"/>
      <c r="AV83" s="88"/>
    </row>
    <row r="84" spans="44:48" x14ac:dyDescent="0.4">
      <c r="AR84" s="88"/>
      <c r="AS84" s="88"/>
      <c r="AT84" s="88"/>
      <c r="AU84" s="88"/>
      <c r="AV84" s="88"/>
    </row>
    <row r="85" spans="44:48" x14ac:dyDescent="0.4">
      <c r="AR85" s="88"/>
      <c r="AS85" s="88"/>
      <c r="AT85" s="88"/>
      <c r="AU85" s="88"/>
      <c r="AV85" s="88"/>
    </row>
    <row r="86" spans="44:48" x14ac:dyDescent="0.4">
      <c r="AR86" s="88"/>
      <c r="AS86" s="88"/>
      <c r="AT86" s="88"/>
      <c r="AU86" s="88"/>
      <c r="AV86" s="88"/>
    </row>
    <row r="87" spans="44:48" x14ac:dyDescent="0.4">
      <c r="AR87" s="88"/>
      <c r="AS87" s="88"/>
      <c r="AT87" s="88"/>
      <c r="AU87" s="88"/>
      <c r="AV87" s="88"/>
    </row>
    <row r="88" spans="44:48" x14ac:dyDescent="0.4">
      <c r="AR88" s="88"/>
      <c r="AS88" s="88"/>
      <c r="AT88" s="88"/>
      <c r="AU88" s="88"/>
      <c r="AV88" s="88"/>
    </row>
    <row r="89" spans="44:48" x14ac:dyDescent="0.4">
      <c r="AR89" s="88"/>
      <c r="AS89" s="88"/>
      <c r="AT89" s="88"/>
      <c r="AU89" s="88"/>
      <c r="AV89" s="88"/>
    </row>
    <row r="90" spans="44:48" x14ac:dyDescent="0.4">
      <c r="AR90" s="88"/>
      <c r="AS90" s="88"/>
      <c r="AT90" s="88"/>
      <c r="AU90" s="88"/>
      <c r="AV90" s="88"/>
    </row>
    <row r="91" spans="44:48" x14ac:dyDescent="0.4">
      <c r="AR91" s="88"/>
      <c r="AS91" s="88"/>
      <c r="AT91" s="88"/>
      <c r="AU91" s="88"/>
      <c r="AV91" s="88"/>
    </row>
    <row r="92" spans="44:48" x14ac:dyDescent="0.4">
      <c r="AR92" s="88"/>
      <c r="AS92" s="88"/>
      <c r="AT92" s="88"/>
      <c r="AU92" s="88"/>
      <c r="AV92" s="88"/>
    </row>
    <row r="93" spans="44:48" x14ac:dyDescent="0.4">
      <c r="AR93" s="88"/>
      <c r="AS93" s="88"/>
      <c r="AT93" s="88"/>
      <c r="AU93" s="88"/>
      <c r="AV93" s="88"/>
    </row>
    <row r="94" spans="44:48" x14ac:dyDescent="0.4">
      <c r="AR94" s="88"/>
      <c r="AS94" s="88"/>
      <c r="AT94" s="88"/>
      <c r="AU94" s="88"/>
      <c r="AV94" s="88"/>
    </row>
    <row r="95" spans="44:48" x14ac:dyDescent="0.4">
      <c r="AR95" s="88"/>
      <c r="AS95" s="88"/>
      <c r="AT95" s="88"/>
      <c r="AU95" s="88"/>
      <c r="AV95" s="88"/>
    </row>
    <row r="96" spans="44:48" x14ac:dyDescent="0.4">
      <c r="AR96" s="88"/>
      <c r="AS96" s="88"/>
      <c r="AT96" s="88"/>
      <c r="AU96" s="88"/>
      <c r="AV96" s="88"/>
    </row>
    <row r="97" spans="44:48" x14ac:dyDescent="0.4">
      <c r="AR97" s="88"/>
      <c r="AS97" s="88"/>
      <c r="AT97" s="88"/>
      <c r="AU97" s="88"/>
      <c r="AV97" s="88"/>
    </row>
    <row r="98" spans="44:48" x14ac:dyDescent="0.4">
      <c r="AR98" s="88"/>
      <c r="AS98" s="88"/>
      <c r="AT98" s="88"/>
      <c r="AU98" s="88"/>
      <c r="AV98" s="88"/>
    </row>
    <row r="99" spans="44:48" x14ac:dyDescent="0.4">
      <c r="AR99" s="88"/>
      <c r="AS99" s="88"/>
      <c r="AT99" s="88"/>
      <c r="AU99" s="88"/>
      <c r="AV99" s="88"/>
    </row>
    <row r="100" spans="44:48" x14ac:dyDescent="0.4">
      <c r="AR100" s="88"/>
      <c r="AS100" s="88"/>
      <c r="AT100" s="88"/>
      <c r="AU100" s="88"/>
      <c r="AV100" s="88"/>
    </row>
    <row r="101" spans="44:48" x14ac:dyDescent="0.4">
      <c r="AR101" s="88"/>
      <c r="AS101" s="88"/>
      <c r="AT101" s="88"/>
      <c r="AU101" s="88"/>
      <c r="AV101" s="88"/>
    </row>
    <row r="102" spans="44:48" x14ac:dyDescent="0.4">
      <c r="AR102" s="88"/>
      <c r="AS102" s="88"/>
      <c r="AT102" s="88"/>
      <c r="AU102" s="88"/>
      <c r="AV102" s="88"/>
    </row>
    <row r="103" spans="44:48" x14ac:dyDescent="0.4">
      <c r="AR103" s="88"/>
      <c r="AS103" s="88"/>
      <c r="AT103" s="88"/>
      <c r="AU103" s="88"/>
      <c r="AV103" s="88"/>
    </row>
    <row r="104" spans="44:48" x14ac:dyDescent="0.4">
      <c r="AR104" s="88"/>
      <c r="AS104" s="88"/>
      <c r="AT104" s="88"/>
      <c r="AU104" s="88"/>
      <c r="AV104" s="88"/>
    </row>
    <row r="105" spans="44:48" x14ac:dyDescent="0.4">
      <c r="AR105" s="88"/>
      <c r="AS105" s="88"/>
      <c r="AT105" s="88"/>
      <c r="AU105" s="88"/>
      <c r="AV105" s="88"/>
    </row>
    <row r="106" spans="44:48" x14ac:dyDescent="0.4">
      <c r="AR106" s="88"/>
      <c r="AS106" s="88"/>
      <c r="AT106" s="88"/>
      <c r="AU106" s="88"/>
      <c r="AV106" s="88"/>
    </row>
    <row r="107" spans="44:48" x14ac:dyDescent="0.4">
      <c r="AR107" s="88"/>
      <c r="AS107" s="88"/>
      <c r="AT107" s="88"/>
      <c r="AU107" s="88"/>
      <c r="AV107" s="88"/>
    </row>
  </sheetData>
  <mergeCells count="2">
    <mergeCell ref="A1:AV1"/>
    <mergeCell ref="A2:AV2"/>
  </mergeCells>
  <phoneticPr fontId="0" type="noConversion"/>
  <printOptions horizontalCentered="1" verticalCentered="1"/>
  <pageMargins left="0.75" right="0.75" top="0.5" bottom="0.5" header="0.5" footer="0.5"/>
  <pageSetup scale="59" orientation="landscape" r:id="rId1"/>
  <headerFooter alignWithMargins="0">
    <oddFooter xml:space="preserve">&amp;C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54"/>
  <sheetViews>
    <sheetView zoomScaleNormal="100" workbookViewId="0">
      <selection activeCell="F31" sqref="F31"/>
    </sheetView>
  </sheetViews>
  <sheetFormatPr defaultColWidth="9.109375" defaultRowHeight="11.4" x14ac:dyDescent="0.25"/>
  <cols>
    <col min="1" max="1" width="9.33203125" style="5" bestFit="1" customWidth="1"/>
    <col min="2" max="2" width="8.109375" style="5" bestFit="1" customWidth="1"/>
    <col min="3" max="3" width="9.33203125" style="13" bestFit="1" customWidth="1"/>
    <col min="4" max="4" width="9.88671875" style="5" bestFit="1" customWidth="1"/>
    <col min="5" max="5" width="11.6640625" style="5" bestFit="1" customWidth="1"/>
    <col min="6" max="6" width="10" style="5" bestFit="1" customWidth="1"/>
    <col min="7" max="7" width="11.6640625" style="5" bestFit="1" customWidth="1"/>
    <col min="8" max="8" width="12.88671875" style="5" bestFit="1" customWidth="1"/>
    <col min="9" max="9" width="23.109375" style="5" customWidth="1"/>
    <col min="10" max="10" width="9" style="5" bestFit="1" customWidth="1"/>
    <col min="11" max="12" width="12.33203125" style="5" bestFit="1" customWidth="1"/>
    <col min="13" max="13" width="11.33203125" style="5" customWidth="1"/>
    <col min="14" max="16384" width="9.109375" style="5"/>
  </cols>
  <sheetData>
    <row r="1" spans="1:13" x14ac:dyDescent="0.25">
      <c r="B1" s="15" t="s">
        <v>190</v>
      </c>
      <c r="D1" s="13"/>
      <c r="E1" s="13"/>
      <c r="G1" s="14" t="s">
        <v>10</v>
      </c>
    </row>
    <row r="2" spans="1:13" x14ac:dyDescent="0.25">
      <c r="A2" s="5" t="s">
        <v>26</v>
      </c>
      <c r="B2" s="5" t="s">
        <v>172</v>
      </c>
      <c r="C2" s="16" t="s">
        <v>27</v>
      </c>
      <c r="D2" s="7" t="s">
        <v>6</v>
      </c>
      <c r="E2" s="7" t="s">
        <v>10</v>
      </c>
      <c r="F2" s="14" t="s">
        <v>11</v>
      </c>
      <c r="G2" s="14" t="s">
        <v>12</v>
      </c>
    </row>
    <row r="3" spans="1:13" ht="12" thickBot="1" x14ac:dyDescent="0.3">
      <c r="D3" s="17"/>
      <c r="E3" s="17"/>
      <c r="F3" s="18"/>
      <c r="G3" s="18"/>
      <c r="H3" s="18"/>
      <c r="I3" s="18"/>
      <c r="J3" s="18"/>
      <c r="K3" s="18"/>
      <c r="L3" s="18"/>
      <c r="M3" s="18"/>
    </row>
    <row r="4" spans="1:13" x14ac:dyDescent="0.25">
      <c r="A4" s="19">
        <v>11</v>
      </c>
      <c r="B4" s="20"/>
      <c r="C4" s="21"/>
      <c r="D4" s="10">
        <f>table7ws!E7</f>
        <v>260.56</v>
      </c>
      <c r="E4" s="22">
        <f>table7ws!F7</f>
        <v>200665</v>
      </c>
      <c r="F4" s="23"/>
      <c r="G4" s="24"/>
      <c r="H4" s="25"/>
      <c r="M4" s="26"/>
    </row>
    <row r="5" spans="1:13" x14ac:dyDescent="0.25">
      <c r="A5" s="27">
        <v>12</v>
      </c>
      <c r="B5" s="28"/>
      <c r="C5" s="29"/>
      <c r="D5" s="10">
        <f>table7ws!E8</f>
        <v>108.34</v>
      </c>
      <c r="E5" s="30">
        <f>table7ws!F8</f>
        <v>213909</v>
      </c>
      <c r="F5" s="9"/>
      <c r="G5" s="9"/>
      <c r="H5" s="31"/>
    </row>
    <row r="6" spans="1:13" ht="12" thickBot="1" x14ac:dyDescent="0.3">
      <c r="A6" s="32">
        <v>13</v>
      </c>
      <c r="B6" s="33"/>
      <c r="C6" s="34"/>
      <c r="D6" s="35">
        <f>table7ws!E9</f>
        <v>1077.1400000000001</v>
      </c>
      <c r="E6" s="36">
        <f>table7ws!F9</f>
        <v>175835</v>
      </c>
      <c r="F6" s="37">
        <f>SUM(D4:D6)</f>
        <v>1446.04</v>
      </c>
      <c r="G6" s="38">
        <f>SUMPRODUCT(D4:D6*E4:E6)/F6</f>
        <v>183161.65898592019</v>
      </c>
      <c r="H6" s="39"/>
    </row>
    <row r="7" spans="1:13" x14ac:dyDescent="0.25">
      <c r="A7" s="19">
        <v>21</v>
      </c>
      <c r="B7" s="28"/>
      <c r="C7" s="29"/>
      <c r="D7" s="10">
        <f>table7ws!E10</f>
        <v>1211.74</v>
      </c>
      <c r="E7" s="28">
        <f>table7ws!F10</f>
        <v>169312</v>
      </c>
      <c r="F7" s="40"/>
      <c r="G7" s="41"/>
      <c r="H7" s="42"/>
    </row>
    <row r="8" spans="1:13" x14ac:dyDescent="0.25">
      <c r="A8" s="27">
        <v>22</v>
      </c>
      <c r="B8" s="28"/>
      <c r="C8" s="29"/>
      <c r="D8" s="10">
        <f>table7ws!E11</f>
        <v>519.17999999999995</v>
      </c>
      <c r="E8" s="28">
        <f>table7ws!F11</f>
        <v>152437</v>
      </c>
      <c r="F8" s="8"/>
      <c r="G8" s="41"/>
      <c r="H8" s="43"/>
      <c r="I8" s="44" t="s">
        <v>28</v>
      </c>
      <c r="J8" s="44"/>
      <c r="L8" s="11"/>
    </row>
    <row r="9" spans="1:13" x14ac:dyDescent="0.25">
      <c r="A9" s="27">
        <v>23</v>
      </c>
      <c r="B9" s="28"/>
      <c r="C9" s="29"/>
      <c r="D9" s="10">
        <f>table7ws!E12</f>
        <v>766.95</v>
      </c>
      <c r="E9" s="28">
        <f>table7ws!F12</f>
        <v>175278</v>
      </c>
      <c r="F9" s="8"/>
      <c r="G9" s="9"/>
      <c r="H9" s="45"/>
      <c r="I9" s="44" t="s">
        <v>29</v>
      </c>
      <c r="J9" s="26">
        <f>+F6+F11</f>
        <v>5117.32</v>
      </c>
      <c r="L9" s="11"/>
    </row>
    <row r="10" spans="1:13" x14ac:dyDescent="0.25">
      <c r="A10" s="27">
        <v>24</v>
      </c>
      <c r="B10" s="28"/>
      <c r="C10" s="29"/>
      <c r="D10" s="10">
        <f>table7ws!E13</f>
        <v>910.75</v>
      </c>
      <c r="E10" s="28">
        <f>table7ws!F13</f>
        <v>163831</v>
      </c>
      <c r="F10" s="46"/>
      <c r="G10" s="9"/>
      <c r="H10" s="45"/>
      <c r="I10" s="47" t="s">
        <v>30</v>
      </c>
      <c r="J10" s="48">
        <f>SUMPRODUCT(D4:D11*E4:E11)/J9</f>
        <v>170163.49481564568</v>
      </c>
      <c r="L10" s="11"/>
    </row>
    <row r="11" spans="1:13" ht="12" thickBot="1" x14ac:dyDescent="0.3">
      <c r="A11" s="32">
        <v>25</v>
      </c>
      <c r="B11" s="33"/>
      <c r="C11" s="34"/>
      <c r="D11" s="35">
        <f>table7ws!E14</f>
        <v>262.66000000000003</v>
      </c>
      <c r="E11" s="33">
        <f>table7ws!F14</f>
        <v>144594</v>
      </c>
      <c r="F11" s="49">
        <f>SUM(D7:D11)</f>
        <v>3671.2799999999997</v>
      </c>
      <c r="G11" s="38">
        <f>SUMPRODUCT(D7:D11*E7:E11)/F11</f>
        <v>165043.79124719443</v>
      </c>
      <c r="H11" s="50"/>
      <c r="I11" s="44"/>
      <c r="J11" s="51"/>
      <c r="L11" s="11"/>
    </row>
    <row r="12" spans="1:13" x14ac:dyDescent="0.25">
      <c r="A12" s="19">
        <v>31</v>
      </c>
      <c r="B12" s="28">
        <f>table7ws!C15</f>
        <v>32255</v>
      </c>
      <c r="C12" s="29">
        <f>table7ws!D15</f>
        <v>6679</v>
      </c>
      <c r="D12" s="10">
        <f>table7ws!E15</f>
        <v>25715.37</v>
      </c>
      <c r="E12" s="28">
        <f>table7ws!F15</f>
        <v>95556</v>
      </c>
      <c r="F12" s="40"/>
      <c r="G12" s="41"/>
      <c r="H12" s="52"/>
      <c r="I12" s="19"/>
      <c r="J12" s="42"/>
    </row>
    <row r="13" spans="1:13" x14ac:dyDescent="0.25">
      <c r="A13" s="27">
        <v>32</v>
      </c>
      <c r="B13" s="28">
        <f>table7ws!C16</f>
        <v>29936</v>
      </c>
      <c r="C13" s="29">
        <f>table7ws!D16</f>
        <v>9220</v>
      </c>
      <c r="D13" s="10">
        <f>table7ws!E16</f>
        <v>23319.68</v>
      </c>
      <c r="E13" s="28">
        <f>table7ws!F16</f>
        <v>97856</v>
      </c>
      <c r="F13" s="8"/>
      <c r="G13" s="9"/>
      <c r="H13" s="14"/>
      <c r="I13" s="53"/>
      <c r="J13" s="54"/>
    </row>
    <row r="14" spans="1:13" x14ac:dyDescent="0.25">
      <c r="A14" s="27">
        <v>33</v>
      </c>
      <c r="B14" s="28">
        <f>table7ws!C17</f>
        <v>12651</v>
      </c>
      <c r="C14" s="29">
        <f>table7ws!D17</f>
        <v>7362</v>
      </c>
      <c r="D14" s="10">
        <f>table7ws!E17</f>
        <v>8710.2800000000007</v>
      </c>
      <c r="E14" s="28">
        <f>table7ws!F17</f>
        <v>94904</v>
      </c>
      <c r="F14" s="55"/>
      <c r="G14" s="56"/>
      <c r="H14" s="57"/>
      <c r="I14" s="53">
        <f>'Table 2'!$F$72</f>
        <v>61937.87</v>
      </c>
      <c r="J14" s="54" t="s">
        <v>13</v>
      </c>
    </row>
    <row r="15" spans="1:13" x14ac:dyDescent="0.25">
      <c r="A15" s="27">
        <v>34</v>
      </c>
      <c r="B15" s="28">
        <f>table7ws!C18</f>
        <v>4886</v>
      </c>
      <c r="C15" s="29">
        <f>table7ws!D18</f>
        <v>7483</v>
      </c>
      <c r="D15" s="10">
        <f>table7ws!E18</f>
        <v>3941.47</v>
      </c>
      <c r="E15" s="28">
        <f>table7ws!F18</f>
        <v>99096</v>
      </c>
      <c r="F15" s="55">
        <f>SUM(D12:D15)</f>
        <v>61686.8</v>
      </c>
      <c r="G15" s="56">
        <f>SUMPRODUCT(D12:D15*E12:E15)/F15</f>
        <v>96559.601503725251</v>
      </c>
      <c r="H15" s="57" t="s">
        <v>185</v>
      </c>
      <c r="I15" s="53">
        <v>61686.8</v>
      </c>
      <c r="J15" s="54" t="s">
        <v>165</v>
      </c>
    </row>
    <row r="16" spans="1:13" ht="12" thickBot="1" x14ac:dyDescent="0.3">
      <c r="A16" s="32">
        <v>63</v>
      </c>
      <c r="B16" s="33">
        <f>table7ws!C33</f>
        <v>257</v>
      </c>
      <c r="C16" s="34">
        <f>table7ws!D33</f>
        <v>0</v>
      </c>
      <c r="D16" s="35">
        <f>table7ws!E33</f>
        <v>251.07</v>
      </c>
      <c r="E16" s="33">
        <f>table7ws!F33</f>
        <v>69451</v>
      </c>
      <c r="F16" s="49">
        <f>SUM(D12:D16)</f>
        <v>61937.87</v>
      </c>
      <c r="G16" s="58">
        <f>SUMPRODUCT(D12:D16*E12:E16)/F16</f>
        <v>96449.714667456254</v>
      </c>
      <c r="H16" s="59"/>
      <c r="I16" s="60">
        <f>+I14-I15</f>
        <v>251.06999999999971</v>
      </c>
      <c r="J16" s="61" t="s">
        <v>14</v>
      </c>
    </row>
    <row r="17" spans="1:12" x14ac:dyDescent="0.25">
      <c r="A17" s="27">
        <v>39</v>
      </c>
      <c r="B17" s="28">
        <f>table7ws!C19</f>
        <v>23</v>
      </c>
      <c r="C17" s="29">
        <f>table7ws!D19</f>
        <v>9716</v>
      </c>
      <c r="D17" s="10">
        <f>table7ws!E19</f>
        <v>21.9</v>
      </c>
      <c r="E17" s="28">
        <f>table7ws!F19</f>
        <v>99182</v>
      </c>
      <c r="F17" s="8"/>
      <c r="G17" s="41"/>
      <c r="H17" s="43"/>
      <c r="I17" s="27"/>
    </row>
    <row r="18" spans="1:12" x14ac:dyDescent="0.25">
      <c r="A18" s="27">
        <v>40</v>
      </c>
      <c r="B18" s="28">
        <f>table7ws!C20</f>
        <v>6261</v>
      </c>
      <c r="C18" s="29">
        <f>table7ws!D20</f>
        <v>6210</v>
      </c>
      <c r="D18" s="10">
        <f>table7ws!E20</f>
        <v>2174.38</v>
      </c>
      <c r="E18" s="28">
        <f>table7ws!F20</f>
        <v>107873</v>
      </c>
      <c r="F18" s="8"/>
      <c r="G18" s="41"/>
      <c r="H18" s="43"/>
      <c r="I18" s="27"/>
    </row>
    <row r="19" spans="1:12" x14ac:dyDescent="0.25">
      <c r="A19" s="27">
        <v>41</v>
      </c>
      <c r="B19" s="28">
        <f>table7ws!C21</f>
        <v>947</v>
      </c>
      <c r="C19" s="29">
        <f>table7ws!D21</f>
        <v>9432</v>
      </c>
      <c r="D19" s="10">
        <f>table7ws!E21</f>
        <v>615.5</v>
      </c>
      <c r="E19" s="28">
        <f>table7ws!F21</f>
        <v>109881</v>
      </c>
      <c r="F19" s="8"/>
      <c r="G19" s="41"/>
      <c r="H19" s="43"/>
      <c r="I19" s="27"/>
    </row>
    <row r="20" spans="1:12" x14ac:dyDescent="0.25">
      <c r="A20" s="27">
        <v>42</v>
      </c>
      <c r="B20" s="28">
        <f>table7ws!C22</f>
        <v>3286</v>
      </c>
      <c r="C20" s="29">
        <f>table7ws!D22</f>
        <v>10752</v>
      </c>
      <c r="D20" s="10">
        <f>table7ws!E22</f>
        <v>3046.71</v>
      </c>
      <c r="E20" s="28">
        <f>table7ws!F22</f>
        <v>98162</v>
      </c>
      <c r="F20" s="55">
        <f>D16+D28</f>
        <v>427.69</v>
      </c>
      <c r="G20" s="56">
        <f>+((D16*E16)+(D28*E28))/F20</f>
        <v>84279.663190628737</v>
      </c>
      <c r="H20" s="54" t="s">
        <v>187</v>
      </c>
      <c r="I20" s="27"/>
    </row>
    <row r="21" spans="1:12" x14ac:dyDescent="0.25">
      <c r="A21" s="27">
        <v>43</v>
      </c>
      <c r="B21" s="28">
        <f>table7ws!C23</f>
        <v>770</v>
      </c>
      <c r="C21" s="29">
        <f>table7ws!D23</f>
        <v>10507</v>
      </c>
      <c r="D21" s="10">
        <f>table7ws!E23</f>
        <v>656.73</v>
      </c>
      <c r="E21" s="28">
        <f>table7ws!F23</f>
        <v>99065</v>
      </c>
      <c r="F21" s="55"/>
      <c r="G21" s="56"/>
      <c r="H21" s="54"/>
      <c r="I21" s="27"/>
    </row>
    <row r="22" spans="1:12" x14ac:dyDescent="0.25">
      <c r="A22" s="27">
        <v>44</v>
      </c>
      <c r="B22" s="28">
        <f>table7ws!C24</f>
        <v>308</v>
      </c>
      <c r="C22" s="29">
        <f>table7ws!D24</f>
        <v>9556</v>
      </c>
      <c r="D22" s="10">
        <f>table7ws!E24</f>
        <v>272.52</v>
      </c>
      <c r="E22" s="28">
        <f>table7ws!F24</f>
        <v>94611</v>
      </c>
      <c r="F22" s="8"/>
      <c r="G22" s="41"/>
      <c r="H22" s="43"/>
      <c r="I22" s="27"/>
    </row>
    <row r="23" spans="1:12" x14ac:dyDescent="0.25">
      <c r="A23" s="27">
        <v>45</v>
      </c>
      <c r="B23" s="28">
        <f>table7ws!C25</f>
        <v>1823</v>
      </c>
      <c r="C23" s="29">
        <f>table7ws!D25</f>
        <v>11040</v>
      </c>
      <c r="D23" s="10">
        <f>table7ws!E25</f>
        <v>1644.11</v>
      </c>
      <c r="E23" s="28">
        <f>table7ws!F25</f>
        <v>99444</v>
      </c>
      <c r="F23" s="8"/>
      <c r="G23" s="41"/>
      <c r="H23" s="43"/>
      <c r="I23" s="27"/>
    </row>
    <row r="24" spans="1:12" x14ac:dyDescent="0.25">
      <c r="A24" s="27">
        <v>46</v>
      </c>
      <c r="B24" s="28">
        <f>table7ws!C26</f>
        <v>1290</v>
      </c>
      <c r="C24" s="29">
        <f>table7ws!D26</f>
        <v>12879</v>
      </c>
      <c r="D24" s="10">
        <f>table7ws!E26</f>
        <v>1165.0899999999999</v>
      </c>
      <c r="E24" s="28">
        <f>table7ws!F26</f>
        <v>100588</v>
      </c>
      <c r="F24" s="8"/>
      <c r="G24" s="41"/>
      <c r="H24" s="43"/>
      <c r="I24" s="44" t="s">
        <v>31</v>
      </c>
      <c r="J24" s="87"/>
    </row>
    <row r="25" spans="1:12" x14ac:dyDescent="0.25">
      <c r="A25" s="27">
        <v>47</v>
      </c>
      <c r="B25" s="28">
        <f>table7ws!C27</f>
        <v>786</v>
      </c>
      <c r="C25" s="29">
        <f>table7ws!D27</f>
        <v>8166</v>
      </c>
      <c r="D25" s="10">
        <f>table7ws!E27</f>
        <v>692.86</v>
      </c>
      <c r="E25" s="28">
        <f>table7ws!F27</f>
        <v>89346</v>
      </c>
      <c r="F25" s="8"/>
      <c r="G25" s="41"/>
      <c r="H25" s="43"/>
      <c r="I25" s="44" t="s">
        <v>29</v>
      </c>
      <c r="J25" s="26">
        <f>+F16+F28</f>
        <v>72737.16</v>
      </c>
    </row>
    <row r="26" spans="1:12" x14ac:dyDescent="0.25">
      <c r="A26" s="27">
        <v>48</v>
      </c>
      <c r="B26" s="28">
        <f>table7ws!C28</f>
        <v>304</v>
      </c>
      <c r="C26" s="29">
        <f>table7ws!D28</f>
        <v>11775</v>
      </c>
      <c r="D26" s="10">
        <f>table7ws!E28</f>
        <v>223.6</v>
      </c>
      <c r="E26" s="28">
        <f>table7ws!F28</f>
        <v>104474</v>
      </c>
      <c r="F26" s="8"/>
      <c r="G26" s="9"/>
      <c r="H26" s="45"/>
      <c r="I26" s="62" t="s">
        <v>30</v>
      </c>
      <c r="J26" s="48">
        <f>SUMPRODUCT(D12:D28,E12:E28)/J25</f>
        <v>97101.667384594039</v>
      </c>
    </row>
    <row r="27" spans="1:12" x14ac:dyDescent="0.25">
      <c r="A27" s="27">
        <v>49</v>
      </c>
      <c r="B27" s="28">
        <f>table7ws!C29</f>
        <v>115</v>
      </c>
      <c r="C27" s="29">
        <f>table7ws!D29</f>
        <v>7493</v>
      </c>
      <c r="D27" s="10">
        <f>table7ws!E29</f>
        <v>109.27</v>
      </c>
      <c r="E27" s="28">
        <f>table7ws!F29</f>
        <v>93084</v>
      </c>
      <c r="F27" s="55">
        <f>SUM(D17:D27)</f>
        <v>10622.670000000002</v>
      </c>
      <c r="G27" s="56" cm="1">
        <f t="array" ref="G27">SUMPRODUCT(D17:D27*E17:E27)/F27</f>
        <v>100765.73230929697</v>
      </c>
      <c r="H27" s="54" t="s">
        <v>186</v>
      </c>
      <c r="I27" s="44" t="s">
        <v>32</v>
      </c>
      <c r="J27" s="48">
        <f>SUMPRODUCT(B12:B28,C12:C28)/J25</f>
        <v>10491.753568602348</v>
      </c>
    </row>
    <row r="28" spans="1:12" ht="12" thickBot="1" x14ac:dyDescent="0.3">
      <c r="A28" s="32">
        <v>64</v>
      </c>
      <c r="B28" s="28">
        <f>table7ws!C34</f>
        <v>208</v>
      </c>
      <c r="C28" s="29">
        <f>table7ws!D34</f>
        <v>0</v>
      </c>
      <c r="D28" s="10">
        <f>table7ws!E34</f>
        <v>176.62</v>
      </c>
      <c r="E28" s="28">
        <f>table7ws!F34</f>
        <v>105359</v>
      </c>
      <c r="F28" s="49">
        <f>SUM(D17:D28)</f>
        <v>10799.290000000003</v>
      </c>
      <c r="G28" s="63" cm="1">
        <f t="array" ref="G28">SUMPRODUCT(D17:D28*E17:E28)/F28</f>
        <v>100840.85418671038</v>
      </c>
      <c r="H28" s="50"/>
      <c r="I28" s="44"/>
      <c r="J28" s="48"/>
    </row>
    <row r="29" spans="1:12" x14ac:dyDescent="0.25">
      <c r="A29" s="19">
        <v>51</v>
      </c>
      <c r="B29" s="20"/>
      <c r="C29" s="21"/>
      <c r="D29" s="462">
        <f>table7ws!E30</f>
        <v>107.87</v>
      </c>
      <c r="E29" s="22">
        <f>table7ws!F30</f>
        <v>111213</v>
      </c>
      <c r="F29" s="23"/>
      <c r="G29" s="65"/>
      <c r="H29" s="66"/>
      <c r="I29" s="52"/>
      <c r="J29" s="42"/>
    </row>
    <row r="30" spans="1:12" x14ac:dyDescent="0.25">
      <c r="A30" s="27">
        <v>52</v>
      </c>
      <c r="B30" s="28"/>
      <c r="C30" s="64"/>
      <c r="D30" s="10">
        <f>table7ws!E31</f>
        <v>146.84</v>
      </c>
      <c r="E30" s="30">
        <f>table7ws!F31</f>
        <v>134691</v>
      </c>
      <c r="F30" s="67">
        <f>SUM(D29:D30)</f>
        <v>254.71</v>
      </c>
      <c r="G30" s="68" cm="1">
        <f t="array" ref="G30">SUMPRODUCT(D29:D30*E29:E30)/F30</f>
        <v>124748.03796474422</v>
      </c>
      <c r="H30" s="69" t="s">
        <v>188</v>
      </c>
      <c r="I30" s="70"/>
      <c r="J30" s="43"/>
    </row>
    <row r="31" spans="1:12" ht="12" thickBot="1" x14ac:dyDescent="0.3">
      <c r="A31" s="32">
        <v>61</v>
      </c>
      <c r="B31" s="28"/>
      <c r="C31" s="64"/>
      <c r="D31" s="10">
        <f>table7ws!E32</f>
        <v>83.4</v>
      </c>
      <c r="E31" s="30">
        <f>table7ws!F32</f>
        <v>113100</v>
      </c>
      <c r="F31" s="71">
        <f>SUM(D29:D31)</f>
        <v>338.11</v>
      </c>
      <c r="G31" s="72" cm="1">
        <f t="array" ref="G31">SUMPRODUCT(D29:D31*E29:E31)/F31</f>
        <v>121874.87134364556</v>
      </c>
      <c r="H31" s="73"/>
      <c r="I31" s="74" t="s">
        <v>189</v>
      </c>
      <c r="J31" s="75"/>
      <c r="K31" s="57"/>
      <c r="L31" s="57"/>
    </row>
    <row r="32" spans="1:12" x14ac:dyDescent="0.25">
      <c r="A32" s="6"/>
      <c r="B32" s="20"/>
      <c r="C32" s="463"/>
      <c r="D32" s="466" t="s">
        <v>11</v>
      </c>
      <c r="E32" s="465" t="s">
        <v>12</v>
      </c>
      <c r="F32" s="77" t="s">
        <v>15</v>
      </c>
      <c r="G32" s="78">
        <f>SUM(D4:D11)</f>
        <v>5117.32</v>
      </c>
      <c r="K32" s="79"/>
      <c r="L32" s="80"/>
    </row>
    <row r="33" spans="1:7" x14ac:dyDescent="0.25">
      <c r="A33" s="14" t="s">
        <v>16</v>
      </c>
      <c r="B33" s="76"/>
      <c r="C33" s="5"/>
      <c r="D33" s="82">
        <f>+G32+G33</f>
        <v>78192.59</v>
      </c>
      <c r="E33" s="464">
        <f>SUMPRODUCT(D4:D31*E4:E31)/D33</f>
        <v>101990.32523235258</v>
      </c>
      <c r="F33" s="77" t="s">
        <v>279</v>
      </c>
      <c r="G33" s="78">
        <f>SUM(D12:D31)</f>
        <v>73075.26999999999</v>
      </c>
    </row>
    <row r="34" spans="1:7" x14ac:dyDescent="0.25">
      <c r="A34" s="5" t="s">
        <v>174</v>
      </c>
      <c r="B34" s="81"/>
      <c r="C34" s="5"/>
      <c r="D34" s="12">
        <v>78192.58</v>
      </c>
      <c r="E34" s="29">
        <v>101990</v>
      </c>
      <c r="F34" s="77" t="s">
        <v>17</v>
      </c>
      <c r="G34" s="78">
        <f>+G32+G33</f>
        <v>78192.59</v>
      </c>
    </row>
    <row r="35" spans="1:7" x14ac:dyDescent="0.25">
      <c r="A35" s="5" t="s">
        <v>19</v>
      </c>
      <c r="B35" s="28"/>
      <c r="D35" s="12">
        <f>+D33-D34</f>
        <v>9.9999999947613105E-3</v>
      </c>
      <c r="E35" s="28">
        <f>+E33-E34</f>
        <v>0.3252323525812244</v>
      </c>
    </row>
    <row r="36" spans="1:7" x14ac:dyDescent="0.25">
      <c r="B36" s="28"/>
      <c r="D36" s="12"/>
      <c r="E36" s="28"/>
    </row>
    <row r="37" spans="1:7" x14ac:dyDescent="0.25">
      <c r="A37" s="5">
        <v>90</v>
      </c>
      <c r="B37" s="28"/>
      <c r="D37" s="10">
        <f>table7ws!E35</f>
        <v>5.95</v>
      </c>
      <c r="E37" s="13">
        <f>table7ws!F35</f>
        <v>77413</v>
      </c>
    </row>
    <row r="38" spans="1:7" x14ac:dyDescent="0.25">
      <c r="A38" s="5">
        <v>91</v>
      </c>
      <c r="B38" s="28"/>
      <c r="D38" s="10">
        <f>table7ws!E36</f>
        <v>17654.900000000001</v>
      </c>
      <c r="E38" s="13">
        <f>table7ws!F36</f>
        <v>58515</v>
      </c>
    </row>
    <row r="39" spans="1:7" x14ac:dyDescent="0.25">
      <c r="A39" s="5">
        <v>92</v>
      </c>
      <c r="B39" s="28"/>
      <c r="D39" s="10">
        <f>table7ws!E37</f>
        <v>1578.1</v>
      </c>
      <c r="E39" s="13">
        <f>table7ws!F37</f>
        <v>84826</v>
      </c>
    </row>
    <row r="40" spans="1:7" x14ac:dyDescent="0.25">
      <c r="A40" s="5">
        <v>93</v>
      </c>
      <c r="B40" s="28"/>
      <c r="D40" s="10">
        <f>table7ws!E38</f>
        <v>218</v>
      </c>
      <c r="E40" s="13">
        <f>table7ws!F38</f>
        <v>73573</v>
      </c>
    </row>
    <row r="41" spans="1:7" x14ac:dyDescent="0.25">
      <c r="A41" s="5">
        <v>94</v>
      </c>
      <c r="B41" s="28"/>
      <c r="D41" s="10">
        <f>table7ws!E39</f>
        <v>8006.98</v>
      </c>
      <c r="E41" s="13">
        <f>table7ws!F39</f>
        <v>70464</v>
      </c>
    </row>
    <row r="42" spans="1:7" x14ac:dyDescent="0.25">
      <c r="A42" s="5">
        <v>95</v>
      </c>
      <c r="B42" s="28"/>
      <c r="D42" s="10">
        <f>table7ws!E40</f>
        <v>3303.27</v>
      </c>
      <c r="E42" s="13">
        <f>table7ws!F40</f>
        <v>66869</v>
      </c>
    </row>
    <row r="43" spans="1:7" x14ac:dyDescent="0.25">
      <c r="A43" s="5">
        <v>96</v>
      </c>
      <c r="B43" s="28"/>
      <c r="D43" s="10">
        <f>table7ws!E41</f>
        <v>2902.86</v>
      </c>
      <c r="E43" s="13">
        <f>table7ws!F41</f>
        <v>91265</v>
      </c>
    </row>
    <row r="44" spans="1:7" x14ac:dyDescent="0.25">
      <c r="A44" s="5">
        <v>97</v>
      </c>
      <c r="B44" s="28"/>
      <c r="D44" s="10">
        <f>table7ws!E42</f>
        <v>9157.5300000000007</v>
      </c>
      <c r="E44" s="13">
        <f>table7ws!F42</f>
        <v>59599</v>
      </c>
    </row>
    <row r="45" spans="1:7" x14ac:dyDescent="0.25">
      <c r="A45" s="5">
        <v>98</v>
      </c>
      <c r="B45" s="28"/>
      <c r="D45" s="10">
        <f>table7ws!E43</f>
        <v>1844.35</v>
      </c>
      <c r="E45" s="13">
        <f>table7ws!F43</f>
        <v>92397</v>
      </c>
    </row>
    <row r="46" spans="1:7" x14ac:dyDescent="0.25">
      <c r="A46" s="5">
        <v>99</v>
      </c>
      <c r="B46" s="28"/>
      <c r="D46" s="10">
        <f>table7ws!E44</f>
        <v>1955.26</v>
      </c>
      <c r="E46" s="13">
        <f>table7ws!F44</f>
        <v>136141</v>
      </c>
    </row>
    <row r="47" spans="1:7" x14ac:dyDescent="0.25">
      <c r="B47" s="28"/>
      <c r="D47" s="83" t="s">
        <v>11</v>
      </c>
      <c r="E47" s="83" t="s">
        <v>12</v>
      </c>
    </row>
    <row r="48" spans="1:7" x14ac:dyDescent="0.25">
      <c r="A48" s="57" t="s">
        <v>18</v>
      </c>
      <c r="B48" s="28"/>
      <c r="D48" s="85">
        <f>SUM(D37:D46)</f>
        <v>46627.199999999997</v>
      </c>
      <c r="E48" s="86">
        <f>SUMPRODUCT(D37:D46*E37:E46)/D48</f>
        <v>68969.243548400933</v>
      </c>
    </row>
    <row r="49" spans="1:5" x14ac:dyDescent="0.25">
      <c r="A49" s="5" t="s">
        <v>173</v>
      </c>
      <c r="B49" s="84"/>
      <c r="D49" s="12">
        <v>46627.21</v>
      </c>
      <c r="E49" s="11">
        <v>68969</v>
      </c>
    </row>
    <row r="50" spans="1:5" x14ac:dyDescent="0.25">
      <c r="A50" s="5" t="s">
        <v>19</v>
      </c>
      <c r="B50" s="28"/>
      <c r="D50" s="12">
        <f>+D48-D49</f>
        <v>-1.0000000002037268E-2</v>
      </c>
      <c r="E50" s="28">
        <f>+E48-E49</f>
        <v>0.24354840093292296</v>
      </c>
    </row>
    <row r="51" spans="1:5" x14ac:dyDescent="0.25">
      <c r="B51" s="28"/>
      <c r="D51" s="12"/>
      <c r="E51" s="28"/>
    </row>
    <row r="52" spans="1:5" x14ac:dyDescent="0.25">
      <c r="A52" s="5" t="s">
        <v>156</v>
      </c>
      <c r="B52" s="28"/>
      <c r="D52" s="12">
        <f>SUM(D4:D31)+SUM(D37:D46)</f>
        <v>124819.79</v>
      </c>
    </row>
    <row r="53" spans="1:5" x14ac:dyDescent="0.25">
      <c r="A53" s="5" t="s">
        <v>9</v>
      </c>
      <c r="B53" s="28"/>
      <c r="D53" s="12">
        <f>table7ws!$E$45</f>
        <v>124819.79</v>
      </c>
    </row>
    <row r="54" spans="1:5" x14ac:dyDescent="0.25">
      <c r="A54" s="5" t="s">
        <v>19</v>
      </c>
      <c r="B54" s="28"/>
      <c r="D54" s="12">
        <f>+D52-D53</f>
        <v>0</v>
      </c>
    </row>
  </sheetData>
  <phoneticPr fontId="0" type="noConversion"/>
  <pageMargins left="1" right="1" top="1" bottom="0.99" header="0.5" footer="0.5"/>
  <pageSetup scale="85" orientation="landscape" r:id="rId1"/>
  <headerFooter alignWithMargins="0">
    <oddHeader>&amp;A</oddHeader>
    <oddFooter>&amp;CPage &amp;P&amp;R&amp;D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92"/>
  <sheetViews>
    <sheetView showZeros="0" zoomScale="75" zoomScaleNormal="75" workbookViewId="0">
      <pane ySplit="1" topLeftCell="A2" activePane="bottomLeft" state="frozen"/>
      <selection pane="bottomLeft" activeCell="A4" sqref="A4"/>
    </sheetView>
  </sheetViews>
  <sheetFormatPr defaultColWidth="9.109375" defaultRowHeight="16.8" x14ac:dyDescent="0.4"/>
  <cols>
    <col min="1" max="1" width="18.6640625" style="88" bestFit="1" customWidth="1"/>
    <col min="2" max="2" width="13.109375" style="88" customWidth="1"/>
    <col min="3" max="3" width="11.88671875" style="88" customWidth="1"/>
    <col min="4" max="4" width="11.33203125" style="88" customWidth="1"/>
    <col min="5" max="5" width="11.88671875" style="88" customWidth="1"/>
    <col min="6" max="7" width="11.33203125" style="88" customWidth="1"/>
    <col min="8" max="9" width="13.109375" style="88" customWidth="1"/>
    <col min="10" max="10" width="22.44140625" style="88" customWidth="1"/>
    <col min="11" max="11" width="15.33203125" style="88" customWidth="1"/>
    <col min="12" max="12" width="13.6640625" style="88" customWidth="1"/>
    <col min="13" max="13" width="11.33203125" style="88" customWidth="1"/>
    <col min="14" max="14" width="13.6640625" style="88" customWidth="1"/>
    <col min="15" max="16" width="12.44140625" style="88" customWidth="1"/>
    <col min="17" max="17" width="13.6640625" style="88" customWidth="1"/>
    <col min="18" max="18" width="15.33203125" style="88" customWidth="1"/>
    <col min="19" max="19" width="13.109375" style="88" customWidth="1"/>
    <col min="20" max="20" width="22.44140625" style="88" customWidth="1"/>
    <col min="21" max="21" width="12.33203125" style="88" customWidth="1"/>
    <col min="22" max="16384" width="9.109375" style="88"/>
  </cols>
  <sheetData>
    <row r="1" spans="1:20" ht="17.399999999999999" thickBot="1" x14ac:dyDescent="0.45">
      <c r="A1" s="470" t="s">
        <v>398</v>
      </c>
      <c r="B1" s="471"/>
      <c r="C1" s="472"/>
    </row>
    <row r="2" spans="1:20" ht="17.399999999999999" thickBot="1" x14ac:dyDescent="0.45">
      <c r="A2" s="473" t="s">
        <v>33</v>
      </c>
      <c r="B2" s="474" t="s">
        <v>34</v>
      </c>
      <c r="C2" s="475"/>
      <c r="D2" s="475"/>
      <c r="E2" s="475"/>
      <c r="F2" s="475"/>
      <c r="G2" s="475"/>
      <c r="H2" s="475"/>
      <c r="I2" s="475"/>
      <c r="K2" s="474" t="s">
        <v>35</v>
      </c>
      <c r="L2" s="476"/>
      <c r="M2" s="476"/>
      <c r="N2" s="476"/>
      <c r="O2" s="476"/>
      <c r="P2" s="476"/>
      <c r="Q2" s="476"/>
      <c r="R2" s="476"/>
    </row>
    <row r="3" spans="1:20" ht="17.399999999999999" thickBot="1" x14ac:dyDescent="0.45">
      <c r="A3" s="477" t="s">
        <v>36</v>
      </c>
      <c r="B3" s="478" t="s">
        <v>37</v>
      </c>
      <c r="C3" s="478" t="s">
        <v>306</v>
      </c>
      <c r="D3" s="478" t="s">
        <v>397</v>
      </c>
      <c r="E3" s="479">
        <v>31</v>
      </c>
      <c r="F3" s="479">
        <v>34</v>
      </c>
      <c r="G3" s="479">
        <v>45</v>
      </c>
      <c r="H3" s="479">
        <v>97</v>
      </c>
      <c r="I3" s="479" t="s">
        <v>38</v>
      </c>
      <c r="K3" s="478" t="s">
        <v>37</v>
      </c>
      <c r="L3" s="478" t="s">
        <v>306</v>
      </c>
      <c r="M3" s="478" t="s">
        <v>397</v>
      </c>
      <c r="N3" s="479">
        <v>31</v>
      </c>
      <c r="O3" s="479">
        <v>34</v>
      </c>
      <c r="P3" s="479">
        <v>45</v>
      </c>
      <c r="Q3" s="479">
        <v>97</v>
      </c>
      <c r="R3" s="480" t="s">
        <v>39</v>
      </c>
      <c r="S3" s="88" t="s">
        <v>40</v>
      </c>
    </row>
    <row r="4" spans="1:20" x14ac:dyDescent="0.4">
      <c r="A4" s="88">
        <v>11</v>
      </c>
      <c r="B4" s="469">
        <v>0.91</v>
      </c>
      <c r="C4" s="469"/>
      <c r="D4" s="469"/>
      <c r="E4" s="469"/>
      <c r="F4" s="469"/>
      <c r="G4" s="469"/>
      <c r="H4" s="469">
        <v>259.39999999999998</v>
      </c>
      <c r="I4" s="481">
        <f t="shared" ref="I4:I41" si="0">SUM(B4:H4)</f>
        <v>260.31</v>
      </c>
      <c r="J4" s="482" t="s">
        <v>41</v>
      </c>
      <c r="K4" s="483"/>
      <c r="L4" s="483"/>
      <c r="M4" s="483"/>
      <c r="N4" s="483"/>
      <c r="O4" s="483"/>
      <c r="P4" s="483"/>
      <c r="Q4" s="483"/>
      <c r="R4" s="484"/>
      <c r="S4" s="485" t="s">
        <v>57</v>
      </c>
      <c r="T4" s="482" t="s">
        <v>41</v>
      </c>
    </row>
    <row r="5" spans="1:20" x14ac:dyDescent="0.4">
      <c r="A5" s="88">
        <v>12</v>
      </c>
      <c r="B5" s="469">
        <v>60.14</v>
      </c>
      <c r="C5" s="469">
        <v>0.15</v>
      </c>
      <c r="D5" s="469"/>
      <c r="E5" s="469">
        <v>0.37</v>
      </c>
      <c r="F5" s="469">
        <v>0.52</v>
      </c>
      <c r="G5" s="469"/>
      <c r="H5" s="469">
        <v>39.31</v>
      </c>
      <c r="I5" s="481">
        <f t="shared" si="0"/>
        <v>100.49000000000001</v>
      </c>
      <c r="J5" s="486" t="s">
        <v>29</v>
      </c>
      <c r="K5" s="487">
        <f>SUM(B4:B11)</f>
        <v>3791.7000000000007</v>
      </c>
      <c r="L5" s="487">
        <f t="shared" ref="L5:Q5" si="1">SUM(C4:C11)</f>
        <v>95.949999999999989</v>
      </c>
      <c r="M5" s="487">
        <f t="shared" si="1"/>
        <v>7.28</v>
      </c>
      <c r="N5" s="487">
        <f t="shared" si="1"/>
        <v>150.75</v>
      </c>
      <c r="O5" s="487">
        <f t="shared" si="1"/>
        <v>45.71</v>
      </c>
      <c r="P5" s="487">
        <f t="shared" si="1"/>
        <v>26.73</v>
      </c>
      <c r="Q5" s="487">
        <f t="shared" si="1"/>
        <v>416.65999999999997</v>
      </c>
      <c r="R5" s="488">
        <f>SUM(K5:Q5)</f>
        <v>4534.7800000000007</v>
      </c>
      <c r="S5" s="489">
        <v>4534.7700000000004</v>
      </c>
      <c r="T5" s="486" t="s">
        <v>29</v>
      </c>
    </row>
    <row r="6" spans="1:20" x14ac:dyDescent="0.4">
      <c r="A6" s="88">
        <v>13</v>
      </c>
      <c r="B6" s="469">
        <v>401.28</v>
      </c>
      <c r="C6" s="469">
        <v>13.36</v>
      </c>
      <c r="D6" s="469">
        <v>0.23</v>
      </c>
      <c r="E6" s="469">
        <v>69.34</v>
      </c>
      <c r="F6" s="469">
        <v>22.34</v>
      </c>
      <c r="G6" s="469">
        <v>0.2</v>
      </c>
      <c r="H6" s="469">
        <v>112.95</v>
      </c>
      <c r="I6" s="481">
        <f t="shared" si="0"/>
        <v>619.70000000000005</v>
      </c>
      <c r="J6" s="164"/>
      <c r="K6" s="490"/>
      <c r="L6" s="490"/>
      <c r="M6" s="490"/>
      <c r="N6" s="490"/>
      <c r="R6" s="491"/>
    </row>
    <row r="7" spans="1:20" x14ac:dyDescent="0.4">
      <c r="A7" s="88">
        <v>21</v>
      </c>
      <c r="B7" s="469">
        <v>1179.45</v>
      </c>
      <c r="C7" s="469">
        <v>18.95</v>
      </c>
      <c r="D7" s="469"/>
      <c r="E7" s="469"/>
      <c r="F7" s="469"/>
      <c r="G7" s="469"/>
      <c r="H7" s="469">
        <v>0</v>
      </c>
      <c r="I7" s="481">
        <f t="shared" si="0"/>
        <v>1198.4000000000001</v>
      </c>
      <c r="J7" s="164"/>
      <c r="R7" s="492"/>
    </row>
    <row r="8" spans="1:20" x14ac:dyDescent="0.4">
      <c r="A8" s="88">
        <v>22</v>
      </c>
      <c r="B8" s="469">
        <v>504.52</v>
      </c>
      <c r="C8" s="469">
        <v>3.73</v>
      </c>
      <c r="D8" s="469"/>
      <c r="E8" s="469">
        <v>0</v>
      </c>
      <c r="F8" s="469"/>
      <c r="G8" s="469"/>
      <c r="H8" s="469">
        <v>0</v>
      </c>
      <c r="I8" s="481">
        <f t="shared" si="0"/>
        <v>508.25</v>
      </c>
      <c r="R8" s="492"/>
    </row>
    <row r="9" spans="1:20" x14ac:dyDescent="0.4">
      <c r="A9" s="88">
        <v>23</v>
      </c>
      <c r="B9" s="469">
        <v>691.36</v>
      </c>
      <c r="C9" s="469">
        <v>40.11</v>
      </c>
      <c r="D9" s="469">
        <v>5.47</v>
      </c>
      <c r="E9" s="469">
        <v>8.24</v>
      </c>
      <c r="F9" s="469">
        <v>3.88</v>
      </c>
      <c r="G9" s="469">
        <v>8.34</v>
      </c>
      <c r="H9" s="469">
        <v>2</v>
      </c>
      <c r="I9" s="481">
        <f t="shared" si="0"/>
        <v>759.40000000000009</v>
      </c>
      <c r="R9" s="492"/>
    </row>
    <row r="10" spans="1:20" x14ac:dyDescent="0.4">
      <c r="A10" s="88">
        <v>24</v>
      </c>
      <c r="B10" s="469">
        <v>852.7</v>
      </c>
      <c r="C10" s="469">
        <v>9.27</v>
      </c>
      <c r="D10" s="469">
        <v>0.33</v>
      </c>
      <c r="E10" s="469">
        <v>29.2</v>
      </c>
      <c r="F10" s="469">
        <v>8.9</v>
      </c>
      <c r="G10" s="469">
        <v>4.2300000000000004</v>
      </c>
      <c r="H10" s="469">
        <v>1</v>
      </c>
      <c r="I10" s="481">
        <f t="shared" si="0"/>
        <v>905.63000000000011</v>
      </c>
      <c r="R10" s="492"/>
    </row>
    <row r="11" spans="1:20" x14ac:dyDescent="0.4">
      <c r="A11" s="88">
        <v>25</v>
      </c>
      <c r="B11" s="469">
        <v>101.34</v>
      </c>
      <c r="C11" s="469">
        <v>10.38</v>
      </c>
      <c r="D11" s="469">
        <v>1.25</v>
      </c>
      <c r="E11" s="469">
        <v>43.6</v>
      </c>
      <c r="F11" s="469">
        <v>10.07</v>
      </c>
      <c r="G11" s="469">
        <v>13.96</v>
      </c>
      <c r="H11" s="469">
        <v>2</v>
      </c>
      <c r="I11" s="481">
        <f t="shared" si="0"/>
        <v>182.6</v>
      </c>
      <c r="J11" s="482" t="s">
        <v>42</v>
      </c>
      <c r="K11" s="483"/>
      <c r="L11" s="483"/>
      <c r="M11" s="483"/>
      <c r="N11" s="483"/>
      <c r="O11" s="483"/>
      <c r="P11" s="483"/>
      <c r="Q11" s="483"/>
      <c r="R11" s="484"/>
      <c r="S11" s="485" t="s">
        <v>59</v>
      </c>
      <c r="T11" s="482" t="s">
        <v>42</v>
      </c>
    </row>
    <row r="12" spans="1:20" x14ac:dyDescent="0.4">
      <c r="A12" s="88">
        <v>31</v>
      </c>
      <c r="B12" s="469">
        <v>23512.86</v>
      </c>
      <c r="C12" s="469">
        <v>297.56</v>
      </c>
      <c r="D12" s="469">
        <v>0</v>
      </c>
      <c r="E12" s="469">
        <v>0.25</v>
      </c>
      <c r="F12" s="469">
        <v>12.11</v>
      </c>
      <c r="G12" s="469">
        <v>0</v>
      </c>
      <c r="H12" s="469"/>
      <c r="I12" s="481">
        <f t="shared" si="0"/>
        <v>23822.780000000002</v>
      </c>
      <c r="J12" s="486" t="s">
        <v>29</v>
      </c>
      <c r="K12" s="487">
        <f t="shared" ref="K12:Q12" si="2">SUM(B12:B28)</f>
        <v>49090.060000000005</v>
      </c>
      <c r="L12" s="487">
        <f t="shared" si="2"/>
        <v>1475.9799999999998</v>
      </c>
      <c r="M12" s="487">
        <f t="shared" si="2"/>
        <v>69.789999999999992</v>
      </c>
      <c r="N12" s="487">
        <f t="shared" si="2"/>
        <v>3324.02</v>
      </c>
      <c r="O12" s="487">
        <f t="shared" si="2"/>
        <v>751.01</v>
      </c>
      <c r="P12" s="487">
        <f t="shared" si="2"/>
        <v>255.20999999999998</v>
      </c>
      <c r="Q12" s="487">
        <f t="shared" si="2"/>
        <v>2.34</v>
      </c>
      <c r="R12" s="488">
        <f>SUM(K12:Q12)</f>
        <v>54968.41</v>
      </c>
      <c r="S12" s="489">
        <v>54968.34</v>
      </c>
      <c r="T12" s="486" t="s">
        <v>29</v>
      </c>
    </row>
    <row r="13" spans="1:20" x14ac:dyDescent="0.4">
      <c r="A13" s="88">
        <v>32</v>
      </c>
      <c r="B13" s="469">
        <v>16784.740000000002</v>
      </c>
      <c r="C13" s="469">
        <v>709.36</v>
      </c>
      <c r="D13" s="469">
        <v>49.77</v>
      </c>
      <c r="E13" s="469">
        <v>3051.36</v>
      </c>
      <c r="F13" s="469">
        <v>667.86</v>
      </c>
      <c r="G13" s="469">
        <v>228.62</v>
      </c>
      <c r="H13" s="469"/>
      <c r="I13" s="481">
        <f t="shared" si="0"/>
        <v>21491.710000000003</v>
      </c>
      <c r="J13" s="164"/>
      <c r="R13" s="492"/>
    </row>
    <row r="14" spans="1:20" x14ac:dyDescent="0.4">
      <c r="A14" s="88">
        <v>33</v>
      </c>
      <c r="B14" s="469">
        <v>692.79</v>
      </c>
      <c r="C14" s="469">
        <v>139.29</v>
      </c>
      <c r="D14" s="469">
        <v>4.12</v>
      </c>
      <c r="E14" s="469">
        <v>39.19</v>
      </c>
      <c r="F14" s="469">
        <v>13.15</v>
      </c>
      <c r="G14" s="469">
        <v>3.5</v>
      </c>
      <c r="H14" s="469"/>
      <c r="I14" s="481">
        <f>SUM(B14:H14)</f>
        <v>892.03999999999985</v>
      </c>
      <c r="J14" s="164"/>
      <c r="R14" s="492"/>
    </row>
    <row r="15" spans="1:20" x14ac:dyDescent="0.4">
      <c r="A15" s="88">
        <v>34</v>
      </c>
      <c r="B15" s="469">
        <v>3340.21</v>
      </c>
      <c r="C15" s="469">
        <v>15.38</v>
      </c>
      <c r="D15" s="469"/>
      <c r="E15" s="469">
        <v>0</v>
      </c>
      <c r="F15" s="469">
        <v>0</v>
      </c>
      <c r="G15" s="469"/>
      <c r="H15" s="469">
        <v>0</v>
      </c>
      <c r="I15" s="481">
        <f t="shared" si="0"/>
        <v>3355.59</v>
      </c>
      <c r="J15" s="164"/>
      <c r="R15" s="492"/>
    </row>
    <row r="16" spans="1:20" x14ac:dyDescent="0.4">
      <c r="A16" s="88">
        <v>39</v>
      </c>
      <c r="B16" s="469">
        <v>1</v>
      </c>
      <c r="C16" s="469"/>
      <c r="D16" s="469"/>
      <c r="E16" s="469">
        <v>0</v>
      </c>
      <c r="F16" s="469">
        <v>0</v>
      </c>
      <c r="G16" s="469"/>
      <c r="H16" s="469">
        <v>0</v>
      </c>
      <c r="I16" s="481">
        <f t="shared" ref="I16" si="3">SUM(B16:H16)</f>
        <v>1</v>
      </c>
      <c r="J16" s="164"/>
      <c r="R16" s="492"/>
    </row>
    <row r="17" spans="1:20" x14ac:dyDescent="0.4">
      <c r="A17" s="88">
        <v>63</v>
      </c>
      <c r="B17" s="469">
        <v>5.86</v>
      </c>
      <c r="C17" s="469">
        <v>196.85</v>
      </c>
      <c r="D17" s="469">
        <v>6</v>
      </c>
      <c r="E17" s="469"/>
      <c r="F17" s="469"/>
      <c r="G17" s="469">
        <v>13</v>
      </c>
      <c r="H17" s="469"/>
      <c r="I17" s="481">
        <f t="shared" si="0"/>
        <v>221.71</v>
      </c>
      <c r="R17" s="492"/>
    </row>
    <row r="18" spans="1:20" x14ac:dyDescent="0.4">
      <c r="A18" s="88">
        <v>40</v>
      </c>
      <c r="B18" s="469">
        <v>711.39</v>
      </c>
      <c r="C18" s="469">
        <v>29.59</v>
      </c>
      <c r="D18" s="469">
        <v>0.99</v>
      </c>
      <c r="E18" s="469">
        <v>69.87</v>
      </c>
      <c r="F18" s="469">
        <v>21.18</v>
      </c>
      <c r="G18" s="469">
        <v>6.66</v>
      </c>
      <c r="H18" s="469">
        <v>2.34</v>
      </c>
      <c r="I18" s="481">
        <f t="shared" si="0"/>
        <v>842.02</v>
      </c>
      <c r="K18" s="490"/>
      <c r="L18" s="490"/>
      <c r="M18" s="490"/>
      <c r="N18" s="490"/>
      <c r="R18" s="491"/>
    </row>
    <row r="19" spans="1:20" x14ac:dyDescent="0.4">
      <c r="A19" s="88">
        <v>41</v>
      </c>
      <c r="B19" s="469">
        <v>598.03</v>
      </c>
      <c r="C19" s="469">
        <v>2.27</v>
      </c>
      <c r="D19" s="469"/>
      <c r="E19" s="469">
        <v>7.36</v>
      </c>
      <c r="F19" s="469">
        <v>2.52</v>
      </c>
      <c r="G19" s="469"/>
      <c r="H19" s="469">
        <v>0</v>
      </c>
      <c r="I19" s="481">
        <f t="shared" si="0"/>
        <v>610.17999999999995</v>
      </c>
      <c r="R19" s="492"/>
    </row>
    <row r="20" spans="1:20" x14ac:dyDescent="0.4">
      <c r="A20" s="88">
        <v>42</v>
      </c>
      <c r="B20" s="469">
        <v>2538.77</v>
      </c>
      <c r="C20" s="469">
        <v>75.31</v>
      </c>
      <c r="D20" s="469">
        <v>4.34</v>
      </c>
      <c r="E20" s="469">
        <v>154.88999999999999</v>
      </c>
      <c r="F20" s="469">
        <v>33.74</v>
      </c>
      <c r="G20" s="469">
        <v>3.01</v>
      </c>
      <c r="H20" s="469"/>
      <c r="I20" s="481">
        <f t="shared" si="0"/>
        <v>2810.06</v>
      </c>
      <c r="J20" s="482" t="s">
        <v>43</v>
      </c>
      <c r="K20" s="483"/>
      <c r="L20" s="483"/>
      <c r="M20" s="483"/>
      <c r="N20" s="483"/>
      <c r="O20" s="483"/>
      <c r="P20" s="483"/>
      <c r="Q20" s="483"/>
      <c r="R20" s="484"/>
      <c r="S20" s="485"/>
      <c r="T20" s="482" t="s">
        <v>43</v>
      </c>
    </row>
    <row r="21" spans="1:20" x14ac:dyDescent="0.4">
      <c r="A21" s="88">
        <v>43</v>
      </c>
      <c r="B21" s="469">
        <v>4.83</v>
      </c>
      <c r="C21" s="469">
        <v>0</v>
      </c>
      <c r="D21" s="469"/>
      <c r="E21" s="469"/>
      <c r="F21" s="469"/>
      <c r="G21" s="469"/>
      <c r="H21" s="469"/>
      <c r="I21" s="481">
        <f t="shared" si="0"/>
        <v>4.83</v>
      </c>
      <c r="J21" s="486" t="s">
        <v>29</v>
      </c>
      <c r="K21" s="487">
        <f t="shared" ref="K21:Q21" si="4">SUM(B29:B31)</f>
        <v>272.56</v>
      </c>
      <c r="L21" s="487">
        <f t="shared" si="4"/>
        <v>2</v>
      </c>
      <c r="M21" s="487">
        <f t="shared" si="4"/>
        <v>0</v>
      </c>
      <c r="N21" s="487">
        <f t="shared" si="4"/>
        <v>1.2</v>
      </c>
      <c r="O21" s="487">
        <f t="shared" si="4"/>
        <v>0</v>
      </c>
      <c r="P21" s="487">
        <f t="shared" si="4"/>
        <v>0</v>
      </c>
      <c r="Q21" s="487">
        <f t="shared" si="4"/>
        <v>6.77</v>
      </c>
      <c r="R21" s="488">
        <f>SUM(K21:Q21)</f>
        <v>282.52999999999997</v>
      </c>
      <c r="S21" s="489"/>
      <c r="T21" s="486" t="s">
        <v>29</v>
      </c>
    </row>
    <row r="22" spans="1:20" x14ac:dyDescent="0.4">
      <c r="A22" s="88">
        <v>44</v>
      </c>
      <c r="B22" s="469">
        <v>166.11</v>
      </c>
      <c r="C22" s="469">
        <v>2.65</v>
      </c>
      <c r="D22" s="469">
        <v>2.57</v>
      </c>
      <c r="E22" s="469">
        <v>0.75</v>
      </c>
      <c r="F22" s="469">
        <v>0.45</v>
      </c>
      <c r="G22" s="469"/>
      <c r="H22" s="469"/>
      <c r="I22" s="481">
        <f t="shared" si="0"/>
        <v>172.53</v>
      </c>
      <c r="J22" s="164"/>
      <c r="R22" s="492"/>
    </row>
    <row r="23" spans="1:20" x14ac:dyDescent="0.4">
      <c r="A23" s="88">
        <v>45</v>
      </c>
      <c r="B23" s="469">
        <v>10.97</v>
      </c>
      <c r="C23" s="469">
        <v>0.12</v>
      </c>
      <c r="D23" s="469"/>
      <c r="E23" s="469"/>
      <c r="F23" s="469"/>
      <c r="G23" s="469"/>
      <c r="H23" s="469"/>
      <c r="I23" s="481">
        <f t="shared" si="0"/>
        <v>11.09</v>
      </c>
      <c r="J23" s="164"/>
      <c r="R23" s="492"/>
    </row>
    <row r="24" spans="1:20" x14ac:dyDescent="0.4">
      <c r="A24" s="88">
        <v>46</v>
      </c>
      <c r="B24" s="469">
        <v>57.8</v>
      </c>
      <c r="C24" s="469"/>
      <c r="D24" s="469"/>
      <c r="E24" s="469"/>
      <c r="F24" s="469"/>
      <c r="G24" s="469"/>
      <c r="H24" s="469"/>
      <c r="I24" s="481">
        <f t="shared" si="0"/>
        <v>57.8</v>
      </c>
      <c r="Q24" s="88" t="s">
        <v>46</v>
      </c>
      <c r="R24" s="493">
        <f>SUM(I4:I31)</f>
        <v>59785.719999999994</v>
      </c>
      <c r="S24" s="494">
        <f>+S12+S5</f>
        <v>59503.11</v>
      </c>
      <c r="T24" s="495" t="s">
        <v>47</v>
      </c>
    </row>
    <row r="25" spans="1:20" ht="17.399999999999999" thickBot="1" x14ac:dyDescent="0.45">
      <c r="A25" s="88">
        <v>47</v>
      </c>
      <c r="B25" s="469">
        <v>647.11</v>
      </c>
      <c r="C25" s="469">
        <v>2.6</v>
      </c>
      <c r="D25" s="469"/>
      <c r="E25" s="469">
        <v>0.35</v>
      </c>
      <c r="F25" s="469"/>
      <c r="G25" s="469">
        <v>0.42</v>
      </c>
      <c r="H25" s="469"/>
      <c r="I25" s="481">
        <f t="shared" si="0"/>
        <v>650.48</v>
      </c>
      <c r="J25" s="482" t="s">
        <v>48</v>
      </c>
      <c r="K25" s="483"/>
      <c r="L25" s="483"/>
      <c r="M25" s="483"/>
      <c r="N25" s="483"/>
      <c r="O25" s="483"/>
      <c r="P25" s="483"/>
      <c r="Q25" s="483"/>
      <c r="R25" s="496"/>
      <c r="S25" s="497">
        <f>+R21</f>
        <v>282.52999999999997</v>
      </c>
      <c r="T25" s="498" t="s">
        <v>49</v>
      </c>
    </row>
    <row r="26" spans="1:20" ht="17.399999999999999" thickBot="1" x14ac:dyDescent="0.45">
      <c r="A26" s="88">
        <v>48</v>
      </c>
      <c r="B26" s="469">
        <v>1.32</v>
      </c>
      <c r="C26" s="469"/>
      <c r="D26" s="469"/>
      <c r="E26" s="469"/>
      <c r="F26" s="469"/>
      <c r="G26" s="469"/>
      <c r="H26" s="469">
        <v>0</v>
      </c>
      <c r="I26" s="481">
        <f t="shared" si="0"/>
        <v>1.32</v>
      </c>
      <c r="J26" s="486" t="s">
        <v>29</v>
      </c>
      <c r="K26" s="487">
        <f t="shared" ref="K26:Q26" si="5">SUM(B4:B31)</f>
        <v>53154.32</v>
      </c>
      <c r="L26" s="487">
        <f t="shared" si="5"/>
        <v>1573.9299999999996</v>
      </c>
      <c r="M26" s="487">
        <f t="shared" si="5"/>
        <v>77.069999999999993</v>
      </c>
      <c r="N26" s="487">
        <f t="shared" si="5"/>
        <v>3475.97</v>
      </c>
      <c r="O26" s="487">
        <f t="shared" si="5"/>
        <v>796.72</v>
      </c>
      <c r="P26" s="487">
        <f t="shared" si="5"/>
        <v>281.94000000000005</v>
      </c>
      <c r="Q26" s="487">
        <f t="shared" si="5"/>
        <v>425.76999999999992</v>
      </c>
      <c r="R26" s="499">
        <f>SUM(K26:Q26)</f>
        <v>59785.72</v>
      </c>
      <c r="S26" s="500">
        <f>+S24+S25</f>
        <v>59785.64</v>
      </c>
      <c r="T26" s="501" t="s">
        <v>38</v>
      </c>
    </row>
    <row r="27" spans="1:20" x14ac:dyDescent="0.4">
      <c r="A27" s="88">
        <v>49</v>
      </c>
      <c r="B27" s="469">
        <v>13.02</v>
      </c>
      <c r="C27" s="469"/>
      <c r="D27" s="469"/>
      <c r="E27" s="469"/>
      <c r="F27" s="469"/>
      <c r="G27" s="469"/>
      <c r="H27" s="469"/>
      <c r="I27" s="481">
        <f t="shared" si="0"/>
        <v>13.02</v>
      </c>
      <c r="R27" s="492"/>
    </row>
    <row r="28" spans="1:20" x14ac:dyDescent="0.4">
      <c r="A28" s="88">
        <v>64</v>
      </c>
      <c r="B28" s="469">
        <v>3.25</v>
      </c>
      <c r="C28" s="469">
        <v>5</v>
      </c>
      <c r="D28" s="469">
        <v>2</v>
      </c>
      <c r="E28" s="469"/>
      <c r="F28" s="469"/>
      <c r="G28" s="469"/>
      <c r="H28" s="469"/>
      <c r="I28" s="481">
        <f t="shared" si="0"/>
        <v>10.25</v>
      </c>
      <c r="R28" s="492"/>
      <c r="T28" s="502" t="s">
        <v>48</v>
      </c>
    </row>
    <row r="29" spans="1:20" x14ac:dyDescent="0.4">
      <c r="A29" s="88">
        <v>51</v>
      </c>
      <c r="B29" s="469">
        <v>102.27</v>
      </c>
      <c r="C29" s="469">
        <v>0</v>
      </c>
      <c r="D29" s="469"/>
      <c r="E29" s="469">
        <v>0</v>
      </c>
      <c r="F29" s="469"/>
      <c r="G29" s="469"/>
      <c r="H29" s="469"/>
      <c r="I29" s="481">
        <f t="shared" si="0"/>
        <v>102.27</v>
      </c>
      <c r="R29" s="492"/>
      <c r="T29" s="503" t="s">
        <v>29</v>
      </c>
    </row>
    <row r="30" spans="1:20" x14ac:dyDescent="0.4">
      <c r="A30" s="88">
        <v>52</v>
      </c>
      <c r="B30" s="469">
        <v>117.61</v>
      </c>
      <c r="C30" s="469">
        <v>1</v>
      </c>
      <c r="D30" s="469"/>
      <c r="E30" s="469">
        <v>0.2</v>
      </c>
      <c r="F30" s="469"/>
      <c r="G30" s="469"/>
      <c r="H30" s="469"/>
      <c r="I30" s="481">
        <f t="shared" si="0"/>
        <v>118.81</v>
      </c>
      <c r="R30" s="492"/>
    </row>
    <row r="31" spans="1:20" x14ac:dyDescent="0.4">
      <c r="A31" s="88">
        <v>61</v>
      </c>
      <c r="B31" s="469">
        <v>52.68</v>
      </c>
      <c r="C31" s="469">
        <v>1</v>
      </c>
      <c r="D31" s="469"/>
      <c r="E31" s="469">
        <v>1</v>
      </c>
      <c r="F31" s="469"/>
      <c r="G31" s="469">
        <v>0</v>
      </c>
      <c r="H31" s="469">
        <v>6.77</v>
      </c>
      <c r="I31" s="481">
        <f t="shared" si="0"/>
        <v>61.45</v>
      </c>
      <c r="R31" s="492"/>
    </row>
    <row r="32" spans="1:20" x14ac:dyDescent="0.4">
      <c r="A32" s="88">
        <v>90</v>
      </c>
      <c r="B32" s="469">
        <v>0.05</v>
      </c>
      <c r="C32" s="469">
        <v>0</v>
      </c>
      <c r="D32" s="469"/>
      <c r="E32" s="469">
        <v>0</v>
      </c>
      <c r="F32" s="469"/>
      <c r="G32" s="469"/>
      <c r="H32" s="469">
        <v>2.54</v>
      </c>
      <c r="I32" s="481">
        <f t="shared" si="0"/>
        <v>2.59</v>
      </c>
      <c r="R32" s="492"/>
    </row>
    <row r="33" spans="1:20" x14ac:dyDescent="0.4">
      <c r="A33" s="88">
        <v>91</v>
      </c>
      <c r="B33" s="469">
        <v>3140.48</v>
      </c>
      <c r="C33" s="469">
        <v>80.12</v>
      </c>
      <c r="D33" s="469">
        <v>13.69</v>
      </c>
      <c r="E33" s="469">
        <v>156.57</v>
      </c>
      <c r="F33" s="469">
        <v>7.41</v>
      </c>
      <c r="G33" s="469">
        <v>17.899999999999999</v>
      </c>
      <c r="H33" s="469">
        <v>19.28</v>
      </c>
      <c r="I33" s="481">
        <f t="shared" si="0"/>
        <v>3435.4500000000003</v>
      </c>
      <c r="R33" s="492"/>
    </row>
    <row r="34" spans="1:20" x14ac:dyDescent="0.4">
      <c r="A34" s="88">
        <v>92</v>
      </c>
      <c r="B34" s="469"/>
      <c r="C34" s="469"/>
      <c r="D34" s="469"/>
      <c r="E34" s="469"/>
      <c r="F34" s="469"/>
      <c r="G34" s="469">
        <v>0.22</v>
      </c>
      <c r="H34" s="469">
        <v>1218.3</v>
      </c>
      <c r="I34" s="481">
        <f t="shared" si="0"/>
        <v>1218.52</v>
      </c>
      <c r="J34" s="482" t="s">
        <v>401</v>
      </c>
      <c r="K34" s="483"/>
      <c r="L34" s="483"/>
      <c r="M34" s="483"/>
      <c r="N34" s="483"/>
      <c r="O34" s="483"/>
      <c r="P34" s="483"/>
      <c r="Q34" s="483"/>
      <c r="R34" s="484"/>
      <c r="S34" s="485" t="s">
        <v>240</v>
      </c>
      <c r="T34" s="502" t="s">
        <v>401</v>
      </c>
    </row>
    <row r="35" spans="1:20" x14ac:dyDescent="0.4">
      <c r="A35" s="88">
        <v>93</v>
      </c>
      <c r="B35" s="469"/>
      <c r="C35" s="469"/>
      <c r="D35" s="469"/>
      <c r="E35" s="469"/>
      <c r="F35" s="469"/>
      <c r="G35" s="469"/>
      <c r="H35" s="469">
        <v>207.93</v>
      </c>
      <c r="I35" s="481">
        <f t="shared" si="0"/>
        <v>207.93</v>
      </c>
      <c r="J35" s="486" t="s">
        <v>29</v>
      </c>
      <c r="K35" s="487">
        <f t="shared" ref="K35:Q35" si="6">SUM(B32:B41)</f>
        <v>9602.9</v>
      </c>
      <c r="L35" s="487">
        <f t="shared" si="6"/>
        <v>300.27000000000004</v>
      </c>
      <c r="M35" s="487">
        <f t="shared" si="6"/>
        <v>33.909999999999997</v>
      </c>
      <c r="N35" s="487">
        <f t="shared" si="6"/>
        <v>441.29999999999995</v>
      </c>
      <c r="O35" s="487">
        <f t="shared" si="6"/>
        <v>56.769999999999996</v>
      </c>
      <c r="P35" s="487">
        <f t="shared" si="6"/>
        <v>86.859999999999985</v>
      </c>
      <c r="Q35" s="487">
        <f t="shared" si="6"/>
        <v>12361.029999999999</v>
      </c>
      <c r="R35" s="488">
        <f>SUM(K35:Q35)</f>
        <v>22883.040000000001</v>
      </c>
      <c r="S35" s="489">
        <v>22883.040000000001</v>
      </c>
      <c r="T35" s="503" t="s">
        <v>29</v>
      </c>
    </row>
    <row r="36" spans="1:20" x14ac:dyDescent="0.4">
      <c r="A36" s="88">
        <v>94</v>
      </c>
      <c r="B36" s="469">
        <v>4847.62</v>
      </c>
      <c r="C36" s="469">
        <v>173.86</v>
      </c>
      <c r="D36" s="469">
        <v>11.57</v>
      </c>
      <c r="E36" s="469">
        <v>176.35</v>
      </c>
      <c r="F36" s="469">
        <v>30.27</v>
      </c>
      <c r="G36" s="469">
        <v>38.21</v>
      </c>
      <c r="H36" s="469">
        <v>1649.91</v>
      </c>
      <c r="I36" s="481">
        <f t="shared" si="0"/>
        <v>6927.79</v>
      </c>
      <c r="R36" s="493"/>
      <c r="S36" s="504">
        <v>53154.29</v>
      </c>
      <c r="T36" s="505" t="s">
        <v>44</v>
      </c>
    </row>
    <row r="37" spans="1:20" x14ac:dyDescent="0.4">
      <c r="A37" s="88">
        <v>95</v>
      </c>
      <c r="B37" s="469">
        <v>0</v>
      </c>
      <c r="C37" s="469">
        <v>0</v>
      </c>
      <c r="D37" s="469">
        <v>0</v>
      </c>
      <c r="E37" s="469">
        <v>0</v>
      </c>
      <c r="F37" s="469"/>
      <c r="G37" s="469"/>
      <c r="H37" s="469">
        <v>49.13</v>
      </c>
      <c r="I37" s="481">
        <f t="shared" si="0"/>
        <v>49.13</v>
      </c>
      <c r="R37" s="492"/>
      <c r="S37" s="506">
        <v>1573.92</v>
      </c>
      <c r="T37" s="507" t="s">
        <v>307</v>
      </c>
    </row>
    <row r="38" spans="1:20" x14ac:dyDescent="0.4">
      <c r="A38" s="88">
        <v>96</v>
      </c>
      <c r="B38" s="469">
        <v>772.03</v>
      </c>
      <c r="C38" s="469">
        <v>32.19</v>
      </c>
      <c r="D38" s="469">
        <v>0.7</v>
      </c>
      <c r="E38" s="469">
        <v>43.56</v>
      </c>
      <c r="F38" s="469">
        <v>5.52</v>
      </c>
      <c r="G38" s="469">
        <v>10.09</v>
      </c>
      <c r="H38" s="469">
        <v>925.92</v>
      </c>
      <c r="I38" s="481">
        <f t="shared" si="0"/>
        <v>1790.01</v>
      </c>
      <c r="R38" s="492"/>
      <c r="S38" s="506">
        <v>77.069999999999993</v>
      </c>
      <c r="T38" s="507" t="s">
        <v>400</v>
      </c>
    </row>
    <row r="39" spans="1:20" x14ac:dyDescent="0.4">
      <c r="A39" s="88">
        <v>97</v>
      </c>
      <c r="B39" s="469">
        <v>331.98</v>
      </c>
      <c r="C39" s="469">
        <v>3.28</v>
      </c>
      <c r="D39" s="469">
        <v>0.75</v>
      </c>
      <c r="E39" s="469">
        <v>11.5</v>
      </c>
      <c r="F39" s="469"/>
      <c r="G39" s="469">
        <v>18.13</v>
      </c>
      <c r="H39" s="469">
        <v>6097.86</v>
      </c>
      <c r="I39" s="481">
        <f t="shared" si="0"/>
        <v>6463.5</v>
      </c>
      <c r="R39" s="492"/>
      <c r="S39" s="506">
        <v>3475.95</v>
      </c>
      <c r="T39" s="507" t="s">
        <v>45</v>
      </c>
    </row>
    <row r="40" spans="1:20" x14ac:dyDescent="0.4">
      <c r="A40" s="88">
        <v>98</v>
      </c>
      <c r="B40" s="469">
        <v>317.95999999999998</v>
      </c>
      <c r="C40" s="469">
        <v>9.9700000000000006</v>
      </c>
      <c r="D40" s="469">
        <v>7.2</v>
      </c>
      <c r="E40" s="469">
        <v>48.54</v>
      </c>
      <c r="F40" s="469">
        <v>13.16</v>
      </c>
      <c r="G40" s="469">
        <v>0.32</v>
      </c>
      <c r="H40" s="469">
        <v>1101.6400000000001</v>
      </c>
      <c r="I40" s="481">
        <f t="shared" si="0"/>
        <v>1498.7900000000002</v>
      </c>
      <c r="R40" s="492"/>
      <c r="S40" s="506">
        <v>796.73</v>
      </c>
      <c r="T40" s="507" t="s">
        <v>308</v>
      </c>
    </row>
    <row r="41" spans="1:20" x14ac:dyDescent="0.4">
      <c r="A41" s="88">
        <v>99</v>
      </c>
      <c r="B41" s="469">
        <v>192.78</v>
      </c>
      <c r="C41" s="469">
        <v>0.85</v>
      </c>
      <c r="D41" s="469"/>
      <c r="E41" s="469">
        <v>4.78</v>
      </c>
      <c r="F41" s="469">
        <v>0.41</v>
      </c>
      <c r="G41" s="469">
        <v>1.99</v>
      </c>
      <c r="H41" s="469">
        <v>1088.52</v>
      </c>
      <c r="I41" s="481">
        <f t="shared" si="0"/>
        <v>1289.33</v>
      </c>
      <c r="R41" s="492"/>
      <c r="S41" s="506">
        <v>281.93</v>
      </c>
      <c r="T41" s="507" t="s">
        <v>309</v>
      </c>
    </row>
    <row r="42" spans="1:20" ht="17.399999999999999" thickBot="1" x14ac:dyDescent="0.45">
      <c r="B42" s="508" t="s">
        <v>52</v>
      </c>
      <c r="C42" s="509" t="s">
        <v>52</v>
      </c>
      <c r="D42" s="509" t="s">
        <v>52</v>
      </c>
      <c r="E42" s="509" t="s">
        <v>52</v>
      </c>
      <c r="F42" s="509" t="s">
        <v>52</v>
      </c>
      <c r="G42" s="509" t="s">
        <v>52</v>
      </c>
      <c r="H42" s="509" t="s">
        <v>52</v>
      </c>
      <c r="I42" s="509" t="s">
        <v>52</v>
      </c>
      <c r="R42" s="510"/>
      <c r="S42" s="511">
        <v>425.76</v>
      </c>
      <c r="T42" s="512" t="s">
        <v>50</v>
      </c>
    </row>
    <row r="43" spans="1:20" ht="17.399999999999999" thickBot="1" x14ac:dyDescent="0.45">
      <c r="A43" s="473" t="s">
        <v>53</v>
      </c>
      <c r="B43" s="513">
        <f t="shared" ref="B43:I43" si="7">SUM(B4:B41)</f>
        <v>62757.220000000008</v>
      </c>
      <c r="C43" s="513">
        <f>SUM(C4:C41)</f>
        <v>1874.1999999999998</v>
      </c>
      <c r="D43" s="513">
        <f t="shared" si="7"/>
        <v>110.97999999999999</v>
      </c>
      <c r="E43" s="513">
        <f t="shared" si="7"/>
        <v>3917.27</v>
      </c>
      <c r="F43" s="513">
        <f t="shared" si="7"/>
        <v>853.4899999999999</v>
      </c>
      <c r="G43" s="513">
        <f t="shared" si="7"/>
        <v>368.8</v>
      </c>
      <c r="H43" s="513">
        <f t="shared" si="7"/>
        <v>12786.8</v>
      </c>
      <c r="I43" s="514">
        <f t="shared" si="7"/>
        <v>82668.75999999998</v>
      </c>
      <c r="J43" s="515" t="s">
        <v>54</v>
      </c>
      <c r="K43" s="514">
        <f t="shared" ref="K43:R43" si="8">+K5+K12+K21+K35</f>
        <v>62757.220000000008</v>
      </c>
      <c r="L43" s="514">
        <f>+L5+L12+L21+L35</f>
        <v>1874.1999999999998</v>
      </c>
      <c r="M43" s="514">
        <f t="shared" si="8"/>
        <v>110.97999999999999</v>
      </c>
      <c r="N43" s="514">
        <f t="shared" si="8"/>
        <v>3917.2699999999995</v>
      </c>
      <c r="O43" s="514">
        <f t="shared" si="8"/>
        <v>853.49</v>
      </c>
      <c r="P43" s="514">
        <f t="shared" si="8"/>
        <v>368.79999999999995</v>
      </c>
      <c r="Q43" s="514">
        <f t="shared" si="8"/>
        <v>12786.8</v>
      </c>
      <c r="R43" s="514">
        <f t="shared" si="8"/>
        <v>82668.760000000009</v>
      </c>
      <c r="S43" s="516">
        <f>SUM(S36:S42)</f>
        <v>59785.65</v>
      </c>
      <c r="T43" s="512" t="s">
        <v>51</v>
      </c>
    </row>
    <row r="44" spans="1:20" ht="17.399999999999999" thickBot="1" x14ac:dyDescent="0.45">
      <c r="A44" s="477" t="s">
        <v>36</v>
      </c>
      <c r="B44" s="517" t="s">
        <v>37</v>
      </c>
      <c r="C44" s="518" t="s">
        <v>306</v>
      </c>
      <c r="D44" s="518" t="s">
        <v>397</v>
      </c>
      <c r="E44" s="518">
        <v>31</v>
      </c>
      <c r="F44" s="518">
        <v>34</v>
      </c>
      <c r="G44" s="518">
        <v>45</v>
      </c>
      <c r="H44" s="518">
        <v>97</v>
      </c>
      <c r="I44" s="518" t="s">
        <v>38</v>
      </c>
      <c r="J44" s="477" t="s">
        <v>36</v>
      </c>
      <c r="K44" s="478" t="s">
        <v>37</v>
      </c>
      <c r="L44" s="479" t="s">
        <v>306</v>
      </c>
      <c r="M44" s="478" t="s">
        <v>397</v>
      </c>
      <c r="N44" s="479">
        <v>31</v>
      </c>
      <c r="O44" s="479">
        <v>34</v>
      </c>
      <c r="P44" s="479">
        <v>45</v>
      </c>
      <c r="Q44" s="479">
        <v>97</v>
      </c>
      <c r="R44" s="480" t="s">
        <v>39</v>
      </c>
    </row>
    <row r="45" spans="1:20" ht="17.399999999999999" thickTop="1" x14ac:dyDescent="0.4">
      <c r="A45" s="519" t="s">
        <v>40</v>
      </c>
      <c r="B45" s="520"/>
      <c r="C45" s="521"/>
      <c r="D45" s="521"/>
      <c r="E45" s="521"/>
      <c r="F45" s="521"/>
      <c r="G45" s="521"/>
      <c r="H45" s="521"/>
      <c r="I45" s="522"/>
      <c r="J45" s="477"/>
      <c r="K45" s="523"/>
      <c r="L45" s="524"/>
      <c r="M45" s="524"/>
      <c r="N45" s="524"/>
      <c r="O45" s="524"/>
      <c r="P45" s="524"/>
      <c r="Q45" s="524"/>
      <c r="R45" s="524"/>
    </row>
    <row r="46" spans="1:20" x14ac:dyDescent="0.4">
      <c r="A46" s="525" t="s">
        <v>162</v>
      </c>
      <c r="B46" s="526">
        <v>52969.82</v>
      </c>
      <c r="C46" s="527">
        <v>1533.7</v>
      </c>
      <c r="D46" s="527">
        <v>74.66</v>
      </c>
      <c r="E46" s="527">
        <v>3445.8</v>
      </c>
      <c r="F46" s="527">
        <v>787.57</v>
      </c>
      <c r="G46" s="527">
        <v>267.85000000000002</v>
      </c>
      <c r="H46" s="527">
        <v>421.35</v>
      </c>
      <c r="I46" s="528">
        <f>SUM(B46:H46)</f>
        <v>59500.75</v>
      </c>
      <c r="J46" s="529"/>
      <c r="K46" s="530"/>
      <c r="L46" s="531"/>
      <c r="M46" s="531"/>
      <c r="N46" s="531"/>
      <c r="O46" s="524"/>
      <c r="P46" s="524"/>
      <c r="Q46" s="524"/>
      <c r="R46" s="524"/>
    </row>
    <row r="47" spans="1:20" x14ac:dyDescent="0.4">
      <c r="A47" s="525" t="s">
        <v>163</v>
      </c>
      <c r="B47" s="526">
        <v>9656.2999999999993</v>
      </c>
      <c r="C47" s="527">
        <v>295.27999999999997</v>
      </c>
      <c r="D47" s="527">
        <v>32.630000000000003</v>
      </c>
      <c r="E47" s="527">
        <v>426.39</v>
      </c>
      <c r="F47" s="527">
        <v>51.18</v>
      </c>
      <c r="G47" s="527">
        <v>85.62</v>
      </c>
      <c r="H47" s="527">
        <v>12221.91</v>
      </c>
      <c r="I47" s="528">
        <f>SUM(B47:H47)</f>
        <v>22769.309999999998</v>
      </c>
      <c r="J47" s="529"/>
      <c r="K47" s="530"/>
      <c r="L47" s="531"/>
      <c r="M47" s="531"/>
      <c r="N47" s="531"/>
      <c r="O47" s="524"/>
      <c r="P47" s="524"/>
      <c r="Q47" s="524"/>
      <c r="R47" s="524"/>
    </row>
    <row r="48" spans="1:20" ht="17.399999999999999" thickBot="1" x14ac:dyDescent="0.45">
      <c r="A48" s="532" t="s">
        <v>164</v>
      </c>
      <c r="B48" s="533">
        <f t="shared" ref="B48:I48" si="9">SUM(B46:B47)</f>
        <v>62626.119999999995</v>
      </c>
      <c r="C48" s="533">
        <f>SUM(C46:C47)</f>
        <v>1828.98</v>
      </c>
      <c r="D48" s="533">
        <f t="shared" si="9"/>
        <v>107.28999999999999</v>
      </c>
      <c r="E48" s="533">
        <f t="shared" si="9"/>
        <v>3872.19</v>
      </c>
      <c r="F48" s="533">
        <f t="shared" si="9"/>
        <v>838.75</v>
      </c>
      <c r="G48" s="533">
        <f t="shared" si="9"/>
        <v>353.47</v>
      </c>
      <c r="H48" s="533">
        <f t="shared" si="9"/>
        <v>12643.26</v>
      </c>
      <c r="I48" s="534">
        <f t="shared" si="9"/>
        <v>82270.06</v>
      </c>
      <c r="J48" s="529"/>
      <c r="K48" s="530"/>
      <c r="L48" s="531"/>
      <c r="M48" s="531"/>
      <c r="N48" s="531"/>
      <c r="O48" s="524"/>
      <c r="P48" s="524"/>
      <c r="Q48" s="524"/>
      <c r="R48" s="524"/>
    </row>
    <row r="49" spans="1:20" ht="17.399999999999999" thickTop="1" x14ac:dyDescent="0.4">
      <c r="A49" s="529"/>
      <c r="B49" s="318"/>
      <c r="C49" s="531"/>
      <c r="D49" s="531"/>
      <c r="E49" s="531"/>
      <c r="F49" s="531"/>
      <c r="G49" s="531"/>
      <c r="H49" s="531"/>
      <c r="I49" s="531"/>
      <c r="J49" s="529"/>
      <c r="K49" s="530"/>
      <c r="L49" s="531"/>
      <c r="M49" s="531"/>
      <c r="N49" s="531"/>
      <c r="O49" s="524"/>
      <c r="P49" s="524"/>
      <c r="Q49" s="524"/>
      <c r="R49" s="524"/>
    </row>
    <row r="50" spans="1:20" x14ac:dyDescent="0.4">
      <c r="A50" s="529"/>
      <c r="B50" s="535"/>
      <c r="C50" s="531"/>
      <c r="D50" s="531"/>
      <c r="E50" s="531"/>
      <c r="F50" s="531"/>
      <c r="G50" s="531"/>
      <c r="H50" s="531"/>
      <c r="I50" s="531"/>
      <c r="J50" s="529"/>
      <c r="K50" s="530"/>
      <c r="L50" s="531"/>
      <c r="M50" s="531"/>
      <c r="N50" s="531"/>
      <c r="O50" s="524"/>
      <c r="P50" s="524"/>
      <c r="Q50" s="524"/>
      <c r="R50" s="524"/>
    </row>
    <row r="51" spans="1:20" ht="17.399999999999999" thickBot="1" x14ac:dyDescent="0.45">
      <c r="B51" s="474" t="s">
        <v>55</v>
      </c>
      <c r="C51" s="476"/>
      <c r="D51" s="476"/>
      <c r="E51" s="476"/>
      <c r="F51" s="476"/>
      <c r="G51" s="476"/>
      <c r="H51" s="476"/>
      <c r="I51" s="476"/>
    </row>
    <row r="52" spans="1:20" ht="17.399999999999999" thickBot="1" x14ac:dyDescent="0.45">
      <c r="A52" s="477" t="s">
        <v>36</v>
      </c>
      <c r="B52" s="478" t="s">
        <v>37</v>
      </c>
      <c r="C52" s="479" t="s">
        <v>306</v>
      </c>
      <c r="D52" s="478" t="s">
        <v>397</v>
      </c>
      <c r="E52" s="479">
        <v>31</v>
      </c>
      <c r="F52" s="479">
        <v>34</v>
      </c>
      <c r="G52" s="479">
        <v>45</v>
      </c>
      <c r="H52" s="479">
        <v>97</v>
      </c>
      <c r="I52" s="479" t="s">
        <v>38</v>
      </c>
      <c r="K52" s="478" t="s">
        <v>37</v>
      </c>
      <c r="L52" s="479" t="s">
        <v>306</v>
      </c>
      <c r="M52" s="478" t="s">
        <v>397</v>
      </c>
      <c r="N52" s="479">
        <v>31</v>
      </c>
      <c r="O52" s="479">
        <v>34</v>
      </c>
      <c r="P52" s="479">
        <v>45</v>
      </c>
      <c r="Q52" s="479">
        <v>97</v>
      </c>
      <c r="R52" s="480" t="s">
        <v>39</v>
      </c>
    </row>
    <row r="53" spans="1:20" x14ac:dyDescent="0.4">
      <c r="A53" s="88">
        <v>11</v>
      </c>
      <c r="B53" s="536">
        <v>455601</v>
      </c>
      <c r="C53" s="537"/>
      <c r="D53" s="537"/>
      <c r="E53" s="537"/>
      <c r="F53" s="537"/>
      <c r="G53" s="537"/>
      <c r="H53" s="536">
        <v>199532</v>
      </c>
      <c r="I53" s="116">
        <f>SUM(B53:H53)</f>
        <v>655133</v>
      </c>
      <c r="J53" s="482" t="s">
        <v>41</v>
      </c>
      <c r="K53" s="483"/>
      <c r="L53" s="483"/>
      <c r="M53" s="483"/>
      <c r="N53" s="483"/>
      <c r="O53" s="483"/>
      <c r="P53" s="483"/>
      <c r="Q53" s="483"/>
      <c r="R53" s="484"/>
    </row>
    <row r="54" spans="1:20" x14ac:dyDescent="0.4">
      <c r="A54" s="88">
        <v>12</v>
      </c>
      <c r="B54" s="536">
        <v>216520</v>
      </c>
      <c r="C54" s="536">
        <v>172860</v>
      </c>
      <c r="D54" s="536"/>
      <c r="E54" s="536">
        <v>217432</v>
      </c>
      <c r="F54" s="536">
        <v>211681</v>
      </c>
      <c r="G54" s="537"/>
      <c r="H54" s="536">
        <v>217844</v>
      </c>
      <c r="I54" s="116">
        <f t="shared" ref="I54:I71" si="10">SUM(B54:H54)</f>
        <v>1036337</v>
      </c>
      <c r="J54" s="538" t="s">
        <v>29</v>
      </c>
      <c r="K54" s="317">
        <f t="shared" ref="K54:Q54" si="11">+K5</f>
        <v>3791.7000000000007</v>
      </c>
      <c r="L54" s="317">
        <f>+L5</f>
        <v>95.949999999999989</v>
      </c>
      <c r="M54" s="317">
        <f t="shared" si="11"/>
        <v>7.28</v>
      </c>
      <c r="N54" s="317">
        <f t="shared" si="11"/>
        <v>150.75</v>
      </c>
      <c r="O54" s="317">
        <f t="shared" si="11"/>
        <v>45.71</v>
      </c>
      <c r="P54" s="317">
        <f t="shared" si="11"/>
        <v>26.73</v>
      </c>
      <c r="Q54" s="317">
        <f t="shared" si="11"/>
        <v>416.65999999999997</v>
      </c>
      <c r="R54" s="491">
        <f>SUM(K54:Q54)</f>
        <v>4534.7800000000007</v>
      </c>
    </row>
    <row r="55" spans="1:20" x14ac:dyDescent="0.4">
      <c r="A55" s="88">
        <v>13</v>
      </c>
      <c r="B55" s="536">
        <v>186314</v>
      </c>
      <c r="C55" s="536">
        <v>170752</v>
      </c>
      <c r="D55" s="536">
        <v>223970</v>
      </c>
      <c r="E55" s="536">
        <v>170035</v>
      </c>
      <c r="F55" s="536">
        <v>164187</v>
      </c>
      <c r="G55" s="536">
        <v>231699</v>
      </c>
      <c r="H55" s="536">
        <v>180919</v>
      </c>
      <c r="I55" s="116">
        <f t="shared" si="10"/>
        <v>1327876</v>
      </c>
      <c r="J55" s="539" t="s">
        <v>56</v>
      </c>
      <c r="K55" s="537">
        <f t="shared" ref="K55:Q55" si="12">SUMPRODUCT(B53:B60,B4:B11)</f>
        <v>640223279.28999996</v>
      </c>
      <c r="L55" s="537">
        <f t="shared" si="12"/>
        <v>16017789.540000001</v>
      </c>
      <c r="M55" s="537">
        <f t="shared" si="12"/>
        <v>1265326.57</v>
      </c>
      <c r="N55" s="537">
        <f t="shared" si="12"/>
        <v>25060155.300000001</v>
      </c>
      <c r="O55" s="537">
        <f t="shared" si="12"/>
        <v>7315707.4299999997</v>
      </c>
      <c r="P55" s="537">
        <f t="shared" si="12"/>
        <v>4626498.67</v>
      </c>
      <c r="Q55" s="537">
        <f t="shared" si="12"/>
        <v>81385554.489999995</v>
      </c>
      <c r="R55" s="540">
        <f>SUM(K55:Q55)</f>
        <v>775894311.28999984</v>
      </c>
      <c r="S55" s="485" t="s">
        <v>57</v>
      </c>
      <c r="T55" s="541" t="s">
        <v>41</v>
      </c>
    </row>
    <row r="56" spans="1:20" x14ac:dyDescent="0.4">
      <c r="A56" s="88">
        <v>21</v>
      </c>
      <c r="B56" s="536">
        <v>169570</v>
      </c>
      <c r="C56" s="536">
        <v>166496</v>
      </c>
      <c r="D56" s="536"/>
      <c r="E56" s="537"/>
      <c r="F56" s="537"/>
      <c r="G56" s="536"/>
      <c r="H56" s="536"/>
      <c r="I56" s="116">
        <f t="shared" si="10"/>
        <v>336066</v>
      </c>
      <c r="J56" s="542" t="s">
        <v>58</v>
      </c>
      <c r="K56" s="543">
        <f t="shared" ref="K56:Q56" si="13">+K55/K54</f>
        <v>168848.6112535274</v>
      </c>
      <c r="L56" s="543">
        <f t="shared" si="13"/>
        <v>166938.92173006778</v>
      </c>
      <c r="M56" s="543">
        <f t="shared" si="13"/>
        <v>173808.59478021978</v>
      </c>
      <c r="N56" s="543">
        <f t="shared" si="13"/>
        <v>166236.51940298508</v>
      </c>
      <c r="O56" s="543">
        <f t="shared" si="13"/>
        <v>160046.10435353313</v>
      </c>
      <c r="P56" s="543">
        <f t="shared" si="13"/>
        <v>173082.62888140665</v>
      </c>
      <c r="Q56" s="543">
        <f t="shared" si="13"/>
        <v>195328.45603129649</v>
      </c>
      <c r="R56" s="544">
        <f>+R55/R54</f>
        <v>171098.55633349353</v>
      </c>
      <c r="S56" s="545">
        <v>171108</v>
      </c>
      <c r="T56" s="546" t="s">
        <v>58</v>
      </c>
    </row>
    <row r="57" spans="1:20" x14ac:dyDescent="0.4">
      <c r="A57" s="88">
        <v>22</v>
      </c>
      <c r="B57" s="536">
        <v>152356</v>
      </c>
      <c r="C57" s="536">
        <v>151069</v>
      </c>
      <c r="D57" s="536"/>
      <c r="E57" s="537"/>
      <c r="F57" s="537"/>
      <c r="G57" s="537"/>
      <c r="H57" s="536">
        <v>0</v>
      </c>
      <c r="I57" s="116">
        <f t="shared" si="10"/>
        <v>303425</v>
      </c>
      <c r="K57" s="537"/>
      <c r="L57" s="537"/>
      <c r="M57" s="537"/>
      <c r="N57" s="537"/>
      <c r="O57" s="537"/>
      <c r="P57" s="537"/>
      <c r="Q57" s="537"/>
      <c r="R57" s="492"/>
    </row>
    <row r="58" spans="1:20" x14ac:dyDescent="0.4">
      <c r="A58" s="88">
        <v>23</v>
      </c>
      <c r="B58" s="536">
        <v>175428</v>
      </c>
      <c r="C58" s="536">
        <v>172497</v>
      </c>
      <c r="D58" s="536">
        <v>184653</v>
      </c>
      <c r="E58" s="536">
        <v>181224</v>
      </c>
      <c r="F58" s="536">
        <v>168725</v>
      </c>
      <c r="G58" s="536">
        <v>169839</v>
      </c>
      <c r="H58" s="536">
        <v>155619</v>
      </c>
      <c r="I58" s="116">
        <f t="shared" si="10"/>
        <v>1207985</v>
      </c>
      <c r="Q58" s="105"/>
      <c r="R58" s="492"/>
    </row>
    <row r="59" spans="1:20" x14ac:dyDescent="0.4">
      <c r="A59" s="88">
        <v>24</v>
      </c>
      <c r="B59" s="536">
        <v>163606</v>
      </c>
      <c r="C59" s="536">
        <v>164390</v>
      </c>
      <c r="D59" s="536">
        <v>164482</v>
      </c>
      <c r="E59" s="536">
        <v>170684</v>
      </c>
      <c r="F59" s="536">
        <v>153665</v>
      </c>
      <c r="G59" s="536">
        <v>171339</v>
      </c>
      <c r="H59" s="536">
        <v>186301</v>
      </c>
      <c r="I59" s="116">
        <f t="shared" si="10"/>
        <v>1174467</v>
      </c>
      <c r="R59" s="492"/>
    </row>
    <row r="60" spans="1:20" x14ac:dyDescent="0.4">
      <c r="A60" s="88">
        <v>25</v>
      </c>
      <c r="B60" s="536">
        <v>141764</v>
      </c>
      <c r="C60" s="536">
        <v>149256</v>
      </c>
      <c r="D60" s="536">
        <v>119586</v>
      </c>
      <c r="E60" s="536">
        <v>153950</v>
      </c>
      <c r="F60" s="536">
        <v>150489</v>
      </c>
      <c r="G60" s="536">
        <v>174709</v>
      </c>
      <c r="H60" s="536">
        <v>65583</v>
      </c>
      <c r="I60" s="116">
        <f t="shared" si="10"/>
        <v>955337</v>
      </c>
      <c r="R60" s="492"/>
    </row>
    <row r="61" spans="1:20" x14ac:dyDescent="0.4">
      <c r="A61" s="88">
        <v>31</v>
      </c>
      <c r="B61" s="536">
        <v>95842</v>
      </c>
      <c r="C61" s="536">
        <v>99498</v>
      </c>
      <c r="D61" s="536">
        <v>0</v>
      </c>
      <c r="E61" s="536">
        <v>103936</v>
      </c>
      <c r="F61" s="536">
        <v>94783</v>
      </c>
      <c r="G61" s="536">
        <v>0</v>
      </c>
      <c r="H61" s="536"/>
      <c r="I61" s="116">
        <f t="shared" si="10"/>
        <v>394059</v>
      </c>
      <c r="J61" s="482" t="s">
        <v>42</v>
      </c>
      <c r="K61" s="483"/>
      <c r="L61" s="483"/>
      <c r="M61" s="483"/>
      <c r="N61" s="483"/>
      <c r="O61" s="483"/>
      <c r="P61" s="483"/>
      <c r="Q61" s="483"/>
      <c r="R61" s="484"/>
    </row>
    <row r="62" spans="1:20" x14ac:dyDescent="0.4">
      <c r="A62" s="88">
        <v>32</v>
      </c>
      <c r="B62" s="536">
        <v>99135</v>
      </c>
      <c r="C62" s="536">
        <v>100903</v>
      </c>
      <c r="D62" s="536">
        <v>97779</v>
      </c>
      <c r="E62" s="536">
        <v>93900</v>
      </c>
      <c r="F62" s="536">
        <v>95248</v>
      </c>
      <c r="G62" s="536">
        <v>90189</v>
      </c>
      <c r="H62" s="536"/>
      <c r="I62" s="116">
        <f t="shared" si="10"/>
        <v>577154</v>
      </c>
      <c r="J62" s="538" t="s">
        <v>29</v>
      </c>
      <c r="K62" s="317">
        <f t="shared" ref="K62:Q62" si="14">+K12</f>
        <v>49090.060000000005</v>
      </c>
      <c r="L62" s="317">
        <f t="shared" si="14"/>
        <v>1475.9799999999998</v>
      </c>
      <c r="M62" s="317">
        <f t="shared" si="14"/>
        <v>69.789999999999992</v>
      </c>
      <c r="N62" s="317">
        <f t="shared" si="14"/>
        <v>3324.02</v>
      </c>
      <c r="O62" s="317">
        <f t="shared" si="14"/>
        <v>751.01</v>
      </c>
      <c r="P62" s="317">
        <f t="shared" si="14"/>
        <v>255.20999999999998</v>
      </c>
      <c r="Q62" s="317">
        <f t="shared" si="14"/>
        <v>2.34</v>
      </c>
      <c r="R62" s="493">
        <f>SUM(K62:Q62)</f>
        <v>54968.41</v>
      </c>
    </row>
    <row r="63" spans="1:20" x14ac:dyDescent="0.4">
      <c r="A63" s="88">
        <v>33</v>
      </c>
      <c r="B63" s="536">
        <v>99971</v>
      </c>
      <c r="C63" s="536">
        <v>98500</v>
      </c>
      <c r="D63" s="536">
        <v>77170</v>
      </c>
      <c r="E63" s="536">
        <v>105376</v>
      </c>
      <c r="F63" s="536">
        <v>103925</v>
      </c>
      <c r="G63" s="536">
        <v>100112</v>
      </c>
      <c r="H63" s="536"/>
      <c r="I63" s="116">
        <f>SUM(B63:H63)</f>
        <v>585054</v>
      </c>
      <c r="J63" s="539" t="s">
        <v>56</v>
      </c>
      <c r="K63" s="537">
        <f t="shared" ref="K63:P63" si="15">SUMPRODUCT(B12:B28,B61:B77)</f>
        <v>4794091084.039999</v>
      </c>
      <c r="L63" s="537">
        <f t="shared" si="15"/>
        <v>141017595.49000001</v>
      </c>
      <c r="M63" s="537">
        <f t="shared" si="15"/>
        <v>6506282.3100000005</v>
      </c>
      <c r="N63" s="537">
        <f t="shared" si="15"/>
        <v>314977302.90999997</v>
      </c>
      <c r="O63" s="537">
        <f t="shared" si="15"/>
        <v>72252538.299999997</v>
      </c>
      <c r="P63" s="537">
        <f t="shared" si="15"/>
        <v>23351951.099999998</v>
      </c>
      <c r="Q63" s="537">
        <f>SUMPRODUCT(H61:H76,H12:H27)</f>
        <v>264595.5</v>
      </c>
      <c r="R63" s="547">
        <f>SUM(K63:Q63)</f>
        <v>5352461349.6499996</v>
      </c>
      <c r="S63" s="485" t="s">
        <v>59</v>
      </c>
      <c r="T63" s="541" t="s">
        <v>42</v>
      </c>
    </row>
    <row r="64" spans="1:20" x14ac:dyDescent="0.4">
      <c r="A64" s="88">
        <v>34</v>
      </c>
      <c r="B64" s="536">
        <v>98617</v>
      </c>
      <c r="C64" s="536">
        <v>100760</v>
      </c>
      <c r="D64" s="536"/>
      <c r="E64" s="536">
        <v>0</v>
      </c>
      <c r="F64" s="536">
        <v>0</v>
      </c>
      <c r="G64" s="536"/>
      <c r="H64" s="536">
        <v>0</v>
      </c>
      <c r="I64" s="116">
        <f t="shared" si="10"/>
        <v>199377</v>
      </c>
      <c r="J64" s="542" t="s">
        <v>58</v>
      </c>
      <c r="K64" s="543">
        <f t="shared" ref="K64:R64" si="16">+K63/K62</f>
        <v>97659.100111916719</v>
      </c>
      <c r="L64" s="543">
        <f>+L63/L62</f>
        <v>95541.670950825908</v>
      </c>
      <c r="M64" s="543">
        <f t="shared" si="16"/>
        <v>93226.56985241441</v>
      </c>
      <c r="N64" s="543">
        <f t="shared" si="16"/>
        <v>94757.944570128937</v>
      </c>
      <c r="O64" s="543">
        <f t="shared" si="16"/>
        <v>96207.158759537153</v>
      </c>
      <c r="P64" s="543">
        <f t="shared" si="16"/>
        <v>91500.925120489002</v>
      </c>
      <c r="Q64" s="543">
        <f t="shared" si="16"/>
        <v>113075</v>
      </c>
      <c r="R64" s="544">
        <f t="shared" si="16"/>
        <v>97373.406828576612</v>
      </c>
      <c r="S64" s="545">
        <v>97374</v>
      </c>
      <c r="T64" s="546" t="s">
        <v>58</v>
      </c>
    </row>
    <row r="65" spans="1:20" x14ac:dyDescent="0.4">
      <c r="A65" s="88">
        <v>39</v>
      </c>
      <c r="B65" s="536">
        <v>89924</v>
      </c>
      <c r="C65" s="536"/>
      <c r="D65" s="536"/>
      <c r="E65" s="536">
        <v>0</v>
      </c>
      <c r="F65" s="536">
        <v>0</v>
      </c>
      <c r="G65" s="536"/>
      <c r="H65" s="536"/>
      <c r="I65" s="116">
        <f t="shared" ref="I65" si="17">SUM(B65:H65)</f>
        <v>89924</v>
      </c>
      <c r="K65" s="537"/>
      <c r="R65" s="492"/>
    </row>
    <row r="66" spans="1:20" x14ac:dyDescent="0.4">
      <c r="A66" s="88">
        <v>63</v>
      </c>
      <c r="B66" s="536">
        <v>68725</v>
      </c>
      <c r="C66" s="536">
        <v>67090</v>
      </c>
      <c r="D66" s="536">
        <v>70470</v>
      </c>
      <c r="E66" s="536"/>
      <c r="F66" s="536"/>
      <c r="G66" s="536">
        <v>105395</v>
      </c>
      <c r="H66" s="536"/>
      <c r="I66" s="116">
        <f t="shared" si="10"/>
        <v>311680</v>
      </c>
      <c r="K66" s="490"/>
      <c r="L66" s="490"/>
      <c r="M66" s="490"/>
      <c r="N66" s="490"/>
      <c r="R66" s="491"/>
    </row>
    <row r="67" spans="1:20" x14ac:dyDescent="0.4">
      <c r="A67" s="88">
        <v>40</v>
      </c>
      <c r="B67" s="536">
        <v>110102</v>
      </c>
      <c r="C67" s="536">
        <v>104755</v>
      </c>
      <c r="D67" s="536">
        <v>101499</v>
      </c>
      <c r="E67" s="536">
        <v>109169</v>
      </c>
      <c r="F67" s="536">
        <v>114346</v>
      </c>
      <c r="G67" s="536">
        <v>98765</v>
      </c>
      <c r="H67" s="536">
        <v>113075</v>
      </c>
      <c r="I67" s="116">
        <f t="shared" si="10"/>
        <v>751711</v>
      </c>
      <c r="R67" s="492"/>
    </row>
    <row r="68" spans="1:20" x14ac:dyDescent="0.4">
      <c r="A68" s="88">
        <v>41</v>
      </c>
      <c r="B68" s="536">
        <v>110030</v>
      </c>
      <c r="C68" s="536">
        <v>91474</v>
      </c>
      <c r="D68" s="536"/>
      <c r="E68" s="536">
        <v>113652</v>
      </c>
      <c r="F68" s="536">
        <v>110038</v>
      </c>
      <c r="G68" s="537"/>
      <c r="H68" s="536"/>
      <c r="I68" s="116">
        <f t="shared" si="10"/>
        <v>425194</v>
      </c>
      <c r="J68" s="482" t="s">
        <v>43</v>
      </c>
      <c r="K68" s="483"/>
      <c r="L68" s="483"/>
      <c r="M68" s="483"/>
      <c r="N68" s="483"/>
      <c r="O68" s="483"/>
      <c r="P68" s="483"/>
      <c r="Q68" s="483"/>
      <c r="R68" s="484"/>
    </row>
    <row r="69" spans="1:20" x14ac:dyDescent="0.4">
      <c r="A69" s="88">
        <v>42</v>
      </c>
      <c r="B69" s="536">
        <v>98560</v>
      </c>
      <c r="C69" s="536">
        <v>96203</v>
      </c>
      <c r="D69" s="536">
        <v>101423</v>
      </c>
      <c r="E69" s="536">
        <v>101688</v>
      </c>
      <c r="F69" s="536">
        <v>100245</v>
      </c>
      <c r="G69" s="536">
        <v>104856</v>
      </c>
      <c r="H69" s="536"/>
      <c r="I69" s="116">
        <f t="shared" si="10"/>
        <v>602975</v>
      </c>
      <c r="J69" s="538" t="s">
        <v>29</v>
      </c>
      <c r="K69" s="317">
        <f t="shared" ref="K69:Q69" si="18">+K21</f>
        <v>272.56</v>
      </c>
      <c r="L69" s="317">
        <f t="shared" si="18"/>
        <v>2</v>
      </c>
      <c r="M69" s="317">
        <f t="shared" si="18"/>
        <v>0</v>
      </c>
      <c r="N69" s="317">
        <f t="shared" si="18"/>
        <v>1.2</v>
      </c>
      <c r="O69" s="317">
        <f t="shared" si="18"/>
        <v>0</v>
      </c>
      <c r="P69" s="317">
        <f t="shared" si="18"/>
        <v>0</v>
      </c>
      <c r="Q69" s="317">
        <f t="shared" si="18"/>
        <v>6.77</v>
      </c>
      <c r="R69" s="493">
        <f>SUM(K69:Q69)</f>
        <v>282.52999999999997</v>
      </c>
    </row>
    <row r="70" spans="1:20" x14ac:dyDescent="0.4">
      <c r="A70" s="88">
        <v>43</v>
      </c>
      <c r="B70" s="536">
        <v>106242</v>
      </c>
      <c r="C70" s="536">
        <v>0</v>
      </c>
      <c r="D70" s="537"/>
      <c r="E70" s="537"/>
      <c r="F70" s="537"/>
      <c r="G70" s="537"/>
      <c r="H70" s="536"/>
      <c r="I70" s="116">
        <f t="shared" si="10"/>
        <v>106242</v>
      </c>
      <c r="J70" s="539" t="s">
        <v>56</v>
      </c>
      <c r="K70" s="537">
        <f t="shared" ref="K70:Q70" si="19">SUMPRODUCT(B78:B80,B29:B31)</f>
        <v>35037301.409999996</v>
      </c>
      <c r="L70" s="537">
        <f t="shared" si="19"/>
        <v>206399</v>
      </c>
      <c r="M70" s="537">
        <f t="shared" si="19"/>
        <v>0</v>
      </c>
      <c r="N70" s="537">
        <f t="shared" si="19"/>
        <v>118168</v>
      </c>
      <c r="O70" s="537">
        <f t="shared" si="19"/>
        <v>0</v>
      </c>
      <c r="P70" s="537">
        <f t="shared" si="19"/>
        <v>0</v>
      </c>
      <c r="Q70" s="537">
        <f t="shared" si="19"/>
        <v>755532</v>
      </c>
      <c r="R70" s="548">
        <f>SUM(K70:Q70)</f>
        <v>36117400.409999996</v>
      </c>
      <c r="T70" s="482" t="s">
        <v>43</v>
      </c>
    </row>
    <row r="71" spans="1:20" x14ac:dyDescent="0.4">
      <c r="A71" s="88">
        <v>44</v>
      </c>
      <c r="B71" s="536">
        <v>96512</v>
      </c>
      <c r="C71" s="536">
        <v>85315</v>
      </c>
      <c r="D71" s="536">
        <v>88725</v>
      </c>
      <c r="E71" s="536">
        <v>79331</v>
      </c>
      <c r="F71" s="536">
        <v>98584</v>
      </c>
      <c r="G71" s="537"/>
      <c r="H71" s="536"/>
      <c r="I71" s="116">
        <f t="shared" si="10"/>
        <v>448467</v>
      </c>
      <c r="J71" s="542" t="s">
        <v>58</v>
      </c>
      <c r="K71" s="543">
        <f>+K70/K69</f>
        <v>128548.94852509537</v>
      </c>
      <c r="L71" s="543">
        <f t="shared" ref="L71:O71" si="20">+L70/L69</f>
        <v>103199.5</v>
      </c>
      <c r="M71" s="543"/>
      <c r="N71" s="543">
        <f t="shared" si="20"/>
        <v>98473.333333333343</v>
      </c>
      <c r="O71" s="543" t="e">
        <f t="shared" si="20"/>
        <v>#DIV/0!</v>
      </c>
      <c r="P71" s="543"/>
      <c r="Q71" s="543">
        <f>+Q70/Q69</f>
        <v>111600</v>
      </c>
      <c r="R71" s="544">
        <f>+R70/R69</f>
        <v>127835.62952606803</v>
      </c>
      <c r="T71" s="542" t="s">
        <v>58</v>
      </c>
    </row>
    <row r="72" spans="1:20" x14ac:dyDescent="0.4">
      <c r="A72" s="88">
        <v>45</v>
      </c>
      <c r="B72" s="536">
        <v>94135</v>
      </c>
      <c r="C72" s="536">
        <v>104726</v>
      </c>
      <c r="D72" s="537"/>
      <c r="E72" s="536"/>
      <c r="F72" s="537"/>
      <c r="G72" s="537"/>
      <c r="H72" s="536"/>
      <c r="I72" s="116">
        <f t="shared" ref="I72:I87" si="21">SUM(B72:H72)</f>
        <v>198861</v>
      </c>
      <c r="J72" s="490"/>
      <c r="K72" s="490"/>
      <c r="L72" s="490"/>
      <c r="M72" s="490"/>
      <c r="N72" s="490"/>
      <c r="O72" s="490"/>
      <c r="P72" s="490"/>
      <c r="R72" s="492"/>
    </row>
    <row r="73" spans="1:20" x14ac:dyDescent="0.4">
      <c r="A73" s="88">
        <v>46</v>
      </c>
      <c r="B73" s="536">
        <v>99692</v>
      </c>
      <c r="C73" s="536"/>
      <c r="D73" s="536"/>
      <c r="E73" s="537"/>
      <c r="F73" s="536"/>
      <c r="G73" s="536"/>
      <c r="H73" s="536"/>
      <c r="I73" s="116">
        <f t="shared" si="21"/>
        <v>99692</v>
      </c>
      <c r="J73" s="189"/>
      <c r="R73" s="492"/>
    </row>
    <row r="74" spans="1:20" x14ac:dyDescent="0.4">
      <c r="A74" s="88">
        <v>47</v>
      </c>
      <c r="B74" s="536">
        <v>89588</v>
      </c>
      <c r="C74" s="536">
        <v>77345</v>
      </c>
      <c r="D74" s="536"/>
      <c r="E74" s="537">
        <v>71029</v>
      </c>
      <c r="F74" s="536"/>
      <c r="G74" s="536">
        <v>92913</v>
      </c>
      <c r="H74" s="536"/>
      <c r="I74" s="116">
        <f t="shared" si="21"/>
        <v>330875</v>
      </c>
      <c r="R74" s="492"/>
    </row>
    <row r="75" spans="1:20" x14ac:dyDescent="0.4">
      <c r="A75" s="88">
        <v>48</v>
      </c>
      <c r="B75" s="536">
        <v>92503</v>
      </c>
      <c r="C75" s="537"/>
      <c r="D75" s="537"/>
      <c r="E75" s="537"/>
      <c r="F75" s="537"/>
      <c r="G75" s="537"/>
      <c r="H75" s="536"/>
      <c r="I75" s="116">
        <f t="shared" si="21"/>
        <v>92503</v>
      </c>
      <c r="J75" s="482" t="s">
        <v>48</v>
      </c>
      <c r="K75" s="483"/>
      <c r="L75" s="483"/>
      <c r="M75" s="483"/>
      <c r="N75" s="483"/>
      <c r="O75" s="483"/>
      <c r="P75" s="483"/>
      <c r="Q75" s="483"/>
      <c r="R75" s="549"/>
    </row>
    <row r="76" spans="1:20" x14ac:dyDescent="0.4">
      <c r="A76" s="88">
        <v>49</v>
      </c>
      <c r="B76" s="536">
        <v>103268</v>
      </c>
      <c r="C76" s="536"/>
      <c r="D76" s="536"/>
      <c r="E76" s="536"/>
      <c r="F76" s="537"/>
      <c r="G76" s="537"/>
      <c r="H76" s="536"/>
      <c r="I76" s="116">
        <f t="shared" si="21"/>
        <v>103268</v>
      </c>
      <c r="J76" s="538" t="s">
        <v>29</v>
      </c>
      <c r="K76" s="317">
        <f t="shared" ref="K76:Q76" si="22">+K26</f>
        <v>53154.32</v>
      </c>
      <c r="L76" s="317">
        <f t="shared" si="22"/>
        <v>1573.9299999999996</v>
      </c>
      <c r="M76" s="317">
        <f t="shared" si="22"/>
        <v>77.069999999999993</v>
      </c>
      <c r="N76" s="317">
        <f t="shared" si="22"/>
        <v>3475.97</v>
      </c>
      <c r="O76" s="317">
        <f t="shared" si="22"/>
        <v>796.72</v>
      </c>
      <c r="P76" s="317">
        <f t="shared" si="22"/>
        <v>281.94000000000005</v>
      </c>
      <c r="Q76" s="317">
        <f t="shared" si="22"/>
        <v>425.76999999999992</v>
      </c>
      <c r="R76" s="493">
        <f>SUM(K76:Q76)</f>
        <v>59785.72</v>
      </c>
    </row>
    <row r="77" spans="1:20" x14ac:dyDescent="0.4">
      <c r="A77" s="88">
        <v>64</v>
      </c>
      <c r="B77" s="536">
        <v>103345</v>
      </c>
      <c r="C77" s="536">
        <v>73171</v>
      </c>
      <c r="D77" s="536">
        <v>65189</v>
      </c>
      <c r="E77" s="536"/>
      <c r="F77" s="537"/>
      <c r="G77" s="536"/>
      <c r="H77" s="536"/>
      <c r="I77" s="116">
        <f t="shared" si="21"/>
        <v>241705</v>
      </c>
      <c r="J77" s="539" t="s">
        <v>56</v>
      </c>
      <c r="K77" s="537">
        <f t="shared" ref="K77:Q77" si="23">SUMPRODUCT(B4:B31,B53:B80)</f>
        <v>5469351664.7399979</v>
      </c>
      <c r="L77" s="537">
        <f t="shared" si="23"/>
        <v>157241784.03</v>
      </c>
      <c r="M77" s="537">
        <f t="shared" si="23"/>
        <v>7771608.8800000008</v>
      </c>
      <c r="N77" s="537">
        <f t="shared" si="23"/>
        <v>340155626.20999998</v>
      </c>
      <c r="O77" s="537">
        <f t="shared" si="23"/>
        <v>79568245.730000004</v>
      </c>
      <c r="P77" s="537">
        <f t="shared" si="23"/>
        <v>27978449.77</v>
      </c>
      <c r="Q77" s="537">
        <f t="shared" si="23"/>
        <v>82405681.989999995</v>
      </c>
      <c r="R77" s="548">
        <f>SUM(K77:Q77)</f>
        <v>6164473061.3499975</v>
      </c>
      <c r="T77" s="482" t="s">
        <v>48</v>
      </c>
    </row>
    <row r="78" spans="1:20" x14ac:dyDescent="0.4">
      <c r="A78" s="88">
        <v>51</v>
      </c>
      <c r="B78" s="536">
        <v>112489</v>
      </c>
      <c r="C78" s="536">
        <v>0</v>
      </c>
      <c r="D78" s="536"/>
      <c r="E78" s="536">
        <v>0</v>
      </c>
      <c r="F78" s="537"/>
      <c r="G78" s="537"/>
      <c r="H78" s="536"/>
      <c r="I78" s="116">
        <f t="shared" si="21"/>
        <v>112489</v>
      </c>
      <c r="J78" s="542" t="s">
        <v>58</v>
      </c>
      <c r="K78" s="543">
        <f t="shared" ref="K78:R78" si="24">+K77/K76</f>
        <v>102895.71317514735</v>
      </c>
      <c r="L78" s="543">
        <f>+L77/L76</f>
        <v>99903.92459003898</v>
      </c>
      <c r="M78" s="543">
        <f t="shared" si="24"/>
        <v>100838.31425976387</v>
      </c>
      <c r="N78" s="543">
        <f t="shared" si="24"/>
        <v>97859.195047713307</v>
      </c>
      <c r="O78" s="543">
        <f t="shared" si="24"/>
        <v>99869.773232754291</v>
      </c>
      <c r="P78" s="543">
        <f t="shared" si="24"/>
        <v>99235.474817337003</v>
      </c>
      <c r="Q78" s="543">
        <f t="shared" si="24"/>
        <v>193545.06421307279</v>
      </c>
      <c r="R78" s="544">
        <f t="shared" si="24"/>
        <v>103109.45592609736</v>
      </c>
      <c r="T78" s="542" t="s">
        <v>58</v>
      </c>
    </row>
    <row r="79" spans="1:20" x14ac:dyDescent="0.4">
      <c r="A79" s="88">
        <v>52</v>
      </c>
      <c r="B79" s="536">
        <v>149766</v>
      </c>
      <c r="C79" s="536">
        <v>84724</v>
      </c>
      <c r="D79" s="536"/>
      <c r="E79" s="536">
        <v>65610</v>
      </c>
      <c r="F79" s="536"/>
      <c r="G79" s="536"/>
      <c r="H79" s="536"/>
      <c r="I79" s="116">
        <f t="shared" si="21"/>
        <v>300100</v>
      </c>
      <c r="R79" s="492"/>
    </row>
    <row r="80" spans="1:20" x14ac:dyDescent="0.4">
      <c r="A80" s="88">
        <v>61</v>
      </c>
      <c r="B80" s="536">
        <v>112359</v>
      </c>
      <c r="C80" s="536">
        <v>121675</v>
      </c>
      <c r="D80" s="536"/>
      <c r="E80" s="536">
        <v>105046</v>
      </c>
      <c r="F80" s="536"/>
      <c r="G80" s="536">
        <v>0</v>
      </c>
      <c r="H80" s="536">
        <v>111600</v>
      </c>
      <c r="I80" s="116">
        <f t="shared" si="21"/>
        <v>450680</v>
      </c>
      <c r="R80" s="492"/>
    </row>
    <row r="81" spans="1:20" x14ac:dyDescent="0.4">
      <c r="A81" s="88">
        <v>90</v>
      </c>
      <c r="B81" s="536">
        <v>105981</v>
      </c>
      <c r="C81" s="536">
        <v>0</v>
      </c>
      <c r="D81" s="536"/>
      <c r="E81" s="536">
        <v>0</v>
      </c>
      <c r="F81" s="536"/>
      <c r="G81" s="536"/>
      <c r="H81" s="536">
        <v>79168</v>
      </c>
      <c r="I81" s="116">
        <f t="shared" si="21"/>
        <v>185149</v>
      </c>
      <c r="R81" s="492"/>
    </row>
    <row r="82" spans="1:20" x14ac:dyDescent="0.4">
      <c r="A82" s="88">
        <v>91</v>
      </c>
      <c r="B82" s="536">
        <v>60557</v>
      </c>
      <c r="C82" s="536">
        <v>56047</v>
      </c>
      <c r="D82" s="536">
        <v>68099</v>
      </c>
      <c r="E82" s="536">
        <v>58996</v>
      </c>
      <c r="F82" s="536">
        <v>55375</v>
      </c>
      <c r="G82" s="536">
        <v>61578</v>
      </c>
      <c r="H82" s="536">
        <v>61792</v>
      </c>
      <c r="I82" s="116">
        <f t="shared" si="21"/>
        <v>422444</v>
      </c>
      <c r="J82" s="550" t="s">
        <v>401</v>
      </c>
      <c r="R82" s="492"/>
    </row>
    <row r="83" spans="1:20" x14ac:dyDescent="0.4">
      <c r="A83" s="88">
        <v>92</v>
      </c>
      <c r="B83" s="536"/>
      <c r="C83" s="537"/>
      <c r="D83" s="537"/>
      <c r="E83" s="537"/>
      <c r="F83" s="536"/>
      <c r="G83" s="536">
        <v>83241</v>
      </c>
      <c r="H83" s="536">
        <v>84996</v>
      </c>
      <c r="I83" s="116">
        <f t="shared" si="21"/>
        <v>168237</v>
      </c>
      <c r="J83" s="164" t="s">
        <v>29</v>
      </c>
      <c r="K83" s="317">
        <f t="shared" ref="K83:Q83" si="25">+K35</f>
        <v>9602.9</v>
      </c>
      <c r="L83" s="317">
        <f t="shared" si="25"/>
        <v>300.27000000000004</v>
      </c>
      <c r="M83" s="317">
        <f t="shared" si="25"/>
        <v>33.909999999999997</v>
      </c>
      <c r="N83" s="317">
        <f t="shared" si="25"/>
        <v>441.29999999999995</v>
      </c>
      <c r="O83" s="317">
        <f t="shared" si="25"/>
        <v>56.769999999999996</v>
      </c>
      <c r="P83" s="317">
        <f t="shared" si="25"/>
        <v>86.859999999999985</v>
      </c>
      <c r="Q83" s="317">
        <f t="shared" si="25"/>
        <v>12361.029999999999</v>
      </c>
      <c r="R83" s="493">
        <f>SUM(K83:Q83)</f>
        <v>22883.040000000001</v>
      </c>
    </row>
    <row r="84" spans="1:20" x14ac:dyDescent="0.4">
      <c r="A84" s="88">
        <v>93</v>
      </c>
      <c r="B84" s="536"/>
      <c r="C84" s="537"/>
      <c r="D84" s="537"/>
      <c r="E84" s="537"/>
      <c r="F84" s="537"/>
      <c r="G84" s="537"/>
      <c r="H84" s="536">
        <v>73571</v>
      </c>
      <c r="I84" s="116">
        <f t="shared" si="21"/>
        <v>73571</v>
      </c>
      <c r="J84" s="515" t="s">
        <v>56</v>
      </c>
      <c r="K84" s="537">
        <f t="shared" ref="K84:Q84" si="26">SUMPRODUCT(B32:B41,B81:B90)</f>
        <v>662794528.99000001</v>
      </c>
      <c r="L84" s="537">
        <f t="shared" si="26"/>
        <v>19411237.320000004</v>
      </c>
      <c r="M84" s="537">
        <f t="shared" si="26"/>
        <v>2408605.2800000003</v>
      </c>
      <c r="N84" s="537">
        <f t="shared" si="26"/>
        <v>31080295.249999996</v>
      </c>
      <c r="O84" s="537">
        <f t="shared" si="26"/>
        <v>4097319.8100000005</v>
      </c>
      <c r="P84" s="537">
        <f t="shared" si="26"/>
        <v>5870348.4799999995</v>
      </c>
      <c r="Q84" s="537">
        <f t="shared" si="26"/>
        <v>991686093.15999997</v>
      </c>
      <c r="R84" s="548">
        <f>SUM(K84:Q84)</f>
        <v>1717348428.29</v>
      </c>
      <c r="S84" s="551" t="s">
        <v>240</v>
      </c>
      <c r="T84" s="551"/>
    </row>
    <row r="85" spans="1:20" x14ac:dyDescent="0.4">
      <c r="A85" s="88">
        <v>94</v>
      </c>
      <c r="B85" s="536">
        <v>67291</v>
      </c>
      <c r="C85" s="536">
        <v>64997</v>
      </c>
      <c r="D85" s="536">
        <v>67811</v>
      </c>
      <c r="E85" s="536">
        <v>68899</v>
      </c>
      <c r="F85" s="536">
        <v>68914</v>
      </c>
      <c r="G85" s="536">
        <v>68287</v>
      </c>
      <c r="H85" s="536">
        <v>80990</v>
      </c>
      <c r="I85" s="116">
        <f t="shared" si="21"/>
        <v>487189</v>
      </c>
      <c r="J85" s="550" t="s">
        <v>58</v>
      </c>
      <c r="K85" s="537">
        <f t="shared" ref="K85:R85" si="27">+K84/K83</f>
        <v>69020.246903539562</v>
      </c>
      <c r="L85" s="537">
        <f>+L84/L83</f>
        <v>64645.943051253875</v>
      </c>
      <c r="M85" s="537">
        <f t="shared" si="27"/>
        <v>71029.350634031274</v>
      </c>
      <c r="N85" s="537">
        <f t="shared" si="27"/>
        <v>70428.949127577609</v>
      </c>
      <c r="O85" s="537">
        <f t="shared" si="27"/>
        <v>72174.032235335573</v>
      </c>
      <c r="P85" s="537">
        <f t="shared" si="27"/>
        <v>67584.025788625382</v>
      </c>
      <c r="Q85" s="537">
        <f t="shared" si="27"/>
        <v>80226.817114755002</v>
      </c>
      <c r="R85" s="552">
        <f t="shared" si="27"/>
        <v>75048.963262311299</v>
      </c>
      <c r="S85" s="553">
        <v>75049</v>
      </c>
      <c r="T85" s="554">
        <f>+R85-S85</f>
        <v>-3.6737688700668514E-2</v>
      </c>
    </row>
    <row r="86" spans="1:20" x14ac:dyDescent="0.4">
      <c r="A86" s="88">
        <v>95</v>
      </c>
      <c r="B86" s="536">
        <v>0</v>
      </c>
      <c r="C86" s="537">
        <v>0</v>
      </c>
      <c r="D86" s="537">
        <v>0</v>
      </c>
      <c r="E86" s="537">
        <v>0</v>
      </c>
      <c r="F86" s="537"/>
      <c r="G86" s="537"/>
      <c r="H86" s="536">
        <v>77307</v>
      </c>
      <c r="I86" s="116">
        <f t="shared" si="21"/>
        <v>77307</v>
      </c>
      <c r="R86" s="492"/>
      <c r="T86" s="550" t="s">
        <v>401</v>
      </c>
    </row>
    <row r="87" spans="1:20" x14ac:dyDescent="0.4">
      <c r="A87" s="88">
        <v>96</v>
      </c>
      <c r="B87" s="536">
        <v>88234</v>
      </c>
      <c r="C87" s="536">
        <v>75234</v>
      </c>
      <c r="D87" s="536">
        <v>89807</v>
      </c>
      <c r="E87" s="536">
        <v>90864</v>
      </c>
      <c r="F87" s="536">
        <v>88683</v>
      </c>
      <c r="G87" s="536">
        <v>77019</v>
      </c>
      <c r="H87" s="536">
        <v>102549</v>
      </c>
      <c r="I87" s="116">
        <f t="shared" si="21"/>
        <v>612390</v>
      </c>
      <c r="R87" s="492"/>
      <c r="T87" s="542" t="s">
        <v>58</v>
      </c>
    </row>
    <row r="88" spans="1:20" x14ac:dyDescent="0.4">
      <c r="A88" s="88">
        <v>97</v>
      </c>
      <c r="B88" s="536">
        <v>71338</v>
      </c>
      <c r="C88" s="536">
        <v>69562</v>
      </c>
      <c r="D88" s="536">
        <v>64340</v>
      </c>
      <c r="E88" s="536">
        <v>67434</v>
      </c>
      <c r="F88" s="536"/>
      <c r="G88" s="536">
        <v>62453</v>
      </c>
      <c r="H88" s="536">
        <v>62030</v>
      </c>
      <c r="I88" s="116">
        <f>SUM(B88:H88)</f>
        <v>397157</v>
      </c>
      <c r="R88" s="492"/>
    </row>
    <row r="89" spans="1:20" x14ac:dyDescent="0.4">
      <c r="A89" s="88">
        <v>98</v>
      </c>
      <c r="B89" s="536">
        <v>84497</v>
      </c>
      <c r="C89" s="536">
        <v>86562</v>
      </c>
      <c r="D89" s="536">
        <v>80644</v>
      </c>
      <c r="E89" s="536">
        <v>87615</v>
      </c>
      <c r="F89" s="536">
        <v>79283</v>
      </c>
      <c r="G89" s="536">
        <v>58568</v>
      </c>
      <c r="H89" s="536">
        <v>92469</v>
      </c>
      <c r="I89" s="116">
        <f>SUM(B89:H89)</f>
        <v>569638</v>
      </c>
      <c r="R89" s="492"/>
    </row>
    <row r="90" spans="1:20" x14ac:dyDescent="0.4">
      <c r="A90" s="88">
        <v>99</v>
      </c>
      <c r="B90" s="536">
        <v>143901</v>
      </c>
      <c r="C90" s="536">
        <v>126358</v>
      </c>
      <c r="D90" s="536"/>
      <c r="E90" s="536">
        <v>147823</v>
      </c>
      <c r="F90" s="536">
        <v>166024</v>
      </c>
      <c r="G90" s="536">
        <v>106737</v>
      </c>
      <c r="H90" s="536">
        <v>146025</v>
      </c>
      <c r="I90" s="116">
        <f>SUM(B90:H90)</f>
        <v>836868</v>
      </c>
      <c r="J90" s="490"/>
      <c r="K90" s="490"/>
      <c r="L90" s="490"/>
      <c r="M90" s="490"/>
      <c r="N90" s="490"/>
      <c r="O90" s="490"/>
      <c r="P90" s="490"/>
      <c r="R90" s="492"/>
    </row>
    <row r="91" spans="1:20" x14ac:dyDescent="0.4">
      <c r="A91" s="473"/>
      <c r="B91" s="555">
        <f t="shared" ref="B91:I91" si="28">SUM(B53:B90)</f>
        <v>4313763</v>
      </c>
      <c r="C91" s="555">
        <f t="shared" si="28"/>
        <v>2932219</v>
      </c>
      <c r="D91" s="555">
        <f t="shared" si="28"/>
        <v>1665647</v>
      </c>
      <c r="E91" s="555">
        <f t="shared" si="28"/>
        <v>2363693</v>
      </c>
      <c r="F91" s="555">
        <f t="shared" si="28"/>
        <v>2024195</v>
      </c>
      <c r="G91" s="555">
        <f t="shared" si="28"/>
        <v>1857699</v>
      </c>
      <c r="H91" s="555">
        <f t="shared" si="28"/>
        <v>2091370</v>
      </c>
      <c r="I91" s="555">
        <f t="shared" si="28"/>
        <v>17248586</v>
      </c>
      <c r="R91" s="510"/>
    </row>
    <row r="92" spans="1:20" x14ac:dyDescent="0.4">
      <c r="A92" s="473"/>
      <c r="B92" s="556"/>
      <c r="C92" s="556"/>
      <c r="D92" s="556"/>
      <c r="E92" s="556"/>
      <c r="F92" s="556"/>
      <c r="G92" s="556"/>
      <c r="H92" s="556"/>
      <c r="I92" s="556"/>
    </row>
  </sheetData>
  <phoneticPr fontId="0" type="noConversion"/>
  <printOptions gridLines="1"/>
  <pageMargins left="0.25" right="0.25" top="1" bottom="1" header="0.5" footer="0.5"/>
  <pageSetup scale="48" fitToHeight="0" orientation="landscape" r:id="rId1"/>
  <headerFooter alignWithMargins="0">
    <oddHeader>&amp;A</oddHeader>
    <oddFooter>&amp;CPage &amp;P&amp;R&amp;D</oddFooter>
  </headerFooter>
  <rowBreaks count="1" manualBreakCount="1">
    <brk id="49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81"/>
  <sheetViews>
    <sheetView topLeftCell="A33" zoomScale="75" zoomScaleNormal="75" workbookViewId="0">
      <selection activeCell="A60" sqref="A60"/>
    </sheetView>
  </sheetViews>
  <sheetFormatPr defaultColWidth="9.109375" defaultRowHeight="16.8" x14ac:dyDescent="0.4"/>
  <cols>
    <col min="1" max="1" width="10.88671875" style="88" customWidth="1"/>
    <col min="2" max="2" width="14.109375" style="88" customWidth="1"/>
    <col min="3" max="3" width="9.33203125" style="88" bestFit="1" customWidth="1"/>
    <col min="4" max="4" width="6.44140625" style="88" bestFit="1" customWidth="1"/>
    <col min="5" max="5" width="11.5546875" style="88" customWidth="1"/>
    <col min="6" max="6" width="7.109375" style="88" bestFit="1" customWidth="1"/>
    <col min="7" max="7" width="7.5546875" style="88" bestFit="1" customWidth="1"/>
    <col min="8" max="8" width="11.6640625" style="88" customWidth="1"/>
    <col min="9" max="9" width="15.6640625" style="88" hidden="1" customWidth="1"/>
    <col min="10" max="10" width="9.44140625" style="88" bestFit="1" customWidth="1"/>
    <col min="11" max="11" width="14.88671875" style="88" customWidth="1"/>
    <col min="12" max="12" width="7.5546875" style="88" bestFit="1" customWidth="1"/>
    <col min="13" max="13" width="12" style="88" bestFit="1" customWidth="1"/>
    <col min="14" max="14" width="13.109375" style="88" hidden="1" customWidth="1"/>
    <col min="15" max="16" width="14.88671875" style="88" hidden="1" customWidth="1"/>
    <col min="17" max="17" width="13.109375" style="88" hidden="1" customWidth="1"/>
    <col min="18" max="18" width="15" style="88" hidden="1" customWidth="1"/>
    <col min="19" max="19" width="14.88671875" style="88" hidden="1" customWidth="1"/>
    <col min="20" max="16384" width="9.109375" style="88"/>
  </cols>
  <sheetData>
    <row r="1" spans="1:19" s="167" customFormat="1" ht="21" thickTop="1" x14ac:dyDescent="0.45">
      <c r="A1" s="795" t="s">
        <v>311</v>
      </c>
      <c r="B1" s="796"/>
      <c r="C1" s="796"/>
      <c r="D1" s="796"/>
      <c r="E1" s="796"/>
      <c r="F1" s="796"/>
      <c r="G1" s="796"/>
      <c r="H1" s="796"/>
      <c r="I1" s="796"/>
      <c r="J1" s="796"/>
      <c r="K1" s="796"/>
      <c r="L1" s="796"/>
      <c r="M1" s="797"/>
      <c r="N1" s="1"/>
      <c r="O1" s="1"/>
      <c r="P1" s="2"/>
      <c r="Q1" s="1"/>
      <c r="R1" s="1"/>
      <c r="S1" s="2"/>
    </row>
    <row r="2" spans="1:19" s="167" customFormat="1" ht="21" thickBot="1" x14ac:dyDescent="0.5">
      <c r="A2" s="798" t="s">
        <v>477</v>
      </c>
      <c r="B2" s="799"/>
      <c r="C2" s="799"/>
      <c r="D2" s="799"/>
      <c r="E2" s="799"/>
      <c r="F2" s="799"/>
      <c r="G2" s="799"/>
      <c r="H2" s="799"/>
      <c r="I2" s="799"/>
      <c r="J2" s="799"/>
      <c r="K2" s="799"/>
      <c r="L2" s="799"/>
      <c r="M2" s="800"/>
      <c r="N2" s="339"/>
      <c r="O2" s="339"/>
      <c r="P2" s="340"/>
      <c r="Q2" s="339"/>
      <c r="R2" s="339"/>
      <c r="S2" s="340"/>
    </row>
    <row r="3" spans="1:19" s="4" customFormat="1" ht="19.2" x14ac:dyDescent="0.45">
      <c r="A3" s="319"/>
      <c r="B3" s="320"/>
      <c r="C3" s="326" t="s">
        <v>478</v>
      </c>
      <c r="D3" s="326"/>
      <c r="E3" s="326"/>
      <c r="F3" s="326"/>
      <c r="G3" s="326"/>
      <c r="H3" s="326"/>
      <c r="I3" s="326"/>
      <c r="J3" s="326"/>
      <c r="K3" s="326"/>
      <c r="L3" s="326"/>
      <c r="M3" s="328"/>
      <c r="N3" s="321" t="s">
        <v>60</v>
      </c>
      <c r="O3" s="322"/>
      <c r="P3" s="323"/>
      <c r="Q3" s="324" t="s">
        <v>178</v>
      </c>
      <c r="R3" s="322"/>
      <c r="S3" s="325"/>
    </row>
    <row r="4" spans="1:19" s="4" customFormat="1" ht="19.2" x14ac:dyDescent="0.45">
      <c r="A4" s="319"/>
      <c r="B4" s="407" t="s">
        <v>62</v>
      </c>
      <c r="C4" s="408" t="s">
        <v>421</v>
      </c>
      <c r="D4" s="326"/>
      <c r="E4" s="326"/>
      <c r="F4" s="326"/>
      <c r="G4" s="326"/>
      <c r="H4" s="327"/>
      <c r="I4" s="408"/>
      <c r="J4" s="408" t="s">
        <v>420</v>
      </c>
      <c r="K4" s="326"/>
      <c r="L4" s="326"/>
      <c r="M4" s="328"/>
      <c r="N4" s="321" t="s">
        <v>61</v>
      </c>
      <c r="O4" s="322"/>
      <c r="P4" s="323"/>
      <c r="Q4" s="324" t="s">
        <v>298</v>
      </c>
      <c r="R4" s="322"/>
      <c r="S4" s="325"/>
    </row>
    <row r="5" spans="1:19" s="4" customFormat="1" ht="19.2" x14ac:dyDescent="0.45">
      <c r="A5" s="319"/>
      <c r="B5" s="407" t="s">
        <v>66</v>
      </c>
      <c r="C5" s="790" t="s">
        <v>423</v>
      </c>
      <c r="D5" s="791"/>
      <c r="E5" s="791"/>
      <c r="F5" s="791"/>
      <c r="G5" s="792"/>
      <c r="H5" s="409" t="s">
        <v>64</v>
      </c>
      <c r="I5" s="410" t="s">
        <v>68</v>
      </c>
      <c r="J5" s="793" t="s">
        <v>422</v>
      </c>
      <c r="K5" s="794"/>
      <c r="L5" s="794"/>
      <c r="M5" s="411" t="s">
        <v>64</v>
      </c>
      <c r="N5" s="321" t="s">
        <v>297</v>
      </c>
      <c r="O5" s="322"/>
      <c r="P5" s="323"/>
      <c r="Q5" s="324" t="s">
        <v>297</v>
      </c>
      <c r="R5" s="322"/>
      <c r="S5" s="325"/>
    </row>
    <row r="6" spans="1:19" s="4" customFormat="1" ht="19.2" x14ac:dyDescent="0.45">
      <c r="A6" s="412" t="s">
        <v>65</v>
      </c>
      <c r="B6" s="407" t="s">
        <v>424</v>
      </c>
      <c r="C6" s="326" t="s">
        <v>273</v>
      </c>
      <c r="D6" s="413"/>
      <c r="E6" s="326" t="s">
        <v>67</v>
      </c>
      <c r="F6" s="414"/>
      <c r="G6" s="409" t="s">
        <v>38</v>
      </c>
      <c r="H6" s="409" t="s">
        <v>38</v>
      </c>
      <c r="I6" s="415" t="s">
        <v>66</v>
      </c>
      <c r="J6" s="416"/>
      <c r="K6" s="326"/>
      <c r="L6" s="414"/>
      <c r="M6" s="417"/>
      <c r="N6" s="329" t="s">
        <v>70</v>
      </c>
      <c r="O6" s="330" t="s">
        <v>69</v>
      </c>
      <c r="P6" s="331" t="s">
        <v>67</v>
      </c>
      <c r="Q6" s="332" t="s">
        <v>70</v>
      </c>
      <c r="R6" s="330" t="s">
        <v>69</v>
      </c>
      <c r="S6" s="333" t="s">
        <v>67</v>
      </c>
    </row>
    <row r="7" spans="1:19" s="4" customFormat="1" ht="19.8" thickBot="1" x14ac:dyDescent="0.5">
      <c r="A7" s="418" t="s">
        <v>71</v>
      </c>
      <c r="B7" s="419" t="s">
        <v>425</v>
      </c>
      <c r="C7" s="399" t="s">
        <v>72</v>
      </c>
      <c r="D7" s="420" t="s">
        <v>73</v>
      </c>
      <c r="E7" s="399" t="s">
        <v>74</v>
      </c>
      <c r="F7" s="420" t="s">
        <v>75</v>
      </c>
      <c r="G7" s="421" t="s">
        <v>76</v>
      </c>
      <c r="H7" s="421" t="s">
        <v>76</v>
      </c>
      <c r="I7" s="399" t="s">
        <v>167</v>
      </c>
      <c r="J7" s="422" t="s">
        <v>273</v>
      </c>
      <c r="K7" s="420" t="s">
        <v>67</v>
      </c>
      <c r="L7" s="420" t="s">
        <v>38</v>
      </c>
      <c r="M7" s="423" t="s">
        <v>38</v>
      </c>
      <c r="N7" s="334" t="s">
        <v>66</v>
      </c>
      <c r="O7" s="335" t="s">
        <v>67</v>
      </c>
      <c r="P7" s="336" t="s">
        <v>77</v>
      </c>
      <c r="Q7" s="337" t="s">
        <v>66</v>
      </c>
      <c r="R7" s="335" t="s">
        <v>67</v>
      </c>
      <c r="S7" s="338" t="s">
        <v>77</v>
      </c>
    </row>
    <row r="8" spans="1:19" hidden="1" x14ac:dyDescent="0.4">
      <c r="A8" s="172" t="s">
        <v>205</v>
      </c>
      <c r="B8" s="270">
        <v>756085</v>
      </c>
      <c r="C8" s="271">
        <v>1.58</v>
      </c>
      <c r="D8" s="272">
        <v>3.2</v>
      </c>
      <c r="E8" s="271">
        <v>43.18</v>
      </c>
      <c r="F8" s="272">
        <v>5.99</v>
      </c>
      <c r="G8" s="273">
        <v>53.95</v>
      </c>
      <c r="H8" s="273">
        <v>23.49</v>
      </c>
      <c r="I8" s="274"/>
      <c r="J8" s="275"/>
      <c r="K8" s="275"/>
      <c r="L8" s="275"/>
      <c r="M8" s="276"/>
      <c r="N8" s="274"/>
      <c r="O8" s="275"/>
      <c r="P8" s="277"/>
      <c r="Q8" s="278"/>
      <c r="R8" s="275"/>
      <c r="S8" s="276"/>
    </row>
    <row r="9" spans="1:19" hidden="1" x14ac:dyDescent="0.4">
      <c r="A9" s="172" t="s">
        <v>206</v>
      </c>
      <c r="B9" s="270">
        <v>750057</v>
      </c>
      <c r="C9" s="271">
        <v>1.62</v>
      </c>
      <c r="D9" s="272">
        <v>3.22</v>
      </c>
      <c r="E9" s="271">
        <v>44.74</v>
      </c>
      <c r="F9" s="272">
        <v>5.39</v>
      </c>
      <c r="G9" s="273">
        <v>54.96</v>
      </c>
      <c r="H9" s="273">
        <v>25.37</v>
      </c>
      <c r="I9" s="274"/>
      <c r="J9" s="275"/>
      <c r="K9" s="275"/>
      <c r="L9" s="275"/>
      <c r="M9" s="276"/>
      <c r="N9" s="274"/>
      <c r="O9" s="275"/>
      <c r="P9" s="277"/>
      <c r="Q9" s="278"/>
      <c r="R9" s="275"/>
      <c r="S9" s="276"/>
    </row>
    <row r="10" spans="1:19" hidden="1" x14ac:dyDescent="0.4">
      <c r="A10" s="172" t="s">
        <v>207</v>
      </c>
      <c r="B10" s="270">
        <v>748084</v>
      </c>
      <c r="C10" s="271">
        <v>1.45</v>
      </c>
      <c r="D10" s="272">
        <v>3.12</v>
      </c>
      <c r="E10" s="271">
        <v>45.03</v>
      </c>
      <c r="F10" s="272">
        <v>4.66</v>
      </c>
      <c r="G10" s="273">
        <v>54.26</v>
      </c>
      <c r="H10" s="273">
        <v>25.26</v>
      </c>
      <c r="I10" s="274"/>
      <c r="J10" s="275"/>
      <c r="K10" s="275"/>
      <c r="L10" s="275"/>
      <c r="M10" s="276"/>
      <c r="N10" s="274"/>
      <c r="O10" s="275"/>
      <c r="P10" s="277"/>
      <c r="Q10" s="278"/>
      <c r="R10" s="275"/>
      <c r="S10" s="276"/>
    </row>
    <row r="11" spans="1:19" hidden="1" x14ac:dyDescent="0.4">
      <c r="A11" s="172" t="s">
        <v>208</v>
      </c>
      <c r="B11" s="270">
        <v>744362</v>
      </c>
      <c r="C11" s="271">
        <v>1.41</v>
      </c>
      <c r="D11" s="272">
        <v>3.01</v>
      </c>
      <c r="E11" s="271">
        <v>45.19</v>
      </c>
      <c r="F11" s="272">
        <v>4.6100000000000003</v>
      </c>
      <c r="G11" s="273">
        <v>54.22</v>
      </c>
      <c r="H11" s="273">
        <v>25.11</v>
      </c>
      <c r="I11" s="274"/>
      <c r="J11" s="275"/>
      <c r="K11" s="275"/>
      <c r="L11" s="275"/>
      <c r="M11" s="276"/>
      <c r="N11" s="274"/>
      <c r="O11" s="275"/>
      <c r="P11" s="277"/>
      <c r="Q11" s="278"/>
      <c r="R11" s="275"/>
      <c r="S11" s="276"/>
    </row>
    <row r="12" spans="1:19" hidden="1" x14ac:dyDescent="0.4">
      <c r="A12" s="172" t="s">
        <v>209</v>
      </c>
      <c r="B12" s="270">
        <v>742085</v>
      </c>
      <c r="C12" s="271">
        <v>1.43</v>
      </c>
      <c r="D12" s="272">
        <v>2.97</v>
      </c>
      <c r="E12" s="271">
        <v>46.62</v>
      </c>
      <c r="F12" s="272">
        <v>4.4400000000000004</v>
      </c>
      <c r="G12" s="273">
        <v>55.46</v>
      </c>
      <c r="H12" s="273">
        <v>26.4</v>
      </c>
      <c r="I12" s="274"/>
      <c r="J12" s="275"/>
      <c r="K12" s="275"/>
      <c r="L12" s="275"/>
      <c r="M12" s="276"/>
      <c r="N12" s="274"/>
      <c r="O12" s="275"/>
      <c r="P12" s="277"/>
      <c r="Q12" s="278"/>
      <c r="R12" s="275"/>
      <c r="S12" s="276"/>
    </row>
    <row r="13" spans="1:19" hidden="1" x14ac:dyDescent="0.4">
      <c r="A13" s="172" t="s">
        <v>210</v>
      </c>
      <c r="B13" s="270">
        <v>734917</v>
      </c>
      <c r="C13" s="271">
        <v>1.46</v>
      </c>
      <c r="D13" s="272">
        <v>3.09</v>
      </c>
      <c r="E13" s="271">
        <v>47.48</v>
      </c>
      <c r="F13" s="272">
        <v>4.62</v>
      </c>
      <c r="G13" s="273">
        <v>56.66</v>
      </c>
      <c r="H13" s="273">
        <v>27.41</v>
      </c>
      <c r="I13" s="279">
        <v>735076</v>
      </c>
      <c r="J13" s="275"/>
      <c r="K13" s="275"/>
      <c r="L13" s="272">
        <v>50.65</v>
      </c>
      <c r="M13" s="280">
        <f>(+'Table 3'!B66)/I13*1000</f>
        <v>15.953452432129467</v>
      </c>
      <c r="N13" s="274"/>
      <c r="O13" s="275"/>
      <c r="P13" s="277"/>
      <c r="Q13" s="278"/>
      <c r="R13" s="275"/>
      <c r="S13" s="276"/>
    </row>
    <row r="14" spans="1:19" hidden="1" x14ac:dyDescent="0.4">
      <c r="A14" s="172" t="s">
        <v>211</v>
      </c>
      <c r="B14" s="270">
        <v>729450</v>
      </c>
      <c r="C14" s="271">
        <v>1.53</v>
      </c>
      <c r="D14" s="272">
        <v>3.12</v>
      </c>
      <c r="E14" s="271">
        <v>48.67</v>
      </c>
      <c r="F14" s="272">
        <v>4.82</v>
      </c>
      <c r="G14" s="273">
        <v>58.13</v>
      </c>
      <c r="H14" s="273">
        <v>28.81</v>
      </c>
      <c r="I14" s="279">
        <v>729519</v>
      </c>
      <c r="J14" s="275"/>
      <c r="K14" s="275"/>
      <c r="L14" s="272">
        <v>51.53</v>
      </c>
      <c r="M14" s="280">
        <f>(+'Table 3'!C66)/I14*1000</f>
        <v>17.057814806742524</v>
      </c>
      <c r="N14" s="274"/>
      <c r="O14" s="275"/>
      <c r="P14" s="277"/>
      <c r="Q14" s="278"/>
      <c r="R14" s="275"/>
      <c r="S14" s="276"/>
    </row>
    <row r="15" spans="1:19" hidden="1" x14ac:dyDescent="0.4">
      <c r="A15" s="172" t="s">
        <v>212</v>
      </c>
      <c r="B15" s="270">
        <v>722623</v>
      </c>
      <c r="C15" s="271">
        <v>1.57</v>
      </c>
      <c r="D15" s="272">
        <v>3.19</v>
      </c>
      <c r="E15" s="271">
        <v>49.26</v>
      </c>
      <c r="F15" s="272">
        <v>5.09</v>
      </c>
      <c r="G15" s="273">
        <v>59.12</v>
      </c>
      <c r="H15" s="273">
        <v>29.62</v>
      </c>
      <c r="I15" s="274"/>
      <c r="J15" s="275"/>
      <c r="K15" s="275"/>
      <c r="L15" s="275"/>
      <c r="M15" s="276"/>
      <c r="N15" s="274"/>
      <c r="O15" s="275"/>
      <c r="P15" s="277"/>
      <c r="Q15" s="278"/>
      <c r="R15" s="275"/>
      <c r="S15" s="276"/>
    </row>
    <row r="16" spans="1:19" hidden="1" x14ac:dyDescent="0.4">
      <c r="A16" s="172" t="s">
        <v>213</v>
      </c>
      <c r="B16" s="270">
        <v>712769</v>
      </c>
      <c r="C16" s="271">
        <v>1.41</v>
      </c>
      <c r="D16" s="272">
        <v>3.15</v>
      </c>
      <c r="E16" s="271">
        <v>49.11</v>
      </c>
      <c r="F16" s="272">
        <v>5.0599999999999996</v>
      </c>
      <c r="G16" s="273">
        <v>58.73</v>
      </c>
      <c r="H16" s="273">
        <v>27.39</v>
      </c>
      <c r="I16" s="279">
        <v>712872</v>
      </c>
      <c r="J16" s="275"/>
      <c r="K16" s="275"/>
      <c r="L16" s="272">
        <v>50.26</v>
      </c>
      <c r="M16" s="280">
        <f>(+'Table 3'!E66)/I16*1000</f>
        <v>16.983413572141984</v>
      </c>
      <c r="N16" s="274"/>
      <c r="O16" s="275"/>
      <c r="P16" s="277"/>
      <c r="Q16" s="278"/>
      <c r="R16" s="275"/>
      <c r="S16" s="276"/>
    </row>
    <row r="17" spans="1:19" hidden="1" x14ac:dyDescent="0.4">
      <c r="A17" s="172" t="s">
        <v>214</v>
      </c>
      <c r="B17" s="270">
        <v>701777</v>
      </c>
      <c r="C17" s="271">
        <v>1.3</v>
      </c>
      <c r="D17" s="272">
        <v>3.12</v>
      </c>
      <c r="E17" s="271">
        <v>48.62</v>
      </c>
      <c r="F17" s="272">
        <v>4.9400000000000004</v>
      </c>
      <c r="G17" s="273">
        <v>57.98</v>
      </c>
      <c r="H17" s="273">
        <v>27.02</v>
      </c>
      <c r="I17" s="279">
        <v>701875</v>
      </c>
      <c r="J17" s="275"/>
      <c r="K17" s="275"/>
      <c r="L17" s="272">
        <v>49.61</v>
      </c>
      <c r="M17" s="280">
        <f>(+'Table 3'!F66)/I17*1000</f>
        <v>16.866251113089938</v>
      </c>
      <c r="N17" s="274"/>
      <c r="O17" s="275"/>
      <c r="P17" s="277"/>
      <c r="Q17" s="278"/>
      <c r="R17" s="275"/>
      <c r="S17" s="276"/>
    </row>
    <row r="18" spans="1:19" hidden="1" x14ac:dyDescent="0.4">
      <c r="A18" s="172" t="s">
        <v>215</v>
      </c>
      <c r="B18" s="270">
        <v>699622</v>
      </c>
      <c r="C18" s="271">
        <v>1.35</v>
      </c>
      <c r="D18" s="272">
        <v>3.13</v>
      </c>
      <c r="E18" s="271">
        <v>49.87</v>
      </c>
      <c r="F18" s="272">
        <v>5.14</v>
      </c>
      <c r="G18" s="273">
        <v>59.48</v>
      </c>
      <c r="H18" s="273">
        <v>28.14</v>
      </c>
      <c r="I18" s="279">
        <v>699693</v>
      </c>
      <c r="J18" s="275"/>
      <c r="K18" s="275"/>
      <c r="L18" s="272">
        <v>51.64</v>
      </c>
      <c r="M18" s="280">
        <f>(+'Table 3'!G66)/I18*1000</f>
        <v>17.520541151619351</v>
      </c>
      <c r="N18" s="274"/>
      <c r="O18" s="275"/>
      <c r="P18" s="277"/>
      <c r="Q18" s="278"/>
      <c r="R18" s="275"/>
      <c r="S18" s="276"/>
    </row>
    <row r="19" spans="1:19" hidden="1" x14ac:dyDescent="0.4">
      <c r="A19" s="172" t="s">
        <v>216</v>
      </c>
      <c r="B19" s="270">
        <v>702550</v>
      </c>
      <c r="C19" s="271">
        <v>1.38</v>
      </c>
      <c r="D19" s="272">
        <v>3.24</v>
      </c>
      <c r="E19" s="271">
        <v>50.85</v>
      </c>
      <c r="F19" s="272">
        <v>5.32</v>
      </c>
      <c r="G19" s="273">
        <v>60.79</v>
      </c>
      <c r="H19" s="273">
        <v>29.13</v>
      </c>
      <c r="I19" s="279">
        <v>702681</v>
      </c>
      <c r="J19" s="275"/>
      <c r="K19" s="275"/>
      <c r="L19" s="272">
        <v>52.45</v>
      </c>
      <c r="M19" s="280">
        <f>(+'Table 3'!H66)/I19*1000</f>
        <v>17.905706857023315</v>
      </c>
      <c r="N19" s="274"/>
      <c r="O19" s="275"/>
      <c r="P19" s="277"/>
      <c r="Q19" s="278"/>
      <c r="R19" s="275"/>
      <c r="S19" s="276"/>
    </row>
    <row r="20" spans="1:19" hidden="1" x14ac:dyDescent="0.4">
      <c r="A20" s="172" t="s">
        <v>217</v>
      </c>
      <c r="B20" s="270">
        <v>708949</v>
      </c>
      <c r="C20" s="271">
        <v>1.4</v>
      </c>
      <c r="D20" s="272">
        <v>3.18</v>
      </c>
      <c r="E20" s="271">
        <v>51.06</v>
      </c>
      <c r="F20" s="272">
        <v>5.39</v>
      </c>
      <c r="G20" s="273">
        <v>61.04</v>
      </c>
      <c r="H20" s="273">
        <v>29.56</v>
      </c>
      <c r="I20" s="279">
        <v>709089</v>
      </c>
      <c r="J20" s="275"/>
      <c r="K20" s="275"/>
      <c r="L20" s="272">
        <v>52.46</v>
      </c>
      <c r="M20" s="280">
        <f>(+'Table 3'!I66)/I20*1000</f>
        <v>17.985048421284212</v>
      </c>
      <c r="N20" s="274"/>
      <c r="O20" s="275"/>
      <c r="P20" s="277"/>
      <c r="Q20" s="278"/>
      <c r="R20" s="275"/>
      <c r="S20" s="276"/>
    </row>
    <row r="21" spans="1:19" x14ac:dyDescent="0.4">
      <c r="A21" s="172" t="s">
        <v>218</v>
      </c>
      <c r="B21" s="270">
        <v>720744</v>
      </c>
      <c r="C21" s="271">
        <v>1.4</v>
      </c>
      <c r="D21" s="272">
        <v>3.03</v>
      </c>
      <c r="E21" s="271">
        <v>51.51</v>
      </c>
      <c r="F21" s="272">
        <v>5.54</v>
      </c>
      <c r="G21" s="273">
        <v>61.49</v>
      </c>
      <c r="H21" s="273">
        <v>29.96</v>
      </c>
      <c r="I21" s="279">
        <v>698961</v>
      </c>
      <c r="J21" s="272">
        <f>(+'Table 3'!J48)/I21*1000</f>
        <v>4.0760500228195848</v>
      </c>
      <c r="K21" s="272">
        <f>(+'Table 3'!J57)/I21*1000</f>
        <v>49.14008077703906</v>
      </c>
      <c r="L21" s="272">
        <f t="shared" ref="L21:L36" si="0">+J21+K21</f>
        <v>53.216130799858647</v>
      </c>
      <c r="M21" s="280">
        <f>(+'Table 3'!J66)/I21*1000</f>
        <v>18.753549911940723</v>
      </c>
      <c r="N21" s="274"/>
      <c r="O21" s="275"/>
      <c r="P21" s="277"/>
      <c r="Q21" s="278"/>
      <c r="R21" s="275"/>
      <c r="S21" s="276"/>
    </row>
    <row r="22" spans="1:19" x14ac:dyDescent="0.4">
      <c r="A22" s="172" t="s">
        <v>219</v>
      </c>
      <c r="B22" s="270">
        <v>733872</v>
      </c>
      <c r="C22" s="271">
        <v>1.36</v>
      </c>
      <c r="D22" s="272">
        <v>3.03</v>
      </c>
      <c r="E22" s="271">
        <v>51.71</v>
      </c>
      <c r="F22" s="272">
        <v>5.53</v>
      </c>
      <c r="G22" s="273">
        <v>61.63</v>
      </c>
      <c r="H22" s="273">
        <v>30.56</v>
      </c>
      <c r="I22" s="279">
        <v>711281</v>
      </c>
      <c r="J22" s="272">
        <f>(+'Table 3'!K48)/I22*1000</f>
        <v>4.0434090043175628</v>
      </c>
      <c r="K22" s="272">
        <f>(+'Table 3'!K57)/I22*1000</f>
        <v>49.315249528667287</v>
      </c>
      <c r="L22" s="272">
        <f t="shared" si="0"/>
        <v>53.358658532984848</v>
      </c>
      <c r="M22" s="280">
        <f>(+'Table 3'!K66)/I22*1000</f>
        <v>18.903921235067436</v>
      </c>
      <c r="N22" s="274"/>
      <c r="O22" s="275"/>
      <c r="P22" s="277"/>
      <c r="Q22" s="278"/>
      <c r="R22" s="275"/>
      <c r="S22" s="276"/>
    </row>
    <row r="23" spans="1:19" x14ac:dyDescent="0.4">
      <c r="A23" s="172" t="s">
        <v>220</v>
      </c>
      <c r="B23" s="270">
        <v>748417</v>
      </c>
      <c r="C23" s="271">
        <v>1.37</v>
      </c>
      <c r="D23" s="272">
        <v>3.03</v>
      </c>
      <c r="E23" s="271">
        <v>51.87</v>
      </c>
      <c r="F23" s="272">
        <v>5.6</v>
      </c>
      <c r="G23" s="273">
        <v>61.91</v>
      </c>
      <c r="H23" s="273">
        <v>31.38</v>
      </c>
      <c r="I23" s="279">
        <v>724228</v>
      </c>
      <c r="J23" s="272">
        <f>(+'Table 3'!L48)/I23*1000</f>
        <v>4.0222139989064223</v>
      </c>
      <c r="K23" s="272">
        <f>(+'Table 3'!L57)/I23*1000</f>
        <v>49.549313199710589</v>
      </c>
      <c r="L23" s="272">
        <f t="shared" si="0"/>
        <v>53.571527198617012</v>
      </c>
      <c r="M23" s="280">
        <f>(+'Table 3'!L66)/I23*1000</f>
        <v>19.114146373793886</v>
      </c>
      <c r="N23" s="274"/>
      <c r="O23" s="275"/>
      <c r="P23" s="277"/>
      <c r="Q23" s="278"/>
      <c r="R23" s="275"/>
      <c r="S23" s="276"/>
    </row>
    <row r="24" spans="1:19" x14ac:dyDescent="0.4">
      <c r="A24" s="172" t="s">
        <v>221</v>
      </c>
      <c r="B24" s="270">
        <v>768356</v>
      </c>
      <c r="C24" s="271">
        <v>1.36</v>
      </c>
      <c r="D24" s="272">
        <v>2.93</v>
      </c>
      <c r="E24" s="271">
        <v>52.5</v>
      </c>
      <c r="F24" s="272">
        <v>5.75</v>
      </c>
      <c r="G24" s="273">
        <v>62.62</v>
      </c>
      <c r="H24" s="273">
        <v>31.6</v>
      </c>
      <c r="I24" s="279">
        <v>742995</v>
      </c>
      <c r="J24" s="272">
        <f>(+'Table 3'!M48)/I24*1000</f>
        <v>3.9529202753719739</v>
      </c>
      <c r="K24" s="272">
        <f>(+'Table 3'!M57)/I24*1000</f>
        <v>50.379881425850776</v>
      </c>
      <c r="L24" s="272">
        <f t="shared" si="0"/>
        <v>54.332801701222749</v>
      </c>
      <c r="M24" s="280">
        <f>(+'Table 3'!M66)/I24*1000</f>
        <v>19.113183803390331</v>
      </c>
      <c r="N24" s="279">
        <v>236508</v>
      </c>
      <c r="O24" s="272">
        <v>50.95</v>
      </c>
      <c r="P24" s="277"/>
      <c r="Q24" s="278"/>
      <c r="R24" s="275"/>
      <c r="S24" s="276"/>
    </row>
    <row r="25" spans="1:19" x14ac:dyDescent="0.4">
      <c r="A25" s="172" t="s">
        <v>222</v>
      </c>
      <c r="B25" s="270">
        <v>795736</v>
      </c>
      <c r="C25" s="271">
        <v>1.33</v>
      </c>
      <c r="D25" s="272">
        <v>2.93</v>
      </c>
      <c r="E25" s="271">
        <v>52.68</v>
      </c>
      <c r="F25" s="272">
        <v>5.81</v>
      </c>
      <c r="G25" s="273">
        <v>62.83</v>
      </c>
      <c r="H25" s="273">
        <v>32.409999999999997</v>
      </c>
      <c r="I25" s="279">
        <v>768602</v>
      </c>
      <c r="J25" s="272">
        <f>(+'Table 3'!N48)/I25*1000</f>
        <v>3.9331149281422633</v>
      </c>
      <c r="K25" s="272">
        <f>(+'Table 3'!N57)/I25*1000</f>
        <v>50.593154844770119</v>
      </c>
      <c r="L25" s="272">
        <f t="shared" si="0"/>
        <v>54.526269772912386</v>
      </c>
      <c r="M25" s="280">
        <f>(+'Table 3'!N66)/I25*1000</f>
        <v>19.312986435112062</v>
      </c>
      <c r="N25" s="279">
        <v>242034</v>
      </c>
      <c r="O25" s="272">
        <v>52.44</v>
      </c>
      <c r="P25" s="273">
        <v>2.91</v>
      </c>
      <c r="Q25" s="278"/>
      <c r="R25" s="275"/>
      <c r="S25" s="276"/>
    </row>
    <row r="26" spans="1:19" x14ac:dyDescent="0.4">
      <c r="A26" s="172" t="s">
        <v>223</v>
      </c>
      <c r="B26" s="270">
        <v>823040</v>
      </c>
      <c r="C26" s="271">
        <v>1.29</v>
      </c>
      <c r="D26" s="272">
        <v>2.81</v>
      </c>
      <c r="E26" s="271">
        <v>52.15</v>
      </c>
      <c r="F26" s="272">
        <v>5.88</v>
      </c>
      <c r="G26" s="273">
        <v>62.22</v>
      </c>
      <c r="H26" s="273">
        <v>32.42</v>
      </c>
      <c r="I26" s="279">
        <v>794542</v>
      </c>
      <c r="J26" s="272">
        <f>(+'Table 3'!O48)/I26*1000</f>
        <v>3.8462409790797718</v>
      </c>
      <c r="K26" s="272">
        <f>(+'Table 3'!O57)/I26*1000</f>
        <v>50.75628475272547</v>
      </c>
      <c r="L26" s="272">
        <f t="shared" si="0"/>
        <v>54.602525731805244</v>
      </c>
      <c r="M26" s="280">
        <f>(+'Table 3'!O66)/I26*1000</f>
        <v>19.442647462311619</v>
      </c>
      <c r="N26" s="279">
        <v>246036</v>
      </c>
      <c r="O26" s="272">
        <v>53.95</v>
      </c>
      <c r="P26" s="273">
        <v>3.11</v>
      </c>
      <c r="Q26" s="278"/>
      <c r="R26" s="275"/>
      <c r="S26" s="276"/>
    </row>
    <row r="27" spans="1:19" x14ac:dyDescent="0.4">
      <c r="A27" s="172" t="s">
        <v>224</v>
      </c>
      <c r="B27" s="270">
        <v>849759</v>
      </c>
      <c r="C27" s="271">
        <v>1.23</v>
      </c>
      <c r="D27" s="272">
        <v>2.82</v>
      </c>
      <c r="E27" s="271">
        <v>52.17</v>
      </c>
      <c r="F27" s="272">
        <v>5.93</v>
      </c>
      <c r="G27" s="273">
        <v>62.23</v>
      </c>
      <c r="H27" s="273">
        <v>33.229999999999997</v>
      </c>
      <c r="I27" s="279">
        <v>819338</v>
      </c>
      <c r="J27" s="272">
        <f>(+'Table 3'!P48)/I27*1000</f>
        <v>3.8018497860467839</v>
      </c>
      <c r="K27" s="272">
        <f>(+'Table 3'!P57)/I27*1000</f>
        <v>50.750728026772833</v>
      </c>
      <c r="L27" s="272">
        <f t="shared" si="0"/>
        <v>54.552577812819621</v>
      </c>
      <c r="M27" s="280">
        <f>(+'Table 3'!P66)/I27*1000</f>
        <v>19.54260634805172</v>
      </c>
      <c r="N27" s="279">
        <v>248455</v>
      </c>
      <c r="O27" s="272">
        <v>54.32</v>
      </c>
      <c r="P27" s="273">
        <v>3.19</v>
      </c>
      <c r="Q27" s="278"/>
      <c r="R27" s="275"/>
      <c r="S27" s="276"/>
    </row>
    <row r="28" spans="1:19" x14ac:dyDescent="0.4">
      <c r="A28" s="172" t="s">
        <v>225</v>
      </c>
      <c r="B28" s="270">
        <v>865796</v>
      </c>
      <c r="C28" s="271">
        <v>1.18</v>
      </c>
      <c r="D28" s="272">
        <v>2.8</v>
      </c>
      <c r="E28" s="271">
        <v>52.5</v>
      </c>
      <c r="F28" s="272">
        <v>6.11</v>
      </c>
      <c r="G28" s="273">
        <v>62.68</v>
      </c>
      <c r="H28" s="273">
        <v>33.94</v>
      </c>
      <c r="I28" s="279">
        <v>833854</v>
      </c>
      <c r="J28" s="272">
        <f>(+'Table 3'!Q48)/I28*1000</f>
        <v>3.7476584629923226</v>
      </c>
      <c r="K28" s="272">
        <f>(+'Table 3'!Q57)/I28*1000</f>
        <v>51.098873423884754</v>
      </c>
      <c r="L28" s="272">
        <f t="shared" si="0"/>
        <v>54.846531886877074</v>
      </c>
      <c r="M28" s="280">
        <f>(+'Table 3'!Q66)/I28*1000</f>
        <v>19.652121354577659</v>
      </c>
      <c r="N28" s="279">
        <v>249103</v>
      </c>
      <c r="O28" s="272">
        <v>54.27</v>
      </c>
      <c r="P28" s="273">
        <v>3.13</v>
      </c>
      <c r="Q28" s="278"/>
      <c r="R28" s="275"/>
      <c r="S28" s="276"/>
    </row>
    <row r="29" spans="1:19" x14ac:dyDescent="0.4">
      <c r="A29" s="172" t="s">
        <v>226</v>
      </c>
      <c r="B29" s="270">
        <v>882097</v>
      </c>
      <c r="C29" s="271">
        <v>1.1299999999999999</v>
      </c>
      <c r="D29" s="272">
        <v>2.83</v>
      </c>
      <c r="E29" s="271">
        <v>53.06</v>
      </c>
      <c r="F29" s="272">
        <v>6.31</v>
      </c>
      <c r="G29" s="273">
        <v>62.87</v>
      </c>
      <c r="H29" s="273">
        <v>34.56</v>
      </c>
      <c r="I29" s="279">
        <v>847966</v>
      </c>
      <c r="J29" s="272">
        <f>(+'Table 3'!R48)/I29*1000</f>
        <v>3.7572261151980149</v>
      </c>
      <c r="K29" s="272">
        <f>(+'Table 3'!R57)/I29*1000</f>
        <v>51.277999353747674</v>
      </c>
      <c r="L29" s="272">
        <f t="shared" si="0"/>
        <v>55.03522546894569</v>
      </c>
      <c r="M29" s="280">
        <f>(+'Table 3'!R66)/I29*1000</f>
        <v>19.755509065221954</v>
      </c>
      <c r="N29" s="279">
        <v>250070</v>
      </c>
      <c r="O29" s="272">
        <v>54.6</v>
      </c>
      <c r="P29" s="273">
        <v>3.24</v>
      </c>
      <c r="Q29" s="278"/>
      <c r="R29" s="275"/>
      <c r="S29" s="276"/>
    </row>
    <row r="30" spans="1:19" x14ac:dyDescent="0.4">
      <c r="A30" s="172" t="s">
        <v>227</v>
      </c>
      <c r="B30" s="270">
        <v>899082.95</v>
      </c>
      <c r="C30" s="271">
        <f>(+'Table 2'!B43/B30)*1000</f>
        <v>1.1212091164669511</v>
      </c>
      <c r="D30" s="272">
        <f>(+'Table 2'!D43/B30)*1000</f>
        <v>2.7719911716710901</v>
      </c>
      <c r="E30" s="271">
        <f>(+'Table 2'!F43/B30)*1000</f>
        <v>52.164119005927098</v>
      </c>
      <c r="F30" s="272">
        <f>(+'Table 2'!H43/B30)*1000</f>
        <v>6.2280682777935015</v>
      </c>
      <c r="G30" s="273">
        <f>(+'Table 2'!J43/B30)*1000</f>
        <v>62.476326572537062</v>
      </c>
      <c r="H30" s="273">
        <f>(+'Table 2'!L43/B30)*1000</f>
        <v>34.160173986171131</v>
      </c>
      <c r="I30" s="279">
        <v>899082.95</v>
      </c>
      <c r="J30" s="272">
        <f>(+'Table 3'!S48)/B30*1000</f>
        <v>3.56836930341077</v>
      </c>
      <c r="K30" s="272">
        <f>(+'Table 3'!S57)/B30*1000</f>
        <v>50.518141846644966</v>
      </c>
      <c r="L30" s="272">
        <f t="shared" si="0"/>
        <v>54.086511150055735</v>
      </c>
      <c r="M30" s="280">
        <f>(+'Table 3'!S66)/B30*1000</f>
        <v>18.967104203232864</v>
      </c>
      <c r="N30" s="279">
        <v>258670.31</v>
      </c>
      <c r="O30" s="272">
        <v>55.23</v>
      </c>
      <c r="P30" s="273">
        <v>3.43</v>
      </c>
      <c r="Q30" s="278"/>
      <c r="R30" s="275"/>
      <c r="S30" s="276"/>
    </row>
    <row r="31" spans="1:19" x14ac:dyDescent="0.4">
      <c r="A31" s="172" t="s">
        <v>228</v>
      </c>
      <c r="B31" s="270">
        <v>917503.67</v>
      </c>
      <c r="C31" s="271">
        <v>1.1100000000000001</v>
      </c>
      <c r="D31" s="272">
        <v>2.79</v>
      </c>
      <c r="E31" s="271">
        <v>52.53</v>
      </c>
      <c r="F31" s="272">
        <v>6.21</v>
      </c>
      <c r="G31" s="273">
        <v>62.84</v>
      </c>
      <c r="H31" s="273">
        <v>34.6</v>
      </c>
      <c r="I31" s="279">
        <v>917503.67</v>
      </c>
      <c r="J31" s="272">
        <f>(+'Table 3'!T48)/B31*1000</f>
        <v>3.572290887948165</v>
      </c>
      <c r="K31" s="272">
        <f>(+'Table 3'!T57)/B31*1000</f>
        <v>50.798706886916314</v>
      </c>
      <c r="L31" s="272">
        <f t="shared" si="0"/>
        <v>54.370997774864477</v>
      </c>
      <c r="M31" s="280">
        <f>(+'Table 3'!T66)/B31*1000</f>
        <v>19.136751790867496</v>
      </c>
      <c r="N31" s="279">
        <v>264358</v>
      </c>
      <c r="O31" s="272">
        <v>55.39</v>
      </c>
      <c r="P31" s="273">
        <v>3.48</v>
      </c>
      <c r="Q31" s="278"/>
      <c r="R31" s="275"/>
      <c r="S31" s="276"/>
    </row>
    <row r="32" spans="1:19" x14ac:dyDescent="0.4">
      <c r="A32" s="169" t="s">
        <v>229</v>
      </c>
      <c r="B32" s="281">
        <v>929913.67</v>
      </c>
      <c r="C32" s="282">
        <f>(+'Table 2'!B45/B32)*1000</f>
        <v>1.1301801811344487</v>
      </c>
      <c r="D32" s="283">
        <f>(+'Table 2'!D45/B32)*1000</f>
        <v>2.7922269386576501</v>
      </c>
      <c r="E32" s="282">
        <f>(+'Table 2'!F45/B32)*1000</f>
        <v>52.709161700999616</v>
      </c>
      <c r="F32" s="283">
        <f>(+'Table 2'!H45/B32)*1000</f>
        <v>6.2614629592443771</v>
      </c>
      <c r="G32" s="284">
        <f>(+'Table 2'!J45/B32)*1000</f>
        <v>63.079737283569557</v>
      </c>
      <c r="H32" s="284">
        <f>(+'Table 2'!L45/B32)*1000</f>
        <v>35.141294352625223</v>
      </c>
      <c r="I32" s="285" t="e">
        <f>+table4ws!#REF!</f>
        <v>#REF!</v>
      </c>
      <c r="J32" s="283">
        <f>(+'Table 3'!U48)/B32*1000</f>
        <v>3.5882470681391316</v>
      </c>
      <c r="K32" s="283">
        <f>(+'Table 3'!U57)/B32*1000</f>
        <v>50.704039010416942</v>
      </c>
      <c r="L32" s="272">
        <f t="shared" si="0"/>
        <v>54.292286078556074</v>
      </c>
      <c r="M32" s="286">
        <f>(+'Table 3'!U66)/B32*1000</f>
        <v>19.492813779154357</v>
      </c>
      <c r="N32" s="285" t="e">
        <f>table4ws!#REF!</f>
        <v>#REF!</v>
      </c>
      <c r="O32" s="283">
        <v>55.22</v>
      </c>
      <c r="P32" s="284">
        <v>2.95</v>
      </c>
      <c r="Q32" s="278"/>
      <c r="R32" s="275"/>
      <c r="S32" s="276"/>
    </row>
    <row r="33" spans="1:19" x14ac:dyDescent="0.4">
      <c r="A33" s="169" t="s">
        <v>230</v>
      </c>
      <c r="B33" s="281">
        <v>938973.90000000014</v>
      </c>
      <c r="C33" s="282">
        <f>(+'Table 2'!B46/B33)*1000</f>
        <v>1.1281783231674489</v>
      </c>
      <c r="D33" s="283">
        <f>(+'Table 2'!D46/B33)*1000</f>
        <v>2.7918134891715303</v>
      </c>
      <c r="E33" s="282">
        <f>(+'Table 2'!F46/B33)*1000</f>
        <v>52.82110610316218</v>
      </c>
      <c r="F33" s="283">
        <f>(+'Table 2'!H46/B33)*1000</f>
        <v>6.399858398620025</v>
      </c>
      <c r="G33" s="284">
        <f>(+'Table 2'!J46/B33)*1000</f>
        <v>63.322175408709434</v>
      </c>
      <c r="H33" s="284">
        <f>(+'Table 2'!L46/B33)*1000</f>
        <v>35.271172074111959</v>
      </c>
      <c r="I33" s="285" t="e">
        <f>table4ws!#REF!</f>
        <v>#REF!</v>
      </c>
      <c r="J33" s="283">
        <f>(+'Table 3'!V48)/B33*1000</f>
        <v>3.5873095088159523</v>
      </c>
      <c r="K33" s="283">
        <f>(+'Table 3'!V57)/B33*1000</f>
        <v>50.588594635058541</v>
      </c>
      <c r="L33" s="272">
        <f t="shared" si="0"/>
        <v>54.17590414387449</v>
      </c>
      <c r="M33" s="286">
        <f>(+'Table 3'!V66)/B33*1000</f>
        <v>19.531341605980735</v>
      </c>
      <c r="N33" s="285" t="e">
        <f>+table4ws!#REF!</f>
        <v>#REF!</v>
      </c>
      <c r="O33" s="283">
        <v>55.36</v>
      </c>
      <c r="P33" s="284">
        <v>2.91</v>
      </c>
      <c r="Q33" s="278"/>
      <c r="R33" s="275"/>
      <c r="S33" s="276"/>
    </row>
    <row r="34" spans="1:19" x14ac:dyDescent="0.4">
      <c r="A34" s="287" t="s">
        <v>231</v>
      </c>
      <c r="B34" s="288">
        <v>940394.73</v>
      </c>
      <c r="C34" s="289">
        <f>(+'Table 2'!B47/B34)*1000</f>
        <v>1.143967491183197</v>
      </c>
      <c r="D34" s="290">
        <f>(+'Table 2'!D47/B34)*1000</f>
        <v>2.8266459978992011</v>
      </c>
      <c r="E34" s="289">
        <f>(+'Table 2'!F47/B34)*1000</f>
        <v>53.422874881487267</v>
      </c>
      <c r="F34" s="290">
        <f>(+'Table 2'!H47/B34)*1000</f>
        <v>6.7489882679372295</v>
      </c>
      <c r="G34" s="291">
        <f>(+'Table 2'!J47/B34)*1000</f>
        <v>64.321902356896459</v>
      </c>
      <c r="H34" s="291">
        <f>(+'Table 2'!L47/B34)*1000</f>
        <v>36.36335350369307</v>
      </c>
      <c r="I34" s="292" t="e">
        <f>table4ws!#REF!</f>
        <v>#REF!</v>
      </c>
      <c r="J34" s="293">
        <f>(+'Table 3'!W48)/B34*1000</f>
        <v>3.6256891826690687</v>
      </c>
      <c r="K34" s="290">
        <f>(+'Table 3'!W57)/B34*1000</f>
        <v>50.939600650463021</v>
      </c>
      <c r="L34" s="272">
        <f t="shared" si="0"/>
        <v>54.565289833132091</v>
      </c>
      <c r="M34" s="294">
        <f>(+'Table 3'!W66)/B34*1000</f>
        <v>20.069046962864203</v>
      </c>
      <c r="N34" s="292" t="s">
        <v>179</v>
      </c>
      <c r="O34" s="290" t="s">
        <v>179</v>
      </c>
      <c r="P34" s="291" t="s">
        <v>179</v>
      </c>
      <c r="Q34" s="295" t="e">
        <f>+table4ws!#REF!</f>
        <v>#REF!</v>
      </c>
      <c r="R34" s="275">
        <v>53.792515019256804</v>
      </c>
      <c r="S34" s="276">
        <v>2.7587015910702553</v>
      </c>
    </row>
    <row r="35" spans="1:19" x14ac:dyDescent="0.4">
      <c r="A35" s="169" t="s">
        <v>239</v>
      </c>
      <c r="B35" s="281">
        <v>942322.79</v>
      </c>
      <c r="C35" s="282">
        <f>(+'Table 2'!B48/B35)*1000</f>
        <v>1.1551243496933785</v>
      </c>
      <c r="D35" s="283">
        <f>(+'Table 2'!D48/B35)*1000</f>
        <v>2.8368198544789514</v>
      </c>
      <c r="E35" s="282">
        <f>(+'Table 2'!F48/B35)*1000</f>
        <v>53.96781287651973</v>
      </c>
      <c r="F35" s="283">
        <f>(+'Table 2'!H48/B35)*1000</f>
        <v>6.730071762352261</v>
      </c>
      <c r="G35" s="284">
        <f>(+'Table 2'!J48/B35)*1000</f>
        <v>64.880952311468548</v>
      </c>
      <c r="H35" s="284">
        <f>(+'Table 2'!L48/B35)*1000</f>
        <v>36.89319665079946</v>
      </c>
      <c r="I35" s="296" t="e">
        <f>table4ws!#REF!</f>
        <v>#REF!</v>
      </c>
      <c r="J35" s="283">
        <f>(+'Table 3'!X48)/B35*1000</f>
        <v>3.6236733699287904</v>
      </c>
      <c r="K35" s="283">
        <f>(+'Table 3'!X57)/B35*1000</f>
        <v>50.558089548062398</v>
      </c>
      <c r="L35" s="290">
        <f>+J35+K35</f>
        <v>54.181762917991186</v>
      </c>
      <c r="M35" s="297">
        <f>(+'Table 3'!X66)/B35*1000</f>
        <v>19.996566144813286</v>
      </c>
      <c r="N35" s="296" t="s">
        <v>179</v>
      </c>
      <c r="O35" s="283" t="s">
        <v>179</v>
      </c>
      <c r="P35" s="298" t="s">
        <v>179</v>
      </c>
      <c r="Q35" s="299" t="e">
        <f>+table4ws!#REF!</f>
        <v>#REF!</v>
      </c>
      <c r="R35" s="300">
        <v>53.78</v>
      </c>
      <c r="S35" s="301">
        <v>2.66</v>
      </c>
    </row>
    <row r="36" spans="1:19" x14ac:dyDescent="0.4">
      <c r="A36" s="169" t="s">
        <v>242</v>
      </c>
      <c r="B36" s="281">
        <v>947622</v>
      </c>
      <c r="C36" s="282">
        <f>(+'Table 2'!B49/B36)*1000</f>
        <v>1.2057233791532909</v>
      </c>
      <c r="D36" s="283">
        <f>(+'Table 2'!D49/B36)*1000</f>
        <v>2.86330414447955</v>
      </c>
      <c r="E36" s="282">
        <f>(+'Table 2'!F49/B36)*1000</f>
        <v>55.472266367813326</v>
      </c>
      <c r="F36" s="283">
        <f>(+'Table 2'!H49/B36)*1000</f>
        <v>6.9573416404431301</v>
      </c>
      <c r="G36" s="284">
        <f>(+'Table 2'!J49/B36)*1000</f>
        <v>66.697702248364848</v>
      </c>
      <c r="H36" s="284">
        <f>(+'Table 2'!L49/B36)*1000</f>
        <v>37.608381823132014</v>
      </c>
      <c r="I36" s="285" t="e">
        <f>table4ws!#REF!</f>
        <v>#REF!</v>
      </c>
      <c r="J36" s="283">
        <f>(+'Table 3'!Y48)/B36*1000</f>
        <v>3.6591066902203617</v>
      </c>
      <c r="K36" s="283">
        <f>(+'Table 3'!Y57)/B36*1000</f>
        <v>50.789893016413721</v>
      </c>
      <c r="L36" s="283">
        <f t="shared" si="0"/>
        <v>54.448999706634083</v>
      </c>
      <c r="M36" s="286">
        <f>(+'Table 3'!Y66)/B36*1000</f>
        <v>20.289566937027633</v>
      </c>
      <c r="N36" s="285" t="s">
        <v>179</v>
      </c>
      <c r="O36" s="283" t="s">
        <v>179</v>
      </c>
      <c r="P36" s="284" t="s">
        <v>179</v>
      </c>
      <c r="Q36" s="302" t="e">
        <f>+table4ws!#REF!</f>
        <v>#REF!</v>
      </c>
      <c r="R36" s="303">
        <v>55.82</v>
      </c>
      <c r="S36" s="304">
        <v>2.69</v>
      </c>
    </row>
    <row r="37" spans="1:19" x14ac:dyDescent="0.4">
      <c r="A37" s="169" t="s">
        <v>245</v>
      </c>
      <c r="B37" s="281">
        <v>949293.63</v>
      </c>
      <c r="C37" s="282">
        <f>(+'Table 2'!B50/B37)*1000</f>
        <v>1.2311153926103982</v>
      </c>
      <c r="D37" s="283">
        <f>(+'Table 2'!D50/B37)*1000</f>
        <v>2.8880526671183921</v>
      </c>
      <c r="E37" s="282">
        <f>(+'Table 2'!F50/B37)*1000</f>
        <v>55.936444027334304</v>
      </c>
      <c r="F37" s="283">
        <f>(+'Table 2'!H50/B37)*1000</f>
        <v>7.0683714584706525</v>
      </c>
      <c r="G37" s="284">
        <f>(+'Table 2'!J50/B37)*1000</f>
        <v>67.326112785566679</v>
      </c>
      <c r="H37" s="284">
        <f>(+'Table 2'!L50/B37)*1000</f>
        <v>38.088678631499924</v>
      </c>
      <c r="I37" s="285" t="e">
        <f>table4ws!#REF!</f>
        <v>#REF!</v>
      </c>
      <c r="J37" s="283">
        <f>(+'Table 3'!Z48)/B37*1000</f>
        <v>3.6805682557882538</v>
      </c>
      <c r="K37" s="283">
        <f>(+'Table 3'!Z57)/B37*1000</f>
        <v>50.546404698828532</v>
      </c>
      <c r="L37" s="283">
        <f t="shared" ref="L37:L42" si="1">+J37+K37</f>
        <v>54.226972954616784</v>
      </c>
      <c r="M37" s="286">
        <f>(+'Table 3'!Z66)/B37*1000</f>
        <v>20.44765643270987</v>
      </c>
      <c r="N37" s="285" t="s">
        <v>179</v>
      </c>
      <c r="O37" s="283" t="s">
        <v>179</v>
      </c>
      <c r="P37" s="284" t="s">
        <v>179</v>
      </c>
      <c r="Q37" s="302" t="e">
        <f>+table4ws!#REF!</f>
        <v>#REF!</v>
      </c>
      <c r="R37" s="303">
        <v>55.153294850270548</v>
      </c>
      <c r="S37" s="304">
        <v>2.7246425815553965</v>
      </c>
    </row>
    <row r="38" spans="1:19" x14ac:dyDescent="0.4">
      <c r="A38" s="169" t="s">
        <v>277</v>
      </c>
      <c r="B38" s="281">
        <v>952113.11</v>
      </c>
      <c r="C38" s="282">
        <f>(+'Table 2'!B51/B38)*1000</f>
        <v>1.2042266700854483</v>
      </c>
      <c r="D38" s="283">
        <f>(+'Table 2'!D51/B38)*1000</f>
        <v>2.8894046002580511</v>
      </c>
      <c r="E38" s="282">
        <f>(+'Table 2'!F51/B38)*1000</f>
        <v>55.552674828729124</v>
      </c>
      <c r="F38" s="283">
        <f>(+'Table 2'!H51/B38)*1000</f>
        <v>7.0865949950001212</v>
      </c>
      <c r="G38" s="284">
        <f>(+'Table 2'!J51/B38)*1000</f>
        <v>66.926701597460422</v>
      </c>
      <c r="H38" s="284">
        <f>(+'Table 2'!L51/B38)*1000</f>
        <v>37.854420469013398</v>
      </c>
      <c r="I38" s="285" t="e">
        <f>table4ws!#REF!</f>
        <v>#REF!</v>
      </c>
      <c r="J38" s="283">
        <f>(+'Table 3'!AA48)/B38*1000</f>
        <v>3.6810437364947113</v>
      </c>
      <c r="K38" s="283">
        <f>(+'Table 3'!AA57)/B38*1000</f>
        <v>50.115820797804162</v>
      </c>
      <c r="L38" s="283">
        <f t="shared" si="1"/>
        <v>53.796864534298876</v>
      </c>
      <c r="M38" s="286">
        <f>(+'Table 3'!AA66)/B38*1000</f>
        <v>20.348758772999144</v>
      </c>
      <c r="N38" s="285" t="s">
        <v>179</v>
      </c>
      <c r="O38" s="283" t="s">
        <v>179</v>
      </c>
      <c r="P38" s="284" t="s">
        <v>179</v>
      </c>
      <c r="Q38" s="302" t="e">
        <f>+table4ws!#REF!</f>
        <v>#REF!</v>
      </c>
      <c r="R38" s="303">
        <v>54.997336897520547</v>
      </c>
      <c r="S38" s="304">
        <v>2.8240414732203827</v>
      </c>
    </row>
    <row r="39" spans="1:19" x14ac:dyDescent="0.4">
      <c r="A39" s="169" t="s">
        <v>281</v>
      </c>
      <c r="B39" s="281">
        <v>955613.73</v>
      </c>
      <c r="C39" s="282">
        <f>(+'Table 2'!B52/B39)*1000</f>
        <v>1.1783317512610456</v>
      </c>
      <c r="D39" s="283">
        <f>(+'Table 2'!D52/B39)*1000</f>
        <v>2.9293949135703605</v>
      </c>
      <c r="E39" s="282">
        <f>(+'Table 2'!F52/B39)*1000</f>
        <v>55.727370095446403</v>
      </c>
      <c r="F39" s="283">
        <f>(+'Table 2'!H52/B39)*1000</f>
        <v>7.2329224486969226</v>
      </c>
      <c r="G39" s="284">
        <f>(+'Table 2'!J52/B39)*1000</f>
        <v>67.258818058212697</v>
      </c>
      <c r="H39" s="284">
        <f>(+'Table 2'!L52/B39)*1000</f>
        <v>38.30212862261827</v>
      </c>
      <c r="I39" s="285" t="e">
        <f>table4ws!#REF!</f>
        <v>#REF!</v>
      </c>
      <c r="J39" s="283">
        <f>(+'Table 3'!AB48)/B39*1000</f>
        <v>3.6956773318859701</v>
      </c>
      <c r="K39" s="283">
        <f>(+'Table 3'!AB57)/B39*1000</f>
        <v>49.755396461287766</v>
      </c>
      <c r="L39" s="283">
        <f t="shared" si="1"/>
        <v>53.451073793173734</v>
      </c>
      <c r="M39" s="286">
        <f>(+'Table 3'!AB66)/B39*1000</f>
        <v>20.386458867643103</v>
      </c>
      <c r="N39" s="285" t="s">
        <v>179</v>
      </c>
      <c r="O39" s="283" t="s">
        <v>179</v>
      </c>
      <c r="P39" s="284" t="s">
        <v>179</v>
      </c>
      <c r="Q39" s="302" t="e">
        <f>+table4ws!#REF!</f>
        <v>#REF!</v>
      </c>
      <c r="R39" s="303">
        <v>54.440053311146762</v>
      </c>
      <c r="S39" s="304">
        <v>2.79205687826654</v>
      </c>
    </row>
    <row r="40" spans="1:19" x14ac:dyDescent="0.4">
      <c r="A40" s="169" t="s">
        <v>282</v>
      </c>
      <c r="B40" s="281">
        <v>960592.41</v>
      </c>
      <c r="C40" s="282">
        <f>(+'Table 2'!B53/B40)*1000</f>
        <v>1.2092745975371593</v>
      </c>
      <c r="D40" s="283">
        <f>(+'Table 2'!D53/B40)*1000</f>
        <v>2.9533962276466461</v>
      </c>
      <c r="E40" s="282">
        <f>(+'Table 2'!F53/B40)*1000</f>
        <v>55.833639160234462</v>
      </c>
      <c r="F40" s="283">
        <f>(+'Table 2'!H53/B40)*1000</f>
        <v>7.3036388034754509</v>
      </c>
      <c r="G40" s="284">
        <f>(+'Table 2'!J53/B40)*1000</f>
        <v>67.475548760582029</v>
      </c>
      <c r="H40" s="284">
        <f>(+'Table 2'!L53/B40)*1000</f>
        <v>38.25602786097383</v>
      </c>
      <c r="I40" s="285" t="e">
        <f>table4ws!#REF!</f>
        <v>#REF!</v>
      </c>
      <c r="J40" s="283">
        <f>(+'Table 3'!AC48)/B40*1000</f>
        <v>3.7418055385217963</v>
      </c>
      <c r="K40" s="283">
        <f>(+'Table 3'!AC57)/B40*1000</f>
        <v>49.488908620462652</v>
      </c>
      <c r="L40" s="283">
        <f t="shared" si="1"/>
        <v>53.230714158984448</v>
      </c>
      <c r="M40" s="286">
        <f>(+'Table 3'!AC66)/B40*1000</f>
        <v>20.378893062459237</v>
      </c>
      <c r="N40" s="285" t="s">
        <v>179</v>
      </c>
      <c r="O40" s="283" t="s">
        <v>179</v>
      </c>
      <c r="P40" s="284" t="s">
        <v>179</v>
      </c>
      <c r="Q40" s="302" t="e">
        <f>+table4ws!#REF!</f>
        <v>#REF!</v>
      </c>
      <c r="R40" s="303">
        <v>54.339239027823545</v>
      </c>
      <c r="S40" s="304">
        <v>2.8073420566295129</v>
      </c>
    </row>
    <row r="41" spans="1:19" x14ac:dyDescent="0.4">
      <c r="A41" s="169" t="s">
        <v>285</v>
      </c>
      <c r="B41" s="281">
        <v>961749.14000000013</v>
      </c>
      <c r="C41" s="282">
        <f>(+'Table 2'!B54/B41)*1000</f>
        <v>1.2177707796026724</v>
      </c>
      <c r="D41" s="283">
        <f>(+'Table 2'!D54/B41)*1000</f>
        <v>2.9155211929796989</v>
      </c>
      <c r="E41" s="282">
        <f>(+'Table 2'!F54/B41)*1000</f>
        <v>56.102561214663517</v>
      </c>
      <c r="F41" s="283">
        <f>(+'Table 2'!H54/B41)*1000</f>
        <v>7.4355772233911219</v>
      </c>
      <c r="G41" s="284">
        <f>(+'Table 2'!J54/B41)*1000</f>
        <v>67.857674403535185</v>
      </c>
      <c r="H41" s="284">
        <f>(+'Table 2'!L54/B41)*1000</f>
        <v>38.349355841378753</v>
      </c>
      <c r="I41" s="285" t="e">
        <f>table4ws!#REF!</f>
        <v>#REF!</v>
      </c>
      <c r="J41" s="283">
        <f>(+'Table 3'!AD48)/B41*1000</f>
        <v>3.6994470304387268</v>
      </c>
      <c r="K41" s="283">
        <f>(+'Table 3'!AD57)/B41*1000</f>
        <v>49.424260467755666</v>
      </c>
      <c r="L41" s="283">
        <f t="shared" si="1"/>
        <v>53.123707498194392</v>
      </c>
      <c r="M41" s="286">
        <f>(+'Table 3'!AD66)/B41*1000</f>
        <v>20.38707307812097</v>
      </c>
      <c r="N41" s="285" t="s">
        <v>179</v>
      </c>
      <c r="O41" s="283" t="s">
        <v>179</v>
      </c>
      <c r="P41" s="284" t="s">
        <v>179</v>
      </c>
      <c r="Q41" s="302" t="e">
        <f>+table4ws!#REF!</f>
        <v>#REF!</v>
      </c>
      <c r="R41" s="303">
        <v>54.455346739061568</v>
      </c>
      <c r="S41" s="304">
        <v>2.8114071574087656</v>
      </c>
    </row>
    <row r="42" spans="1:19" x14ac:dyDescent="0.4">
      <c r="A42" s="169" t="s">
        <v>294</v>
      </c>
      <c r="B42" s="281">
        <v>967236.99</v>
      </c>
      <c r="C42" s="282">
        <f>(+'Table 2'!B55/B42)*1000</f>
        <v>1.2323866977006328</v>
      </c>
      <c r="D42" s="283">
        <f>(+'Table 2'!D55/B42)*1000</f>
        <v>2.9412543455353171</v>
      </c>
      <c r="E42" s="282">
        <f>(+'Table 2'!F55/B42)*1000</f>
        <v>56.016313023760596</v>
      </c>
      <c r="F42" s="283">
        <f>(+'Table 2'!H55/B42)*1000</f>
        <v>7.5595744120580006</v>
      </c>
      <c r="G42" s="284">
        <f>(+'Table 2'!J55/B42)*1000</f>
        <v>67.927757808352624</v>
      </c>
      <c r="H42" s="284">
        <f>(+'Table 2'!L55/B42)*1000</f>
        <v>38.570443837140672</v>
      </c>
      <c r="I42" s="285"/>
      <c r="J42" s="283">
        <f>(+'Table 3'!AE48)/B42*1000</f>
        <v>3.7355064346742983</v>
      </c>
      <c r="K42" s="283">
        <f>(+'Table 3'!AE57)/B42*1000</f>
        <v>47.507860508932772</v>
      </c>
      <c r="L42" s="283">
        <f t="shared" si="1"/>
        <v>51.243366943607072</v>
      </c>
      <c r="M42" s="286">
        <f>(+'Table 3'!AE66)/B42*1000</f>
        <v>20.414035240732471</v>
      </c>
      <c r="N42" s="285" t="s">
        <v>179</v>
      </c>
      <c r="O42" s="283" t="s">
        <v>179</v>
      </c>
      <c r="P42" s="284" t="s">
        <v>179</v>
      </c>
      <c r="Q42" s="302" t="e">
        <f>+table4ws!#REF!</f>
        <v>#REF!</v>
      </c>
      <c r="R42" s="303">
        <v>54.745098565402195</v>
      </c>
      <c r="S42" s="304">
        <v>2.8642573997845604</v>
      </c>
    </row>
    <row r="43" spans="1:19" x14ac:dyDescent="0.4">
      <c r="A43" s="169" t="s">
        <v>300</v>
      </c>
      <c r="B43" s="281">
        <v>975871.5</v>
      </c>
      <c r="C43" s="282">
        <f>(+'Table 2'!B56/B43)*1000</f>
        <v>1.1871747458553712</v>
      </c>
      <c r="D43" s="283">
        <f>(+'Table 2'!D56/B43)*1000</f>
        <v>2.9479905909743236</v>
      </c>
      <c r="E43" s="282">
        <f>(+'Table 2'!F56/B43)*1000</f>
        <v>56.009105707052605</v>
      </c>
      <c r="F43" s="283">
        <f>(+'Table 2'!H56/B43)*1000</f>
        <v>7.5673077859123898</v>
      </c>
      <c r="G43" s="284">
        <f>(+'Table 2'!J56/B43)*1000</f>
        <v>67.8585039116318</v>
      </c>
      <c r="H43" s="284">
        <f>(+'Table 2'!L56/B43)*1000</f>
        <v>38.443770516917439</v>
      </c>
      <c r="I43" s="285"/>
      <c r="J43" s="283">
        <f>(+'Table 3'!AF48)/B43*1000</f>
        <v>3.7064408582482424</v>
      </c>
      <c r="K43" s="283">
        <f>(+'Table 3'!AF57)/B43*1000</f>
        <v>47.494716261311048</v>
      </c>
      <c r="L43" s="283">
        <f t="shared" ref="L43:L56" si="2">+J43+K43</f>
        <v>51.201157119559291</v>
      </c>
      <c r="M43" s="286">
        <f>(+'Table 3'!AF66)/B43*1000</f>
        <v>20.352628394209692</v>
      </c>
      <c r="N43" s="285" t="s">
        <v>179</v>
      </c>
      <c r="O43" s="283" t="s">
        <v>179</v>
      </c>
      <c r="P43" s="284" t="s">
        <v>179</v>
      </c>
      <c r="Q43" s="302" t="e">
        <f>+table4ws!#REF!</f>
        <v>#REF!</v>
      </c>
      <c r="R43" s="303">
        <v>54.854083329589827</v>
      </c>
      <c r="S43" s="304">
        <v>2.7779260857487036</v>
      </c>
    </row>
    <row r="44" spans="1:19" x14ac:dyDescent="0.4">
      <c r="A44" s="169" t="s">
        <v>302</v>
      </c>
      <c r="B44" s="281">
        <v>982747.78</v>
      </c>
      <c r="C44" s="282">
        <f>(+'Table 2'!B57/B44)*1000</f>
        <v>1.1265148825876767</v>
      </c>
      <c r="D44" s="283">
        <f>(+'Table 2'!D57/B44)*1000</f>
        <v>2.8409120395062106</v>
      </c>
      <c r="E44" s="282">
        <f>(+'Table 2'!F57/B44)*1000</f>
        <v>54.561669933255914</v>
      </c>
      <c r="F44" s="283">
        <f>(+'Table 2'!H57/B44)*1000</f>
        <v>7.378088404330966</v>
      </c>
      <c r="G44" s="284">
        <f>(+'Table 2'!J57/B44)*1000</f>
        <v>66.052919498836204</v>
      </c>
      <c r="H44" s="284">
        <f>(+'Table 2'!L57/B44)*1000</f>
        <v>37.553002663613235</v>
      </c>
      <c r="I44" s="285"/>
      <c r="J44" s="283">
        <f>(+'Table 3'!AG48)/B44*1000</f>
        <v>3.4622311739030325</v>
      </c>
      <c r="K44" s="283">
        <f>(+'Table 3'!AG57)/B44*1000</f>
        <v>47.608197090000047</v>
      </c>
      <c r="L44" s="283">
        <f t="shared" si="2"/>
        <v>51.070428263903082</v>
      </c>
      <c r="M44" s="286">
        <f>(+'Table 3'!AG66)/B44*1000</f>
        <v>19.647034969643993</v>
      </c>
      <c r="N44" s="285" t="s">
        <v>179</v>
      </c>
      <c r="O44" s="283" t="s">
        <v>179</v>
      </c>
      <c r="P44" s="284" t="s">
        <v>179</v>
      </c>
      <c r="Q44" s="302" t="e">
        <f>+table4ws!#REF!</f>
        <v>#REF!</v>
      </c>
      <c r="R44" s="303">
        <v>54.81706864336364</v>
      </c>
      <c r="S44" s="304" t="s">
        <v>179</v>
      </c>
    </row>
    <row r="45" spans="1:19" x14ac:dyDescent="0.4">
      <c r="A45" s="169" t="s">
        <v>305</v>
      </c>
      <c r="B45" s="281">
        <v>986583.79</v>
      </c>
      <c r="C45" s="282">
        <f>(+'Table 2'!B58/B45)*1000</f>
        <v>1.1248816484203534</v>
      </c>
      <c r="D45" s="283">
        <f>(+'Table 2'!D58/B45)*1000</f>
        <v>2.8305249166925806</v>
      </c>
      <c r="E45" s="282">
        <f>(+'Table 2'!F58/B45)*1000</f>
        <v>54.613719124657429</v>
      </c>
      <c r="F45" s="283">
        <f>(+'Table 2'!H58/B45)*1000</f>
        <v>7.3986011872341839</v>
      </c>
      <c r="G45" s="284">
        <f>(+'Table 2'!J58/B45)*1000</f>
        <v>66.129122190422365</v>
      </c>
      <c r="H45" s="284">
        <f>(+'Table 2'!L58/B45)*1000</f>
        <v>37.614656125659629</v>
      </c>
      <c r="I45" s="285"/>
      <c r="J45" s="283">
        <f>(+'Table 3'!AH48)/B45*1000</f>
        <v>3.44923567008941</v>
      </c>
      <c r="K45" s="283">
        <f>(+'Table 3'!AH57)/B45*1000</f>
        <v>48.720230848309384</v>
      </c>
      <c r="L45" s="283">
        <f t="shared" si="2"/>
        <v>52.169466518398792</v>
      </c>
      <c r="M45" s="286">
        <f>(+'Table 3'!AH66)/B45*1000</f>
        <v>19.508378502752411</v>
      </c>
      <c r="N45" s="285" t="s">
        <v>179</v>
      </c>
      <c r="O45" s="283" t="s">
        <v>179</v>
      </c>
      <c r="P45" s="284" t="s">
        <v>179</v>
      </c>
      <c r="Q45" s="302">
        <v>357542.59</v>
      </c>
      <c r="R45" s="303">
        <v>55.558016073833329</v>
      </c>
      <c r="S45" s="304" t="s">
        <v>179</v>
      </c>
    </row>
    <row r="46" spans="1:19" x14ac:dyDescent="0.4">
      <c r="A46" s="169" t="s">
        <v>372</v>
      </c>
      <c r="B46" s="281">
        <v>984285.3600000001</v>
      </c>
      <c r="C46" s="282">
        <f>(+'Table 2'!B59/B46)*1000</f>
        <v>1.0937681730834641</v>
      </c>
      <c r="D46" s="283">
        <f>(+'Table 2'!D59/B46)*1000</f>
        <v>2.8525569048390595</v>
      </c>
      <c r="E46" s="282">
        <f>(+'Table 2'!F59/B46)*1000</f>
        <v>53.862896020316697</v>
      </c>
      <c r="F46" s="283">
        <f>(+'Table 2'!H59/B46)*1000</f>
        <v>7.3008197541412185</v>
      </c>
      <c r="G46" s="284">
        <f>(+'Table 2'!J59/B46)*1000</f>
        <v>65.275307965568032</v>
      </c>
      <c r="H46" s="284">
        <f>(+'Table 2'!L59/B46)*1000</f>
        <v>36.777749086911136</v>
      </c>
      <c r="I46" s="285"/>
      <c r="J46" s="283">
        <f>(+'Table 3'!AI48)/B46*1000</f>
        <v>3.5396035962578978</v>
      </c>
      <c r="K46" s="283">
        <f>(+'Table 3'!AI57)/B46*1000</f>
        <v>48.809534259455013</v>
      </c>
      <c r="L46" s="283">
        <f t="shared" si="2"/>
        <v>52.349137855712911</v>
      </c>
      <c r="M46" s="286">
        <f>(+'Table 3'!AI66)/B46*1000</f>
        <v>19.515712394625066</v>
      </c>
      <c r="N46" s="285" t="s">
        <v>179</v>
      </c>
      <c r="O46" s="283" t="s">
        <v>179</v>
      </c>
      <c r="P46" s="284" t="s">
        <v>179</v>
      </c>
      <c r="Q46" s="302" t="s">
        <v>179</v>
      </c>
      <c r="R46" s="303" t="s">
        <v>179</v>
      </c>
      <c r="S46" s="304" t="s">
        <v>179</v>
      </c>
    </row>
    <row r="47" spans="1:19" x14ac:dyDescent="0.4">
      <c r="A47" s="169" t="s">
        <v>373</v>
      </c>
      <c r="B47" s="281">
        <v>987757.43999999983</v>
      </c>
      <c r="C47" s="282">
        <f>(+'Table 2'!B60/B47)*1000</f>
        <v>1.1200523075786708</v>
      </c>
      <c r="D47" s="283">
        <f>(+'Table 2'!D60/B47)*1000</f>
        <v>2.8997402439206135</v>
      </c>
      <c r="E47" s="282">
        <f>(+'Table 2'!F60/B47)*1000</f>
        <v>54.227088383156094</v>
      </c>
      <c r="F47" s="283">
        <f>(+'Table 2'!H60/B47)*1000</f>
        <v>7.3925537832446011</v>
      </c>
      <c r="G47" s="284">
        <f>(+'Table 2'!J60/B47)*1000</f>
        <v>65.80116470699528</v>
      </c>
      <c r="H47" s="284">
        <f>(+'Table 2'!L60/B47)*1000</f>
        <v>36.901853151316189</v>
      </c>
      <c r="I47" s="285"/>
      <c r="J47" s="283">
        <f>(+'Table 3'!AJ48)/B47*1000</f>
        <v>3.6161003251972468</v>
      </c>
      <c r="K47" s="283">
        <f>(+'Table 3'!AJ57)/B47*1000</f>
        <v>49.165805321597979</v>
      </c>
      <c r="L47" s="283">
        <f t="shared" si="2"/>
        <v>52.781905646795224</v>
      </c>
      <c r="M47" s="286">
        <f>(+'Table 3'!AJ66)/B47*1000</f>
        <v>19.595782543536195</v>
      </c>
      <c r="N47" s="285" t="s">
        <v>179</v>
      </c>
      <c r="O47" s="283" t="s">
        <v>179</v>
      </c>
      <c r="P47" s="284" t="s">
        <v>179</v>
      </c>
      <c r="Q47" s="302" t="s">
        <v>179</v>
      </c>
      <c r="R47" s="303" t="s">
        <v>179</v>
      </c>
      <c r="S47" s="304" t="s">
        <v>179</v>
      </c>
    </row>
    <row r="48" spans="1:19" x14ac:dyDescent="0.4">
      <c r="A48" s="169" t="s">
        <v>384</v>
      </c>
      <c r="B48" s="281">
        <v>1002609.2500000001</v>
      </c>
      <c r="C48" s="282">
        <f>(+'Table 2'!B61/B48)*1000</f>
        <v>1.1387287719517847</v>
      </c>
      <c r="D48" s="283">
        <f>(+'Table 2'!D61/B48)*1000</f>
        <v>2.9510001029812956</v>
      </c>
      <c r="E48" s="282">
        <f>(+'Table 2'!F61/B48)*1000</f>
        <v>54.585173635691064</v>
      </c>
      <c r="F48" s="283">
        <f>(+'Table 2'!H61/B48)*1000</f>
        <v>7.5975760247573998</v>
      </c>
      <c r="G48" s="284">
        <f>(+'Table 2'!J61/B48)*1000</f>
        <v>66.426376975875684</v>
      </c>
      <c r="H48" s="284">
        <f>(+'Table 2'!L61/B48)*1000</f>
        <v>37.176796443878807</v>
      </c>
      <c r="I48" s="285"/>
      <c r="J48" s="283">
        <f>(+'Table 3'!AK48)/B48*1000</f>
        <v>3.693961530875562</v>
      </c>
      <c r="K48" s="283">
        <f>(+'Table 3'!AK57)/B48*1000</f>
        <v>49.602674222285493</v>
      </c>
      <c r="L48" s="283">
        <f>+J48+K48</f>
        <v>53.296635753161056</v>
      </c>
      <c r="M48" s="286">
        <f>(+'Table 3'!AK66)/B48*1000</f>
        <v>19.772009883212224</v>
      </c>
      <c r="N48" s="285" t="s">
        <v>179</v>
      </c>
      <c r="O48" s="283" t="s">
        <v>179</v>
      </c>
      <c r="P48" s="284" t="s">
        <v>179</v>
      </c>
      <c r="Q48" s="302" t="s">
        <v>179</v>
      </c>
      <c r="R48" s="303" t="s">
        <v>179</v>
      </c>
      <c r="S48" s="304" t="s">
        <v>179</v>
      </c>
    </row>
    <row r="49" spans="1:19" x14ac:dyDescent="0.4">
      <c r="A49" s="169" t="s">
        <v>395</v>
      </c>
      <c r="B49" s="281">
        <v>1013524.93</v>
      </c>
      <c r="C49" s="282">
        <f>(+'Table 2'!B62/B49)*1000</f>
        <v>1.2179473473829598</v>
      </c>
      <c r="D49" s="283">
        <f>(+'Table 2'!D62/B49)*1000</f>
        <v>3.0510842984395063</v>
      </c>
      <c r="E49" s="282">
        <f>(+'Table 2'!F62/B49)*1000</f>
        <v>55.433584647986905</v>
      </c>
      <c r="F49" s="283">
        <f>(+'Table 2'!H62/B49)*1000</f>
        <v>8.0016285341890878</v>
      </c>
      <c r="G49" s="284">
        <f>(+'Table 2'!J62/B49)*1000</f>
        <v>67.889094745799682</v>
      </c>
      <c r="H49" s="284">
        <f>(+'Table 2'!L62/B49)*1000</f>
        <v>38.083079022042405</v>
      </c>
      <c r="I49" s="285"/>
      <c r="J49" s="283">
        <f>(+'Table 3'!AL48)/B49*1000</f>
        <v>3.8476507923687673</v>
      </c>
      <c r="K49" s="283">
        <f>(+'Table 3'!AL57)/B49*1000</f>
        <v>50.684939737989474</v>
      </c>
      <c r="L49" s="283">
        <f>+J49+K49</f>
        <v>54.532590530358242</v>
      </c>
      <c r="M49" s="286">
        <f>(+'Table 3'!AL66)/B49*1000</f>
        <v>20.293906337360635</v>
      </c>
      <c r="N49" s="285" t="s">
        <v>179</v>
      </c>
      <c r="O49" s="283" t="s">
        <v>179</v>
      </c>
      <c r="P49" s="284" t="s">
        <v>179</v>
      </c>
      <c r="Q49" s="302" t="s">
        <v>179</v>
      </c>
      <c r="R49" s="303" t="s">
        <v>179</v>
      </c>
      <c r="S49" s="304" t="s">
        <v>179</v>
      </c>
    </row>
    <row r="50" spans="1:19" x14ac:dyDescent="0.4">
      <c r="A50" s="169" t="s">
        <v>406</v>
      </c>
      <c r="B50" s="281">
        <v>1036132.5800000002</v>
      </c>
      <c r="C50" s="282">
        <f>(+'Table 2'!B63/B50)*1000</f>
        <v>1.2645099915688394</v>
      </c>
      <c r="D50" s="283">
        <f>(+'Table 2'!D63/B50)*1000</f>
        <v>3.1307769513434267</v>
      </c>
      <c r="E50" s="282">
        <f>(+'Table 2'!F63/B50)*1000</f>
        <v>55.892461175190526</v>
      </c>
      <c r="F50" s="283">
        <f>(+'Table 2'!H63/B50)*1000</f>
        <v>8.1461582841068445</v>
      </c>
      <c r="G50" s="284">
        <f>(+'Table 2'!J63/B50)*1000</f>
        <v>68.642180907003223</v>
      </c>
      <c r="H50" s="284">
        <f>(+'Table 2'!L63/B50)*1000</f>
        <v>38.455599958067133</v>
      </c>
      <c r="I50" s="285"/>
      <c r="J50" s="283">
        <f>(+'Table 3'!AM48)/B50*1000</f>
        <v>3.9689225871075289</v>
      </c>
      <c r="K50" s="283">
        <f>(+'Table 3'!AM57)/B50*1000</f>
        <v>51.26119091825101</v>
      </c>
      <c r="L50" s="283">
        <f>+J50+K50</f>
        <v>55.230113505358538</v>
      </c>
      <c r="M50" s="286">
        <f>(+'Table 3'!AM66)/B50*1000</f>
        <v>20.449361798853964</v>
      </c>
      <c r="N50" s="285" t="s">
        <v>179</v>
      </c>
      <c r="O50" s="283" t="s">
        <v>179</v>
      </c>
      <c r="P50" s="284" t="s">
        <v>179</v>
      </c>
      <c r="Q50" s="302" t="s">
        <v>179</v>
      </c>
      <c r="R50" s="303" t="s">
        <v>179</v>
      </c>
      <c r="S50" s="304" t="s">
        <v>179</v>
      </c>
    </row>
    <row r="51" spans="1:19" x14ac:dyDescent="0.4">
      <c r="A51" s="169" t="s">
        <v>410</v>
      </c>
      <c r="B51" s="281">
        <v>1058218.01</v>
      </c>
      <c r="C51" s="282">
        <f>(+'Table 2'!B64/B51)*1000</f>
        <v>1.2997983279456755</v>
      </c>
      <c r="D51" s="283">
        <f>(+'Table 2'!D64/B51)*1000</f>
        <v>3.2349383280671997</v>
      </c>
      <c r="E51" s="282">
        <f>(+'Table 2'!F64/B51)*1000</f>
        <v>56.289346275631807</v>
      </c>
      <c r="F51" s="283">
        <f>(+'Table 2'!H64/B51)*1000</f>
        <v>8.4204010098070423</v>
      </c>
      <c r="G51" s="284">
        <f>(+'Table 2'!J64/B51)*1000</f>
        <v>69.513379383894645</v>
      </c>
      <c r="H51" s="284">
        <f>(+'Table 2'!L64/B51)*1000</f>
        <v>39.226000321049156</v>
      </c>
      <c r="I51" s="285"/>
      <c r="J51" s="283">
        <f>(+'Table 3'!AN48)/B51*1000</f>
        <v>4.0901874274470149</v>
      </c>
      <c r="K51" s="283">
        <f>(+'Table 3'!AN57)/B51*1000</f>
        <v>51.86461530738832</v>
      </c>
      <c r="L51" s="283">
        <f>+J51+K51</f>
        <v>55.954802734835333</v>
      </c>
      <c r="M51" s="286">
        <f>(+'Table 3'!AN66)/B51*1000</f>
        <v>20.799967295963903</v>
      </c>
      <c r="N51" s="285" t="s">
        <v>179</v>
      </c>
      <c r="O51" s="283" t="s">
        <v>179</v>
      </c>
      <c r="P51" s="284" t="s">
        <v>179</v>
      </c>
      <c r="Q51" s="302" t="s">
        <v>179</v>
      </c>
      <c r="R51" s="303" t="s">
        <v>179</v>
      </c>
      <c r="S51" s="304" t="s">
        <v>179</v>
      </c>
    </row>
    <row r="52" spans="1:19" x14ac:dyDescent="0.4">
      <c r="A52" s="169" t="s">
        <v>412</v>
      </c>
      <c r="B52" s="281">
        <v>1067358.1280000005</v>
      </c>
      <c r="C52" s="282">
        <f>(+'Table 2'!B65/B52)*1000</f>
        <v>1.324110402052421</v>
      </c>
      <c r="D52" s="283">
        <f>(+'Table 2'!D65/B52)*1000</f>
        <v>3.2810917986469845</v>
      </c>
      <c r="E52" s="282">
        <f>(+'Table 2'!F65/B52)*1000</f>
        <v>57.160570945687283</v>
      </c>
      <c r="F52" s="283">
        <f>(+'Table 2'!H65/B52)*1000</f>
        <v>8.4887159823080456</v>
      </c>
      <c r="G52" s="284">
        <f>(+'Table 2'!J65/B52)*1000</f>
        <v>70.481591910451982</v>
      </c>
      <c r="H52" s="284">
        <f>(+'Table 2'!L65/B52)*1000</f>
        <v>39.82730714727829</v>
      </c>
      <c r="I52" s="285"/>
      <c r="J52" s="283">
        <f>(+'Table 3'!AO48)/B52*1000</f>
        <v>4.1535637230843268</v>
      </c>
      <c r="K52" s="283">
        <f>(+'Table 3'!AO57)/B52*1000</f>
        <v>52.335517512450132</v>
      </c>
      <c r="L52" s="283">
        <f t="shared" si="2"/>
        <v>56.489081235534456</v>
      </c>
      <c r="M52" s="286">
        <f>(+'Table 3'!AO66)/B52*1000</f>
        <v>20.921281633787295</v>
      </c>
      <c r="N52" s="285" t="s">
        <v>179</v>
      </c>
      <c r="O52" s="283" t="s">
        <v>179</v>
      </c>
      <c r="P52" s="284" t="s">
        <v>179</v>
      </c>
      <c r="Q52" s="302" t="s">
        <v>179</v>
      </c>
      <c r="R52" s="303" t="s">
        <v>179</v>
      </c>
      <c r="S52" s="304" t="s">
        <v>179</v>
      </c>
    </row>
    <row r="53" spans="1:19" x14ac:dyDescent="0.4">
      <c r="A53" s="169" t="s">
        <v>419</v>
      </c>
      <c r="B53" s="281">
        <v>1069087.27</v>
      </c>
      <c r="C53" s="282">
        <f>(+'Table 2'!B66/B53)*1000</f>
        <v>1.3293769740612476</v>
      </c>
      <c r="D53" s="283">
        <f>(+'Table 2'!D66/B53)*1000</f>
        <v>3.3763847922349686</v>
      </c>
      <c r="E53" s="282">
        <f>(+'Table 2'!F66/B53)*1000</f>
        <v>58.503324990484636</v>
      </c>
      <c r="F53" s="283">
        <f>(+'Table 2'!H66/B53)*1000</f>
        <v>8.91216298927589</v>
      </c>
      <c r="G53" s="284">
        <f>(+'Table 2'!J66/B53)*1000</f>
        <v>72.352353423869687</v>
      </c>
      <c r="H53" s="284">
        <f>(+'Table 2'!L66/B53)*1000</f>
        <v>41.470412420119828</v>
      </c>
      <c r="I53" s="285"/>
      <c r="J53" s="283">
        <f>(+'Table 3'!AP48)/B53*1000</f>
        <v>4.2378205476153505</v>
      </c>
      <c r="K53" s="283">
        <f>(+'Table 3'!AP57)/B53*1000</f>
        <v>53.367429957331737</v>
      </c>
      <c r="L53" s="283">
        <f t="shared" si="2"/>
        <v>57.605250504947087</v>
      </c>
      <c r="M53" s="286">
        <f>(+'Table 3'!AP66)/B53*1000</f>
        <v>21.488470253695937</v>
      </c>
      <c r="N53" s="285" t="s">
        <v>179</v>
      </c>
      <c r="O53" s="283" t="s">
        <v>179</v>
      </c>
      <c r="P53" s="284" t="s">
        <v>179</v>
      </c>
      <c r="Q53" s="302" t="s">
        <v>179</v>
      </c>
      <c r="R53" s="303" t="s">
        <v>179</v>
      </c>
      <c r="S53" s="304" t="s">
        <v>179</v>
      </c>
    </row>
    <row r="54" spans="1:19" x14ac:dyDescent="0.4">
      <c r="A54" s="169" t="s">
        <v>426</v>
      </c>
      <c r="B54" s="281">
        <v>1076932.5420000004</v>
      </c>
      <c r="C54" s="282">
        <f>(+'Table 2'!B67/B54)*1000</f>
        <v>1.283766574118437</v>
      </c>
      <c r="D54" s="283">
        <f>(+'Table 2'!D67/B54)*1000</f>
        <v>3.3331149909666284</v>
      </c>
      <c r="E54" s="282">
        <f>(+'Table 2'!F67/B54)*1000</f>
        <v>58.531298425560976</v>
      </c>
      <c r="F54" s="283">
        <f>(+'Table 2'!H67/B54)*1000</f>
        <v>8.8699427563588262</v>
      </c>
      <c r="G54" s="284">
        <f>(+'Table 2'!J67/B54)*1000</f>
        <v>72.221190247958887</v>
      </c>
      <c r="H54" s="284">
        <f>(+'Table 2'!L67/B54)*1000</f>
        <v>41.54678984526403</v>
      </c>
      <c r="I54" s="285"/>
      <c r="J54" s="283">
        <f>(+'Table 3'!AQ48)/B54*1000</f>
        <v>4.15651846835918</v>
      </c>
      <c r="K54" s="283">
        <f>(+'Table 3'!AQ57)/B54*1000</f>
        <v>53.112491051458989</v>
      </c>
      <c r="L54" s="283">
        <f t="shared" si="2"/>
        <v>57.269009519818169</v>
      </c>
      <c r="M54" s="286">
        <f>(+'Table 3'!AQ66)/B54*1000</f>
        <v>21.141268475105651</v>
      </c>
      <c r="N54" s="285" t="s">
        <v>179</v>
      </c>
      <c r="O54" s="283" t="s">
        <v>179</v>
      </c>
      <c r="P54" s="284" t="s">
        <v>179</v>
      </c>
      <c r="Q54" s="302" t="s">
        <v>179</v>
      </c>
      <c r="R54" s="303" t="s">
        <v>179</v>
      </c>
      <c r="S54" s="304" t="s">
        <v>179</v>
      </c>
    </row>
    <row r="55" spans="1:19" x14ac:dyDescent="0.4">
      <c r="A55" s="169" t="s">
        <v>431</v>
      </c>
      <c r="B55" s="281">
        <v>1036808.5639</v>
      </c>
      <c r="C55" s="282">
        <f>(+'Table 2'!B68/B55)*1000</f>
        <v>1.3641862627751391</v>
      </c>
      <c r="D55" s="283">
        <f>(+'Table 2'!D68/B55)*1000</f>
        <v>3.4858026118200356</v>
      </c>
      <c r="E55" s="282">
        <f>(+'Table 2'!F68/B55)*1000</f>
        <v>60.465713905934308</v>
      </c>
      <c r="F55" s="283">
        <f>(+'Table 2'!H68/B55)*1000</f>
        <v>9.3600500014156971</v>
      </c>
      <c r="G55" s="284">
        <f>(+'Table 2'!J68/B55)*1000</f>
        <v>74.945792989702369</v>
      </c>
      <c r="H55" s="284">
        <f>(+'Table 2'!L68/B55)*1000</f>
        <v>39.532235194725132</v>
      </c>
      <c r="I55" s="285"/>
      <c r="J55" s="283">
        <f>(+'Table 3'!AR48)/B55*1000</f>
        <v>4.3269414974013412</v>
      </c>
      <c r="K55" s="283">
        <f>(+'Table 3'!AR57)/B55*1000</f>
        <v>54.438728580413112</v>
      </c>
      <c r="L55" s="283">
        <f t="shared" si="2"/>
        <v>58.765670077814455</v>
      </c>
      <c r="M55" s="286">
        <f>(+'Table 3'!AR66)/B55*1000</f>
        <v>20.597592210918272</v>
      </c>
      <c r="N55" s="285" t="s">
        <v>179</v>
      </c>
      <c r="O55" s="283" t="s">
        <v>179</v>
      </c>
      <c r="P55" s="284" t="s">
        <v>179</v>
      </c>
      <c r="Q55" s="302" t="s">
        <v>179</v>
      </c>
      <c r="R55" s="303" t="s">
        <v>179</v>
      </c>
      <c r="S55" s="304" t="s">
        <v>179</v>
      </c>
    </row>
    <row r="56" spans="1:19" x14ac:dyDescent="0.4">
      <c r="A56" s="169" t="s">
        <v>485</v>
      </c>
      <c r="B56" s="281">
        <v>1038499.066</v>
      </c>
      <c r="C56" s="282">
        <f>(+'Table 2'!B69/B56)*1000</f>
        <v>1.446616611593563</v>
      </c>
      <c r="D56" s="283">
        <f>(+'Table 2'!D69/B56)*1000</f>
        <v>3.5993291880341469</v>
      </c>
      <c r="E56" s="282">
        <f>(+'Table 2'!F69/B56)*1000</f>
        <v>61.55963167712661</v>
      </c>
      <c r="F56" s="283">
        <f>(+'Table 2'!H69/B56)*1000</f>
        <v>9.8329794742444179</v>
      </c>
      <c r="G56" s="284">
        <f>(+'Table 2'!J69/B56)*1000</f>
        <v>76.813877461879201</v>
      </c>
      <c r="H56" s="284">
        <f>(+'Table 2'!L69/B56)*1000</f>
        <v>42.406335683695268</v>
      </c>
      <c r="I56" s="285"/>
      <c r="J56" s="283">
        <f>(+'Table 3'!AS48)/B56*1000</f>
        <v>4.4142167769653051</v>
      </c>
      <c r="K56" s="283">
        <f>(+'Table 3'!AS57)/B56*1000</f>
        <v>54.26216724204545</v>
      </c>
      <c r="L56" s="283">
        <f t="shared" si="2"/>
        <v>58.676384019010754</v>
      </c>
      <c r="M56" s="286">
        <f>(+'Table 3'!AS66)/B56*1000</f>
        <v>21.714203448306229</v>
      </c>
      <c r="N56" s="285" t="s">
        <v>179</v>
      </c>
      <c r="O56" s="283" t="s">
        <v>179</v>
      </c>
      <c r="P56" s="284" t="s">
        <v>179</v>
      </c>
      <c r="Q56" s="302" t="s">
        <v>179</v>
      </c>
      <c r="R56" s="303" t="s">
        <v>179</v>
      </c>
      <c r="S56" s="304" t="s">
        <v>179</v>
      </c>
    </row>
    <row r="57" spans="1:19" x14ac:dyDescent="0.4">
      <c r="A57" s="169" t="s">
        <v>493</v>
      </c>
      <c r="B57" s="281">
        <v>1044513.1736200005</v>
      </c>
      <c r="C57" s="282">
        <f>(+'Table 2'!B70/B57)*1000</f>
        <v>1.4980567402295502</v>
      </c>
      <c r="D57" s="283">
        <f>(+'Table 2'!D70/B57)*1000</f>
        <v>3.6081880967937985</v>
      </c>
      <c r="E57" s="282">
        <f>(+'Table 2'!F70/B57)*1000</f>
        <v>60.747879110124238</v>
      </c>
      <c r="F57" s="283">
        <f>(+'Table 2'!H70/B57)*1000</f>
        <v>10.0656365716886</v>
      </c>
      <c r="G57" s="284">
        <f>(+'Table 2'!J70/B57)*1000</f>
        <v>76.296175110753097</v>
      </c>
      <c r="H57" s="284">
        <f>(+'Table 2'!L70/B57)*1000</f>
        <v>43.451180077228415</v>
      </c>
      <c r="I57" s="285"/>
      <c r="J57" s="283">
        <f>(+'Table 3'!AT48)/B57*1000</f>
        <v>4.4057079567999455</v>
      </c>
      <c r="K57" s="283">
        <f>(+'Table 3'!AT57)/B57*1000</f>
        <v>53.639936206666889</v>
      </c>
      <c r="L57" s="283">
        <f t="shared" ref="L57" si="3">+J57+K57</f>
        <v>58.045644163466832</v>
      </c>
      <c r="M57" s="286">
        <f>(+'Table 3'!AT66)/B57*1000</f>
        <v>21.964969499127331</v>
      </c>
      <c r="N57" s="285" t="s">
        <v>179</v>
      </c>
      <c r="O57" s="283" t="s">
        <v>179</v>
      </c>
      <c r="P57" s="284" t="s">
        <v>179</v>
      </c>
      <c r="Q57" s="302" t="s">
        <v>179</v>
      </c>
      <c r="R57" s="303" t="s">
        <v>179</v>
      </c>
      <c r="S57" s="304" t="s">
        <v>179</v>
      </c>
    </row>
    <row r="58" spans="1:19" x14ac:dyDescent="0.4">
      <c r="A58" s="169" t="s">
        <v>494</v>
      </c>
      <c r="B58" s="281">
        <v>1043670.9129100002</v>
      </c>
      <c r="C58" s="282">
        <f>(+'Table 2'!B71/B58)*1000</f>
        <v>1.43267382611145</v>
      </c>
      <c r="D58" s="283">
        <f>(+'Table 2'!D71/B58)*1000</f>
        <v>3.5024258650726794</v>
      </c>
      <c r="E58" s="282">
        <f>(+'Table 2'!F71/B58)*1000</f>
        <v>60.24710396946957</v>
      </c>
      <c r="F58" s="283">
        <f>(+'Table 2'!H71/B58)*1000</f>
        <v>10.311190881035893</v>
      </c>
      <c r="G58" s="284">
        <f>(+'Table 2'!J71/B58)*1000</f>
        <v>75.831767486294623</v>
      </c>
      <c r="H58" s="284">
        <f>(+'Table 2'!L71/B58)*1000</f>
        <v>44.267948285710361</v>
      </c>
      <c r="I58" s="285"/>
      <c r="J58" s="283">
        <f>(+'Table 3'!AU48)/B58*1000</f>
        <v>4.2623972221247621</v>
      </c>
      <c r="K58" s="283">
        <f>(+'Table 3'!AU57)/B58*1000</f>
        <v>53.143178864066776</v>
      </c>
      <c r="L58" s="283">
        <f t="shared" ref="L58" si="4">+J58+K58</f>
        <v>57.405576086191537</v>
      </c>
      <c r="M58" s="286">
        <f>(+'Table 3'!AU66)/B58*1000</f>
        <v>21.966589004648238</v>
      </c>
      <c r="N58" s="285" t="s">
        <v>179</v>
      </c>
      <c r="O58" s="283" t="s">
        <v>179</v>
      </c>
      <c r="P58" s="284" t="s">
        <v>179</v>
      </c>
      <c r="Q58" s="302" t="s">
        <v>179</v>
      </c>
      <c r="R58" s="303" t="s">
        <v>179</v>
      </c>
      <c r="S58" s="304" t="s">
        <v>179</v>
      </c>
    </row>
    <row r="59" spans="1:19" ht="17.399999999999999" thickBot="1" x14ac:dyDescent="0.45">
      <c r="A59" s="183" t="s">
        <v>1152</v>
      </c>
      <c r="B59" s="305">
        <f>table4ws!$G$6</f>
        <v>1044353.6189000001</v>
      </c>
      <c r="C59" s="306">
        <f>(+'Table 2'!B72/B59)*1000</f>
        <v>1.3846267909935424</v>
      </c>
      <c r="D59" s="307">
        <f>(+'Table 2'!D72/B59)*1000</f>
        <v>3.5153610171494365</v>
      </c>
      <c r="E59" s="306">
        <f>(+'Table 2'!F72/B59)*1000</f>
        <v>59.307373363859362</v>
      </c>
      <c r="F59" s="307">
        <f>(+'Table 2'!H72/B59)*1000</f>
        <v>10.340644973658165</v>
      </c>
      <c r="G59" s="308">
        <f>(+'Table 2'!J72/B59)*1000</f>
        <v>74.871756639632196</v>
      </c>
      <c r="H59" s="308">
        <f>(+'Table 2'!L72/B59)*1000</f>
        <v>44.646946356265445</v>
      </c>
      <c r="I59" s="306"/>
      <c r="J59" s="467">
        <f>(+'Table 3'!AV48)/B59*1000</f>
        <v>4.3421786624116807</v>
      </c>
      <c r="K59" s="306">
        <f>(+'Table 3'!AV57)/B59*1000</f>
        <v>52.633838773783552</v>
      </c>
      <c r="L59" s="467">
        <f t="shared" ref="L59" si="5">+J59+K59</f>
        <v>56.976017436195235</v>
      </c>
      <c r="M59" s="468">
        <f>(+'Table 3'!AV66)/B59*1000</f>
        <v>21.91119902864158</v>
      </c>
      <c r="N59" s="309" t="s">
        <v>179</v>
      </c>
      <c r="O59" s="307" t="s">
        <v>179</v>
      </c>
      <c r="P59" s="308" t="s">
        <v>179</v>
      </c>
      <c r="Q59" s="310" t="s">
        <v>179</v>
      </c>
      <c r="R59" s="311" t="s">
        <v>179</v>
      </c>
      <c r="S59" s="312" t="s">
        <v>179</v>
      </c>
    </row>
    <row r="60" spans="1:19" ht="17.399999999999999" thickTop="1" x14ac:dyDescent="0.4">
      <c r="A60" s="164"/>
      <c r="B60" s="191"/>
      <c r="C60" s="313"/>
      <c r="D60" s="313"/>
      <c r="F60" s="313"/>
      <c r="G60" s="313"/>
      <c r="H60" s="313"/>
      <c r="I60" s="191"/>
      <c r="J60" s="289"/>
      <c r="K60" s="289"/>
      <c r="L60" s="289"/>
      <c r="M60" s="289"/>
      <c r="N60" s="191"/>
      <c r="O60" s="164"/>
      <c r="P60" s="164"/>
      <c r="Q60" s="191"/>
      <c r="R60" s="164"/>
      <c r="S60" s="164"/>
    </row>
    <row r="61" spans="1:19" x14ac:dyDescent="0.4">
      <c r="A61" s="88" t="s">
        <v>467</v>
      </c>
    </row>
    <row r="62" spans="1:19" x14ac:dyDescent="0.4">
      <c r="A62" s="88" t="s">
        <v>468</v>
      </c>
    </row>
    <row r="63" spans="1:19" x14ac:dyDescent="0.4">
      <c r="A63" s="164"/>
      <c r="B63" s="191"/>
      <c r="C63" s="313"/>
      <c r="D63" s="380"/>
      <c r="E63" s="381"/>
      <c r="F63" s="381"/>
      <c r="G63" s="313"/>
      <c r="H63" s="313"/>
      <c r="I63" s="191"/>
      <c r="J63" s="164"/>
      <c r="K63" s="164"/>
      <c r="L63" s="164"/>
      <c r="M63" s="164"/>
      <c r="N63" s="191"/>
      <c r="O63" s="164"/>
      <c r="P63" s="164"/>
      <c r="Q63" s="191"/>
      <c r="R63" s="164"/>
      <c r="S63" s="164"/>
    </row>
    <row r="64" spans="1:19" x14ac:dyDescent="0.4">
      <c r="A64" s="88" t="s">
        <v>469</v>
      </c>
    </row>
    <row r="65" spans="1:12" x14ac:dyDescent="0.4">
      <c r="A65" s="88" t="s">
        <v>483</v>
      </c>
    </row>
    <row r="66" spans="1:12" x14ac:dyDescent="0.4">
      <c r="A66" s="88" t="s">
        <v>484</v>
      </c>
    </row>
    <row r="67" spans="1:12" x14ac:dyDescent="0.4">
      <c r="A67" s="88" t="s">
        <v>474</v>
      </c>
    </row>
    <row r="68" spans="1:12" x14ac:dyDescent="0.4">
      <c r="A68" s="88" t="s">
        <v>470</v>
      </c>
    </row>
    <row r="69" spans="1:12" x14ac:dyDescent="0.4">
      <c r="A69" s="88" t="s">
        <v>471</v>
      </c>
    </row>
    <row r="70" spans="1:12" x14ac:dyDescent="0.4">
      <c r="A70" s="88" t="s">
        <v>472</v>
      </c>
    </row>
    <row r="71" spans="1:12" x14ac:dyDescent="0.4">
      <c r="A71" s="88" t="s">
        <v>473</v>
      </c>
    </row>
    <row r="72" spans="1:12" s="314" customFormat="1" hidden="1" x14ac:dyDescent="0.4">
      <c r="A72" s="314" t="s">
        <v>390</v>
      </c>
    </row>
    <row r="73" spans="1:12" s="314" customFormat="1" hidden="1" x14ac:dyDescent="0.4">
      <c r="A73" s="314" t="s">
        <v>391</v>
      </c>
    </row>
    <row r="74" spans="1:12" s="314" customFormat="1" hidden="1" x14ac:dyDescent="0.4">
      <c r="A74" s="314" t="s">
        <v>392</v>
      </c>
    </row>
    <row r="75" spans="1:12" s="314" customFormat="1" hidden="1" x14ac:dyDescent="0.4">
      <c r="L75" s="315"/>
    </row>
    <row r="76" spans="1:12" s="314" customFormat="1" hidden="1" x14ac:dyDescent="0.4">
      <c r="A76" s="314" t="s">
        <v>388</v>
      </c>
      <c r="B76" s="316"/>
    </row>
    <row r="77" spans="1:12" s="314" customFormat="1" hidden="1" x14ac:dyDescent="0.4">
      <c r="A77" s="314" t="s">
        <v>389</v>
      </c>
      <c r="B77" s="316"/>
    </row>
    <row r="79" spans="1:12" x14ac:dyDescent="0.4">
      <c r="B79" s="317"/>
    </row>
    <row r="80" spans="1:12" x14ac:dyDescent="0.4">
      <c r="B80" s="318"/>
    </row>
    <row r="81" spans="2:2" x14ac:dyDescent="0.4">
      <c r="B81" s="317"/>
    </row>
  </sheetData>
  <mergeCells count="4">
    <mergeCell ref="C5:G5"/>
    <mergeCell ref="J5:L5"/>
    <mergeCell ref="A1:M1"/>
    <mergeCell ref="A2:M2"/>
  </mergeCells>
  <phoneticPr fontId="0" type="noConversion"/>
  <printOptions horizontalCentered="1"/>
  <pageMargins left="0.75" right="0.75" top="1" bottom="1" header="0.5" footer="0.5"/>
  <pageSetup scale="66" orientation="portrait" r:id="rId1"/>
  <headerFooter alignWithMargins="0">
    <oddFooter xml:space="preserve">&amp;C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326"/>
  <sheetViews>
    <sheetView view="pageBreakPreview" zoomScaleNormal="100" zoomScaleSheetLayoutView="100" workbookViewId="0">
      <pane xSplit="1" ySplit="1" topLeftCell="B2" activePane="bottomRight" state="frozen"/>
      <selection pane="topRight" activeCell="B1" sqref="B1"/>
      <selection pane="bottomLeft" activeCell="A6" sqref="A6"/>
      <selection pane="bottomRight" activeCell="A2" sqref="A2"/>
    </sheetView>
  </sheetViews>
  <sheetFormatPr defaultRowHeight="13.2" x14ac:dyDescent="0.25"/>
  <cols>
    <col min="1" max="1" width="13.33203125" bestFit="1" customWidth="1"/>
    <col min="2" max="2" width="11.5546875" bestFit="1" customWidth="1"/>
    <col min="3" max="4" width="13.33203125" bestFit="1" customWidth="1"/>
    <col min="5" max="5" width="10.5546875" bestFit="1" customWidth="1"/>
    <col min="6" max="7" width="13.33203125" bestFit="1" customWidth="1"/>
  </cols>
  <sheetData>
    <row r="1" spans="1:9" ht="14.4" x14ac:dyDescent="0.3">
      <c r="B1" s="751" t="s">
        <v>498</v>
      </c>
      <c r="C1" s="752">
        <v>10</v>
      </c>
      <c r="D1" s="753"/>
      <c r="E1" s="754"/>
      <c r="F1" s="755"/>
      <c r="G1" s="753"/>
    </row>
    <row r="2" spans="1:9" ht="14.4" x14ac:dyDescent="0.3">
      <c r="B2" s="751"/>
      <c r="C2" s="771" t="s">
        <v>1148</v>
      </c>
      <c r="D2" s="753"/>
      <c r="E2" s="754"/>
      <c r="F2" s="755"/>
      <c r="G2" s="753"/>
    </row>
    <row r="3" spans="1:9" ht="14.4" x14ac:dyDescent="0.3">
      <c r="B3" s="756" t="s">
        <v>499</v>
      </c>
      <c r="C3" s="754">
        <v>1031244.01</v>
      </c>
      <c r="D3" s="754">
        <v>7288.2</v>
      </c>
      <c r="E3" s="754">
        <v>47592.51</v>
      </c>
      <c r="F3" s="754">
        <v>7712.18</v>
      </c>
      <c r="G3" s="754">
        <f>SUM(C3:F3)-E3</f>
        <v>1046244.3899999999</v>
      </c>
    </row>
    <row r="4" spans="1:9" ht="14.4" x14ac:dyDescent="0.3">
      <c r="C4" s="757">
        <f>+C3-C6</f>
        <v>1041.9510999995982</v>
      </c>
      <c r="D4" s="757">
        <f t="shared" ref="D4:G4" si="0">+D3-D6</f>
        <v>1.0000000011132215E-3</v>
      </c>
      <c r="E4" s="757">
        <f t="shared" si="0"/>
        <v>1.0000000111176632E-3</v>
      </c>
      <c r="F4" s="757">
        <f t="shared" si="0"/>
        <v>848.81900000000223</v>
      </c>
      <c r="G4" s="757">
        <f t="shared" si="0"/>
        <v>1890.7710999997798</v>
      </c>
    </row>
    <row r="5" spans="1:9" ht="14.4" x14ac:dyDescent="0.3">
      <c r="A5" s="758" t="s">
        <v>500</v>
      </c>
      <c r="B5" s="758" t="s">
        <v>501</v>
      </c>
      <c r="C5" s="759" t="s">
        <v>502</v>
      </c>
      <c r="D5" s="759" t="s">
        <v>503</v>
      </c>
      <c r="E5" s="759" t="s">
        <v>393</v>
      </c>
      <c r="F5" s="758" t="s">
        <v>504</v>
      </c>
      <c r="G5" s="759" t="s">
        <v>505</v>
      </c>
      <c r="I5" s="765"/>
    </row>
    <row r="6" spans="1:9" ht="14.4" x14ac:dyDescent="0.25">
      <c r="A6" s="760" t="s">
        <v>506</v>
      </c>
      <c r="B6" s="761" t="s">
        <v>507</v>
      </c>
      <c r="C6" s="774">
        <f>SUM(C7:C327)</f>
        <v>1030202.0589000004</v>
      </c>
      <c r="D6" s="774">
        <f>SUM(D7:D327)</f>
        <v>7288.1989999999987</v>
      </c>
      <c r="E6" s="762">
        <f>SUM(E7:E327)</f>
        <v>47592.508999999991</v>
      </c>
      <c r="F6" s="774">
        <f>SUM(F7:F327)</f>
        <v>6863.3609999999981</v>
      </c>
      <c r="G6" s="774">
        <f>SUM(G7:G327)</f>
        <v>1044353.6189000001</v>
      </c>
      <c r="I6" s="765"/>
    </row>
    <row r="7" spans="1:9" ht="14.4" x14ac:dyDescent="0.3">
      <c r="A7" s="763" t="s">
        <v>1104</v>
      </c>
      <c r="B7" s="764" t="s">
        <v>1105</v>
      </c>
      <c r="C7" s="757">
        <v>58.265999999999998</v>
      </c>
      <c r="D7" s="757">
        <v>0</v>
      </c>
      <c r="E7" s="757">
        <v>1.6</v>
      </c>
      <c r="F7" s="757">
        <v>0</v>
      </c>
      <c r="G7" s="757">
        <f t="shared" ref="G7:G70" si="1">C7+F7+D7</f>
        <v>58.265999999999998</v>
      </c>
      <c r="I7" s="765"/>
    </row>
    <row r="8" spans="1:9" ht="14.4" x14ac:dyDescent="0.3">
      <c r="A8" s="763" t="s">
        <v>530</v>
      </c>
      <c r="B8" s="764" t="s">
        <v>531</v>
      </c>
      <c r="C8" s="757">
        <v>13.3</v>
      </c>
      <c r="D8" s="757">
        <v>0</v>
      </c>
      <c r="E8" s="757">
        <v>0</v>
      </c>
      <c r="F8" s="757">
        <v>0</v>
      </c>
      <c r="G8" s="757">
        <f t="shared" si="1"/>
        <v>13.3</v>
      </c>
      <c r="I8" s="765"/>
    </row>
    <row r="9" spans="1:9" ht="14.4" x14ac:dyDescent="0.3">
      <c r="A9" s="763" t="s">
        <v>890</v>
      </c>
      <c r="B9" s="764" t="s">
        <v>891</v>
      </c>
      <c r="C9" s="757">
        <v>4332.366</v>
      </c>
      <c r="D9" s="757">
        <v>72.38000000000001</v>
      </c>
      <c r="E9" s="757">
        <v>39.599999999999994</v>
      </c>
      <c r="F9" s="757">
        <v>24.2</v>
      </c>
      <c r="G9" s="757">
        <f t="shared" si="1"/>
        <v>4428.9459999999999</v>
      </c>
      <c r="I9" s="765"/>
    </row>
    <row r="10" spans="1:9" ht="14.4" x14ac:dyDescent="0.3">
      <c r="A10" s="763" t="s">
        <v>762</v>
      </c>
      <c r="B10" s="764" t="s">
        <v>763</v>
      </c>
      <c r="C10" s="757">
        <v>168.54500000000002</v>
      </c>
      <c r="D10" s="757">
        <v>2.2000000000000002</v>
      </c>
      <c r="E10" s="757">
        <v>0</v>
      </c>
      <c r="F10" s="757">
        <v>0</v>
      </c>
      <c r="G10" s="757">
        <f t="shared" si="1"/>
        <v>170.745</v>
      </c>
      <c r="I10" s="765"/>
    </row>
    <row r="11" spans="1:9" ht="14.4" x14ac:dyDescent="0.3">
      <c r="A11" s="763" t="s">
        <v>958</v>
      </c>
      <c r="B11" s="764" t="s">
        <v>959</v>
      </c>
      <c r="C11" s="757">
        <v>378.47199999999992</v>
      </c>
      <c r="D11" s="757">
        <v>11.8</v>
      </c>
      <c r="E11" s="757">
        <v>30.597000000000008</v>
      </c>
      <c r="F11" s="757">
        <v>0</v>
      </c>
      <c r="G11" s="757">
        <f t="shared" si="1"/>
        <v>390.27199999999993</v>
      </c>
      <c r="I11" s="765"/>
    </row>
    <row r="12" spans="1:9" ht="14.4" x14ac:dyDescent="0.3">
      <c r="A12" s="763" t="s">
        <v>582</v>
      </c>
      <c r="B12" s="764" t="s">
        <v>583</v>
      </c>
      <c r="C12" s="757">
        <v>2308.1309999999999</v>
      </c>
      <c r="D12" s="757">
        <v>53.3</v>
      </c>
      <c r="E12" s="757">
        <v>187.88399999999996</v>
      </c>
      <c r="F12" s="757">
        <v>5</v>
      </c>
      <c r="G12" s="757">
        <f t="shared" si="1"/>
        <v>2366.431</v>
      </c>
      <c r="I12" s="765"/>
    </row>
    <row r="13" spans="1:9" ht="14.4" x14ac:dyDescent="0.3">
      <c r="A13" s="763" t="s">
        <v>518</v>
      </c>
      <c r="B13" s="764" t="s">
        <v>519</v>
      </c>
      <c r="C13" s="757">
        <v>602.96600000000001</v>
      </c>
      <c r="D13" s="757">
        <v>33.314999999999998</v>
      </c>
      <c r="E13" s="757">
        <v>0</v>
      </c>
      <c r="F13" s="757">
        <v>0</v>
      </c>
      <c r="G13" s="757">
        <f t="shared" si="1"/>
        <v>636.28099999999995</v>
      </c>
      <c r="I13" s="765"/>
    </row>
    <row r="14" spans="1:9" ht="14.4" x14ac:dyDescent="0.3">
      <c r="A14" s="763" t="s">
        <v>732</v>
      </c>
      <c r="B14" s="764" t="s">
        <v>733</v>
      </c>
      <c r="C14" s="757">
        <v>18164.244000000002</v>
      </c>
      <c r="D14" s="757">
        <v>32.1</v>
      </c>
      <c r="E14" s="757">
        <v>573.495</v>
      </c>
      <c r="F14" s="757">
        <v>127.7</v>
      </c>
      <c r="G14" s="757">
        <f t="shared" si="1"/>
        <v>18324.044000000002</v>
      </c>
      <c r="I14" s="765"/>
    </row>
    <row r="15" spans="1:9" ht="14.4" x14ac:dyDescent="0.3">
      <c r="A15" s="763" t="s">
        <v>902</v>
      </c>
      <c r="B15" s="764" t="s">
        <v>903</v>
      </c>
      <c r="C15" s="757">
        <v>136</v>
      </c>
      <c r="D15" s="757">
        <v>0</v>
      </c>
      <c r="E15" s="757">
        <v>0</v>
      </c>
      <c r="F15" s="757">
        <v>0</v>
      </c>
      <c r="G15" s="757">
        <f t="shared" si="1"/>
        <v>136</v>
      </c>
      <c r="I15" s="765"/>
    </row>
    <row r="16" spans="1:9" ht="14.4" x14ac:dyDescent="0.3">
      <c r="A16" s="763" t="s">
        <v>738</v>
      </c>
      <c r="B16" s="764" t="s">
        <v>739</v>
      </c>
      <c r="C16" s="757">
        <v>1258.047</v>
      </c>
      <c r="D16" s="757">
        <v>13.9</v>
      </c>
      <c r="E16" s="757">
        <v>0</v>
      </c>
      <c r="F16" s="757">
        <v>7.6</v>
      </c>
      <c r="G16" s="757">
        <f t="shared" si="1"/>
        <v>1279.547</v>
      </c>
      <c r="I16" s="765"/>
    </row>
    <row r="17" spans="1:9" ht="14.4" x14ac:dyDescent="0.3">
      <c r="A17" s="763" t="s">
        <v>670</v>
      </c>
      <c r="B17" s="764" t="s">
        <v>671</v>
      </c>
      <c r="C17" s="757">
        <v>836.23799999999994</v>
      </c>
      <c r="D17" s="757">
        <v>0</v>
      </c>
      <c r="E17" s="757">
        <v>4.6829999999999998</v>
      </c>
      <c r="F17" s="757">
        <v>2.8</v>
      </c>
      <c r="G17" s="757">
        <f t="shared" si="1"/>
        <v>839.0379999999999</v>
      </c>
      <c r="I17" s="765"/>
    </row>
    <row r="18" spans="1:9" ht="14.4" x14ac:dyDescent="0.3">
      <c r="A18" s="763" t="s">
        <v>922</v>
      </c>
      <c r="B18" s="764" t="s">
        <v>923</v>
      </c>
      <c r="C18" s="757">
        <v>2299.2809999999999</v>
      </c>
      <c r="D18" s="757">
        <v>52.7</v>
      </c>
      <c r="E18" s="757">
        <v>43</v>
      </c>
      <c r="F18" s="757">
        <v>60</v>
      </c>
      <c r="G18" s="757">
        <f t="shared" si="1"/>
        <v>2411.9809999999998</v>
      </c>
      <c r="I18" s="765"/>
    </row>
    <row r="19" spans="1:9" ht="14.4" x14ac:dyDescent="0.3">
      <c r="A19" s="763" t="s">
        <v>954</v>
      </c>
      <c r="B19" s="764" t="s">
        <v>955</v>
      </c>
      <c r="C19" s="757">
        <v>13452.516</v>
      </c>
      <c r="D19" s="757">
        <v>0</v>
      </c>
      <c r="E19" s="757">
        <v>1179.6060000000002</v>
      </c>
      <c r="F19" s="757">
        <v>85.85</v>
      </c>
      <c r="G19" s="757">
        <f t="shared" si="1"/>
        <v>13538.366</v>
      </c>
      <c r="I19" s="765"/>
    </row>
    <row r="20" spans="1:9" ht="14.4" x14ac:dyDescent="0.3">
      <c r="A20" s="763" t="s">
        <v>782</v>
      </c>
      <c r="B20" s="764" t="s">
        <v>783</v>
      </c>
      <c r="C20" s="757">
        <v>599.67399999999998</v>
      </c>
      <c r="D20" s="757">
        <v>18.805</v>
      </c>
      <c r="E20" s="757">
        <v>0</v>
      </c>
      <c r="F20" s="757">
        <v>0</v>
      </c>
      <c r="G20" s="757">
        <f t="shared" si="1"/>
        <v>618.47899999999993</v>
      </c>
      <c r="I20" s="765"/>
    </row>
    <row r="21" spans="1:9" ht="14.4" x14ac:dyDescent="0.3">
      <c r="A21" s="763" t="s">
        <v>1026</v>
      </c>
      <c r="B21" s="764" t="s">
        <v>1027</v>
      </c>
      <c r="C21" s="757">
        <v>11.744</v>
      </c>
      <c r="D21" s="757">
        <v>0</v>
      </c>
      <c r="E21" s="757">
        <v>0</v>
      </c>
      <c r="F21" s="757">
        <v>0</v>
      </c>
      <c r="G21" s="757">
        <f t="shared" si="1"/>
        <v>11.744</v>
      </c>
      <c r="I21" s="765"/>
    </row>
    <row r="22" spans="1:9" ht="14.4" x14ac:dyDescent="0.3">
      <c r="A22" s="763" t="s">
        <v>650</v>
      </c>
      <c r="B22" s="764" t="s">
        <v>651</v>
      </c>
      <c r="C22" s="757">
        <v>396.23900000000003</v>
      </c>
      <c r="D22" s="757">
        <v>0</v>
      </c>
      <c r="E22" s="757">
        <v>0</v>
      </c>
      <c r="F22" s="757">
        <v>0</v>
      </c>
      <c r="G22" s="757">
        <f t="shared" si="1"/>
        <v>396.23900000000003</v>
      </c>
      <c r="I22" s="765"/>
    </row>
    <row r="23" spans="1:9" ht="14.4" x14ac:dyDescent="0.3">
      <c r="A23" s="763" t="s">
        <v>750</v>
      </c>
      <c r="B23" s="764" t="s">
        <v>751</v>
      </c>
      <c r="C23" s="757">
        <v>1224.095</v>
      </c>
      <c r="D23" s="757">
        <v>0</v>
      </c>
      <c r="E23" s="757">
        <v>37.107999999999997</v>
      </c>
      <c r="F23" s="757">
        <v>0</v>
      </c>
      <c r="G23" s="757">
        <f t="shared" si="1"/>
        <v>1224.095</v>
      </c>
      <c r="I23" s="765"/>
    </row>
    <row r="24" spans="1:9" ht="14.4" x14ac:dyDescent="0.3">
      <c r="A24" s="763" t="s">
        <v>558</v>
      </c>
      <c r="B24" s="764" t="s">
        <v>559</v>
      </c>
      <c r="C24" s="757">
        <v>1573.1739999999995</v>
      </c>
      <c r="D24" s="757">
        <v>0</v>
      </c>
      <c r="E24" s="757">
        <v>0</v>
      </c>
      <c r="F24" s="757">
        <v>0</v>
      </c>
      <c r="G24" s="757">
        <f t="shared" si="1"/>
        <v>1573.1739999999995</v>
      </c>
      <c r="I24" s="765"/>
    </row>
    <row r="25" spans="1:9" ht="14.4" x14ac:dyDescent="0.3">
      <c r="A25" s="763" t="s">
        <v>556</v>
      </c>
      <c r="B25" s="764" t="s">
        <v>557</v>
      </c>
      <c r="C25" s="757">
        <v>1150.8470000000002</v>
      </c>
      <c r="D25" s="757">
        <v>16.75</v>
      </c>
      <c r="E25" s="757">
        <v>36.677</v>
      </c>
      <c r="F25" s="757">
        <v>0</v>
      </c>
      <c r="G25" s="757">
        <f t="shared" si="1"/>
        <v>1167.5970000000002</v>
      </c>
      <c r="I25" s="765"/>
    </row>
    <row r="26" spans="1:9" ht="14.4" x14ac:dyDescent="0.3">
      <c r="A26" s="763" t="s">
        <v>1110</v>
      </c>
      <c r="B26" s="764" t="s">
        <v>1111</v>
      </c>
      <c r="C26" s="757">
        <v>6476.2929999999997</v>
      </c>
      <c r="D26" s="757">
        <v>59.847000000000001</v>
      </c>
      <c r="E26" s="757">
        <v>347.58499999999998</v>
      </c>
      <c r="F26" s="757">
        <v>87.99199999999999</v>
      </c>
      <c r="G26" s="757">
        <f t="shared" si="1"/>
        <v>6624.1319999999996</v>
      </c>
      <c r="I26" s="765"/>
    </row>
    <row r="27" spans="1:9" ht="14.4" x14ac:dyDescent="0.3">
      <c r="A27" s="768" t="s">
        <v>908</v>
      </c>
      <c r="B27" s="766" t="s">
        <v>909</v>
      </c>
      <c r="C27" s="757">
        <v>222.8</v>
      </c>
      <c r="D27" s="757">
        <v>0</v>
      </c>
      <c r="E27" s="757">
        <v>0</v>
      </c>
      <c r="F27" s="757">
        <v>0</v>
      </c>
      <c r="G27" s="757">
        <f t="shared" si="1"/>
        <v>222.8</v>
      </c>
      <c r="I27" s="765"/>
    </row>
    <row r="28" spans="1:9" ht="14.4" x14ac:dyDescent="0.3">
      <c r="A28" s="763" t="s">
        <v>914</v>
      </c>
      <c r="B28" s="764" t="s">
        <v>915</v>
      </c>
      <c r="C28" s="757">
        <v>3281.3309999999997</v>
      </c>
      <c r="D28" s="757">
        <v>29.3</v>
      </c>
      <c r="E28" s="757">
        <v>339.30200000000002</v>
      </c>
      <c r="F28" s="757">
        <v>0</v>
      </c>
      <c r="G28" s="757">
        <f t="shared" si="1"/>
        <v>3310.6309999999999</v>
      </c>
      <c r="I28" s="765"/>
    </row>
    <row r="29" spans="1:9" ht="14.4" x14ac:dyDescent="0.3">
      <c r="A29" s="763" t="s">
        <v>610</v>
      </c>
      <c r="B29" s="764" t="s">
        <v>611</v>
      </c>
      <c r="C29" s="757">
        <v>361.78500000000003</v>
      </c>
      <c r="D29" s="757">
        <v>0</v>
      </c>
      <c r="E29" s="757">
        <v>152.49999999999997</v>
      </c>
      <c r="F29" s="757">
        <v>0</v>
      </c>
      <c r="G29" s="757">
        <f t="shared" si="1"/>
        <v>361.78500000000003</v>
      </c>
      <c r="I29" s="765"/>
    </row>
    <row r="30" spans="1:9" ht="14.4" x14ac:dyDescent="0.3">
      <c r="A30" s="763" t="s">
        <v>986</v>
      </c>
      <c r="B30" s="764" t="s">
        <v>987</v>
      </c>
      <c r="C30" s="757">
        <v>2495.4349999999999</v>
      </c>
      <c r="D30" s="757">
        <v>0</v>
      </c>
      <c r="E30" s="757">
        <v>248.54400000000001</v>
      </c>
      <c r="F30" s="757">
        <v>0</v>
      </c>
      <c r="G30" s="757">
        <f t="shared" si="1"/>
        <v>2495.4349999999999</v>
      </c>
      <c r="I30" s="765"/>
    </row>
    <row r="31" spans="1:9" ht="14.4" x14ac:dyDescent="0.3">
      <c r="A31" s="763" t="s">
        <v>552</v>
      </c>
      <c r="B31" s="764" t="s">
        <v>553</v>
      </c>
      <c r="C31" s="757">
        <v>464.02799999999996</v>
      </c>
      <c r="D31" s="757">
        <v>0</v>
      </c>
      <c r="E31" s="757">
        <v>0</v>
      </c>
      <c r="F31" s="757">
        <v>0</v>
      </c>
      <c r="G31" s="757">
        <f t="shared" si="1"/>
        <v>464.02799999999996</v>
      </c>
      <c r="I31" s="765"/>
    </row>
    <row r="32" spans="1:9" ht="14.4" x14ac:dyDescent="0.3">
      <c r="A32" s="763" t="s">
        <v>934</v>
      </c>
      <c r="B32" s="764" t="s">
        <v>935</v>
      </c>
      <c r="C32" s="757">
        <v>3838.9759999999997</v>
      </c>
      <c r="D32" s="757">
        <v>16.100000000000001</v>
      </c>
      <c r="E32" s="757">
        <v>3043.6299999999997</v>
      </c>
      <c r="F32" s="757">
        <v>6.3</v>
      </c>
      <c r="G32" s="757">
        <f t="shared" si="1"/>
        <v>3861.3759999999997</v>
      </c>
      <c r="I32" s="765"/>
    </row>
    <row r="33" spans="1:9" ht="14.4" x14ac:dyDescent="0.3">
      <c r="A33" s="768" t="s">
        <v>932</v>
      </c>
      <c r="B33" s="766" t="s">
        <v>933</v>
      </c>
      <c r="C33" s="757">
        <v>107.89500000000001</v>
      </c>
      <c r="D33" s="757">
        <v>0</v>
      </c>
      <c r="E33" s="757">
        <v>0</v>
      </c>
      <c r="F33" s="757">
        <v>0</v>
      </c>
      <c r="G33" s="757">
        <f t="shared" si="1"/>
        <v>107.89500000000001</v>
      </c>
      <c r="I33" s="765"/>
    </row>
    <row r="34" spans="1:9" ht="14.4" x14ac:dyDescent="0.3">
      <c r="A34" s="763" t="s">
        <v>1084</v>
      </c>
      <c r="B34" s="764" t="s">
        <v>1085</v>
      </c>
      <c r="C34" s="757">
        <v>20338.310999999998</v>
      </c>
      <c r="D34" s="757">
        <v>237.38499999999999</v>
      </c>
      <c r="E34" s="757">
        <v>711.40200000000004</v>
      </c>
      <c r="F34" s="757">
        <v>274.10000000000002</v>
      </c>
      <c r="G34" s="757">
        <f t="shared" si="1"/>
        <v>20849.795999999995</v>
      </c>
      <c r="I34" s="765"/>
    </row>
    <row r="35" spans="1:9" ht="14.4" x14ac:dyDescent="0.3">
      <c r="A35" s="763" t="s">
        <v>704</v>
      </c>
      <c r="B35" s="764" t="s">
        <v>705</v>
      </c>
      <c r="C35" s="757">
        <v>1943.1260000000002</v>
      </c>
      <c r="D35" s="757">
        <v>68.180999999999997</v>
      </c>
      <c r="E35" s="757">
        <v>24.791000000000004</v>
      </c>
      <c r="F35" s="757">
        <v>1.6</v>
      </c>
      <c r="G35" s="757">
        <f t="shared" si="1"/>
        <v>2012.9070000000002</v>
      </c>
      <c r="I35" s="765"/>
    </row>
    <row r="36" spans="1:9" ht="14.4" x14ac:dyDescent="0.3">
      <c r="A36" s="763" t="s">
        <v>746</v>
      </c>
      <c r="B36" s="764" t="s">
        <v>747</v>
      </c>
      <c r="C36" s="757">
        <v>1741.739</v>
      </c>
      <c r="D36" s="757">
        <v>0</v>
      </c>
      <c r="E36" s="757">
        <v>37.249000000000002</v>
      </c>
      <c r="F36" s="757">
        <v>6</v>
      </c>
      <c r="G36" s="757">
        <f t="shared" si="1"/>
        <v>1747.739</v>
      </c>
      <c r="I36" s="765"/>
    </row>
    <row r="37" spans="1:9" ht="14.4" x14ac:dyDescent="0.3">
      <c r="A37" s="763" t="s">
        <v>694</v>
      </c>
      <c r="B37" s="764" t="s">
        <v>695</v>
      </c>
      <c r="C37" s="757">
        <v>163.73599999999999</v>
      </c>
      <c r="D37" s="757">
        <v>0</v>
      </c>
      <c r="E37" s="757">
        <v>0</v>
      </c>
      <c r="F37" s="757">
        <v>0</v>
      </c>
      <c r="G37" s="757">
        <f t="shared" si="1"/>
        <v>163.73599999999999</v>
      </c>
      <c r="I37" s="765"/>
    </row>
    <row r="38" spans="1:9" ht="14.4" x14ac:dyDescent="0.3">
      <c r="A38" s="763" t="s">
        <v>1102</v>
      </c>
      <c r="B38" s="764" t="s">
        <v>1103</v>
      </c>
      <c r="C38" s="757">
        <v>2472.0909999999994</v>
      </c>
      <c r="D38" s="757">
        <v>79.079000000000008</v>
      </c>
      <c r="E38" s="757">
        <v>26.839999999999996</v>
      </c>
      <c r="F38" s="757">
        <v>4.5999999999999996</v>
      </c>
      <c r="G38" s="757">
        <f t="shared" si="1"/>
        <v>2555.7699999999995</v>
      </c>
      <c r="I38" s="765"/>
    </row>
    <row r="39" spans="1:9" ht="14.4" x14ac:dyDescent="0.3">
      <c r="A39" s="763" t="s">
        <v>660</v>
      </c>
      <c r="B39" s="764" t="s">
        <v>661</v>
      </c>
      <c r="C39" s="757">
        <v>21356.016000000007</v>
      </c>
      <c r="D39" s="757">
        <v>90.022000000000006</v>
      </c>
      <c r="E39" s="757">
        <v>455.73400000000004</v>
      </c>
      <c r="F39" s="757">
        <v>193.9</v>
      </c>
      <c r="G39" s="757">
        <f t="shared" si="1"/>
        <v>21639.938000000009</v>
      </c>
      <c r="I39" s="765"/>
    </row>
    <row r="40" spans="1:9" ht="14.4" x14ac:dyDescent="0.3">
      <c r="A40" s="763" t="s">
        <v>550</v>
      </c>
      <c r="B40" s="764" t="s">
        <v>551</v>
      </c>
      <c r="C40" s="757">
        <v>6871.7719999999999</v>
      </c>
      <c r="D40" s="757">
        <v>16.100000000000001</v>
      </c>
      <c r="E40" s="757">
        <v>188.18800000000002</v>
      </c>
      <c r="F40" s="757">
        <v>6.8</v>
      </c>
      <c r="G40" s="757">
        <f t="shared" si="1"/>
        <v>6894.6720000000005</v>
      </c>
      <c r="I40" s="765"/>
    </row>
    <row r="41" spans="1:9" ht="14.4" x14ac:dyDescent="0.3">
      <c r="A41" s="763" t="s">
        <v>524</v>
      </c>
      <c r="B41" s="764" t="s">
        <v>525</v>
      </c>
      <c r="C41" s="757">
        <v>12097.647999999997</v>
      </c>
      <c r="D41" s="757">
        <v>119.42</v>
      </c>
      <c r="E41" s="757">
        <v>2036.9180000000001</v>
      </c>
      <c r="F41" s="757">
        <v>36</v>
      </c>
      <c r="G41" s="757">
        <f t="shared" si="1"/>
        <v>12253.067999999997</v>
      </c>
      <c r="I41" s="765"/>
    </row>
    <row r="42" spans="1:9" ht="14.4" x14ac:dyDescent="0.3">
      <c r="A42" s="763" t="s">
        <v>956</v>
      </c>
      <c r="B42" s="764" t="s">
        <v>957</v>
      </c>
      <c r="C42" s="757">
        <v>4046.8820000000001</v>
      </c>
      <c r="D42" s="757">
        <v>0</v>
      </c>
      <c r="E42" s="757">
        <v>182.35399999999998</v>
      </c>
      <c r="F42" s="757">
        <v>7.2</v>
      </c>
      <c r="G42" s="757">
        <f t="shared" si="1"/>
        <v>4054.0819999999999</v>
      </c>
      <c r="I42" s="765"/>
    </row>
    <row r="43" spans="1:9" ht="14.4" x14ac:dyDescent="0.3">
      <c r="A43" s="768" t="s">
        <v>968</v>
      </c>
      <c r="B43" s="766" t="s">
        <v>969</v>
      </c>
      <c r="C43" s="757">
        <v>53.690999999999995</v>
      </c>
      <c r="D43" s="757">
        <v>0</v>
      </c>
      <c r="E43" s="757">
        <v>0</v>
      </c>
      <c r="F43" s="757">
        <v>0</v>
      </c>
      <c r="G43" s="757">
        <f t="shared" si="1"/>
        <v>53.690999999999995</v>
      </c>
      <c r="I43" s="765"/>
    </row>
    <row r="44" spans="1:9" ht="14.4" x14ac:dyDescent="0.3">
      <c r="A44" s="763" t="s">
        <v>624</v>
      </c>
      <c r="B44" s="764" t="s">
        <v>625</v>
      </c>
      <c r="C44" s="757">
        <v>326.98600000000005</v>
      </c>
      <c r="D44" s="757">
        <v>0</v>
      </c>
      <c r="E44" s="757">
        <v>0</v>
      </c>
      <c r="F44" s="757">
        <v>12.6</v>
      </c>
      <c r="G44" s="757">
        <f t="shared" si="1"/>
        <v>339.58600000000007</v>
      </c>
      <c r="I44" s="765"/>
    </row>
    <row r="45" spans="1:9" ht="14.4" x14ac:dyDescent="0.3">
      <c r="A45" s="763" t="s">
        <v>1024</v>
      </c>
      <c r="B45" s="764" t="s">
        <v>1025</v>
      </c>
      <c r="C45" s="757">
        <v>783.79800000000012</v>
      </c>
      <c r="D45" s="757">
        <v>3.6</v>
      </c>
      <c r="E45" s="757">
        <v>762.79800000000012</v>
      </c>
      <c r="F45" s="757">
        <v>0</v>
      </c>
      <c r="G45" s="757">
        <f t="shared" si="1"/>
        <v>787.39800000000014</v>
      </c>
      <c r="I45" s="765"/>
    </row>
    <row r="46" spans="1:9" ht="14.4" x14ac:dyDescent="0.3">
      <c r="A46" s="763" t="s">
        <v>764</v>
      </c>
      <c r="B46" s="764" t="s">
        <v>765</v>
      </c>
      <c r="C46" s="757">
        <v>5953.8649999999998</v>
      </c>
      <c r="D46" s="757">
        <v>127.39099999999999</v>
      </c>
      <c r="E46" s="757">
        <v>101.60600000000001</v>
      </c>
      <c r="F46" s="757">
        <v>66.160000000000011</v>
      </c>
      <c r="G46" s="757">
        <f t="shared" si="1"/>
        <v>6147.4159999999993</v>
      </c>
      <c r="I46" s="765"/>
    </row>
    <row r="47" spans="1:9" ht="14.4" x14ac:dyDescent="0.3">
      <c r="A47" s="763" t="s">
        <v>1070</v>
      </c>
      <c r="B47" s="764" t="s">
        <v>1071</v>
      </c>
      <c r="C47" s="757">
        <v>628.27299999999991</v>
      </c>
      <c r="D47" s="757">
        <v>0</v>
      </c>
      <c r="E47" s="757">
        <v>11.656000000000001</v>
      </c>
      <c r="F47" s="757">
        <v>0</v>
      </c>
      <c r="G47" s="757">
        <f t="shared" si="1"/>
        <v>628.27299999999991</v>
      </c>
      <c r="I47" s="765"/>
    </row>
    <row r="48" spans="1:9" ht="14.4" x14ac:dyDescent="0.3">
      <c r="A48" s="763" t="s">
        <v>560</v>
      </c>
      <c r="B48" s="764" t="s">
        <v>561</v>
      </c>
      <c r="C48" s="757">
        <v>1377.4720000000002</v>
      </c>
      <c r="D48" s="757">
        <v>0</v>
      </c>
      <c r="E48" s="757">
        <v>19.765999999999998</v>
      </c>
      <c r="F48" s="757">
        <v>0</v>
      </c>
      <c r="G48" s="757">
        <f t="shared" si="1"/>
        <v>1377.4720000000002</v>
      </c>
      <c r="I48" s="765"/>
    </row>
    <row r="49" spans="1:9" ht="14.4" x14ac:dyDescent="0.3">
      <c r="A49" s="763" t="s">
        <v>726</v>
      </c>
      <c r="B49" s="764" t="s">
        <v>727</v>
      </c>
      <c r="C49" s="757">
        <v>1049.1609999999996</v>
      </c>
      <c r="D49" s="757">
        <v>35.601999999999997</v>
      </c>
      <c r="E49" s="757">
        <v>25.824999999999999</v>
      </c>
      <c r="F49" s="757">
        <v>1.9</v>
      </c>
      <c r="G49" s="757">
        <f t="shared" si="1"/>
        <v>1086.6629999999998</v>
      </c>
      <c r="I49" s="765"/>
    </row>
    <row r="50" spans="1:9" ht="14.4" x14ac:dyDescent="0.3">
      <c r="A50" s="763" t="s">
        <v>1138</v>
      </c>
      <c r="B50" s="764" t="s">
        <v>1139</v>
      </c>
      <c r="C50" s="757">
        <v>2290.8110000000001</v>
      </c>
      <c r="D50" s="757">
        <v>0</v>
      </c>
      <c r="E50" s="757">
        <v>127.19200000000004</v>
      </c>
      <c r="F50" s="757">
        <v>14.484</v>
      </c>
      <c r="G50" s="757">
        <f t="shared" si="1"/>
        <v>2305.2950000000001</v>
      </c>
      <c r="I50" s="765"/>
    </row>
    <row r="51" spans="1:9" ht="14.4" x14ac:dyDescent="0.3">
      <c r="A51" s="763" t="s">
        <v>730</v>
      </c>
      <c r="B51" s="764" t="s">
        <v>731</v>
      </c>
      <c r="C51" s="757">
        <v>4778.8009999999995</v>
      </c>
      <c r="D51" s="757">
        <v>155.40200000000002</v>
      </c>
      <c r="E51" s="757">
        <v>256.899</v>
      </c>
      <c r="F51" s="757">
        <v>11.124000000000001</v>
      </c>
      <c r="G51" s="757">
        <f t="shared" si="1"/>
        <v>4945.3269999999993</v>
      </c>
      <c r="I51" s="765"/>
    </row>
    <row r="52" spans="1:9" ht="14.4" x14ac:dyDescent="0.3">
      <c r="A52" s="763" t="s">
        <v>884</v>
      </c>
      <c r="B52" s="764" t="s">
        <v>885</v>
      </c>
      <c r="C52" s="757">
        <v>108</v>
      </c>
      <c r="D52" s="757">
        <v>0</v>
      </c>
      <c r="E52" s="757">
        <v>0</v>
      </c>
      <c r="F52" s="757">
        <v>0</v>
      </c>
      <c r="G52" s="757">
        <f t="shared" si="1"/>
        <v>108</v>
      </c>
      <c r="I52" s="765"/>
    </row>
    <row r="53" spans="1:9" ht="14.4" x14ac:dyDescent="0.3">
      <c r="A53" s="763" t="s">
        <v>544</v>
      </c>
      <c r="B53" s="764" t="s">
        <v>545</v>
      </c>
      <c r="C53" s="757">
        <v>723.5680000000001</v>
      </c>
      <c r="D53" s="757">
        <v>26.082000000000001</v>
      </c>
      <c r="E53" s="757">
        <v>29.7</v>
      </c>
      <c r="F53" s="757">
        <v>0</v>
      </c>
      <c r="G53" s="757">
        <f t="shared" si="1"/>
        <v>749.65000000000009</v>
      </c>
      <c r="I53" s="765"/>
    </row>
    <row r="54" spans="1:9" ht="14.4" x14ac:dyDescent="0.3">
      <c r="A54" s="763" t="s">
        <v>892</v>
      </c>
      <c r="B54" s="764" t="s">
        <v>893</v>
      </c>
      <c r="C54" s="757">
        <v>30.1</v>
      </c>
      <c r="D54" s="757">
        <v>1</v>
      </c>
      <c r="E54" s="757">
        <v>0</v>
      </c>
      <c r="F54" s="757">
        <v>0</v>
      </c>
      <c r="G54" s="757">
        <f t="shared" si="1"/>
        <v>31.1</v>
      </c>
      <c r="I54" s="765"/>
    </row>
    <row r="55" spans="1:9" ht="14.4" x14ac:dyDescent="0.3">
      <c r="A55" s="763" t="s">
        <v>636</v>
      </c>
      <c r="B55" s="764" t="s">
        <v>637</v>
      </c>
      <c r="C55" s="757">
        <v>5557.2579999999998</v>
      </c>
      <c r="D55" s="757">
        <v>70.099999999999994</v>
      </c>
      <c r="E55" s="757">
        <v>173.20000000000002</v>
      </c>
      <c r="F55" s="757">
        <v>0</v>
      </c>
      <c r="G55" s="757">
        <f t="shared" si="1"/>
        <v>5627.3580000000002</v>
      </c>
      <c r="I55" s="765"/>
    </row>
    <row r="56" spans="1:9" ht="14.4" x14ac:dyDescent="0.3">
      <c r="A56" s="763" t="s">
        <v>780</v>
      </c>
      <c r="B56" s="764" t="s">
        <v>781</v>
      </c>
      <c r="C56" s="757">
        <v>96.774999999999991</v>
      </c>
      <c r="D56" s="757">
        <v>0</v>
      </c>
      <c r="E56" s="757">
        <v>0</v>
      </c>
      <c r="F56" s="757">
        <v>0</v>
      </c>
      <c r="G56" s="757">
        <f t="shared" si="1"/>
        <v>96.774999999999991</v>
      </c>
      <c r="I56" s="765"/>
    </row>
    <row r="57" spans="1:9" ht="14.4" x14ac:dyDescent="0.3">
      <c r="A57" s="763" t="s">
        <v>1106</v>
      </c>
      <c r="B57" s="764" t="s">
        <v>1107</v>
      </c>
      <c r="C57" s="757">
        <v>236.16400000000004</v>
      </c>
      <c r="D57" s="757">
        <v>18.5</v>
      </c>
      <c r="E57" s="757">
        <v>0</v>
      </c>
      <c r="F57" s="757">
        <v>0</v>
      </c>
      <c r="G57" s="757">
        <f t="shared" si="1"/>
        <v>254.66400000000004</v>
      </c>
      <c r="I57" s="765"/>
    </row>
    <row r="58" spans="1:9" ht="14.4" x14ac:dyDescent="0.3">
      <c r="A58" s="763" t="s">
        <v>728</v>
      </c>
      <c r="B58" s="764" t="s">
        <v>729</v>
      </c>
      <c r="C58" s="757">
        <v>37.4</v>
      </c>
      <c r="D58" s="757">
        <v>0</v>
      </c>
      <c r="E58" s="757">
        <v>0</v>
      </c>
      <c r="F58" s="757">
        <v>0</v>
      </c>
      <c r="G58" s="757">
        <f t="shared" si="1"/>
        <v>37.4</v>
      </c>
      <c r="I58" s="765"/>
    </row>
    <row r="59" spans="1:9" ht="14.4" x14ac:dyDescent="0.3">
      <c r="A59" s="763" t="s">
        <v>614</v>
      </c>
      <c r="B59" s="764" t="s">
        <v>615</v>
      </c>
      <c r="C59" s="757">
        <v>205.22600000000003</v>
      </c>
      <c r="D59" s="757">
        <v>0</v>
      </c>
      <c r="E59" s="757">
        <v>31.661000000000001</v>
      </c>
      <c r="F59" s="757">
        <v>62.5</v>
      </c>
      <c r="G59" s="757">
        <f t="shared" si="1"/>
        <v>267.726</v>
      </c>
      <c r="I59" s="765"/>
    </row>
    <row r="60" spans="1:9" ht="14.4" x14ac:dyDescent="0.3">
      <c r="A60" s="763" t="s">
        <v>882</v>
      </c>
      <c r="B60" s="764" t="s">
        <v>883</v>
      </c>
      <c r="C60" s="757">
        <v>43.059999999999995</v>
      </c>
      <c r="D60" s="757">
        <v>0</v>
      </c>
      <c r="E60" s="757">
        <v>0</v>
      </c>
      <c r="F60" s="757">
        <v>0</v>
      </c>
      <c r="G60" s="757">
        <f t="shared" si="1"/>
        <v>43.059999999999995</v>
      </c>
      <c r="I60" s="765"/>
    </row>
    <row r="61" spans="1:9" ht="14.4" x14ac:dyDescent="0.3">
      <c r="A61" s="763" t="s">
        <v>718</v>
      </c>
      <c r="B61" s="764" t="s">
        <v>719</v>
      </c>
      <c r="C61" s="757">
        <v>176.852</v>
      </c>
      <c r="D61" s="757">
        <v>0</v>
      </c>
      <c r="E61" s="757">
        <v>0</v>
      </c>
      <c r="F61" s="757">
        <v>0</v>
      </c>
      <c r="G61" s="757">
        <f t="shared" si="1"/>
        <v>176.852</v>
      </c>
      <c r="I61" s="765"/>
    </row>
    <row r="62" spans="1:9" ht="14.4" x14ac:dyDescent="0.3">
      <c r="A62" s="763" t="s">
        <v>952</v>
      </c>
      <c r="B62" s="764" t="s">
        <v>953</v>
      </c>
      <c r="C62" s="757">
        <v>502.90699999999998</v>
      </c>
      <c r="D62" s="757">
        <v>0</v>
      </c>
      <c r="E62" s="757">
        <v>187.94</v>
      </c>
      <c r="F62" s="757">
        <v>0</v>
      </c>
      <c r="G62" s="757">
        <f t="shared" si="1"/>
        <v>502.90699999999998</v>
      </c>
      <c r="I62" s="765"/>
    </row>
    <row r="63" spans="1:9" ht="14.4" x14ac:dyDescent="0.3">
      <c r="A63" s="763" t="s">
        <v>898</v>
      </c>
      <c r="B63" s="764" t="s">
        <v>899</v>
      </c>
      <c r="C63" s="757">
        <v>17586.675999999999</v>
      </c>
      <c r="D63" s="757">
        <v>84.6</v>
      </c>
      <c r="E63" s="757">
        <v>230.57</v>
      </c>
      <c r="F63" s="757">
        <v>66.097000000000008</v>
      </c>
      <c r="G63" s="757">
        <f t="shared" si="1"/>
        <v>17737.373</v>
      </c>
      <c r="I63" s="765"/>
    </row>
    <row r="64" spans="1:9" ht="14.4" x14ac:dyDescent="0.3">
      <c r="A64" s="763" t="s">
        <v>842</v>
      </c>
      <c r="B64" s="764" t="s">
        <v>843</v>
      </c>
      <c r="C64" s="757">
        <v>1961.9290000000001</v>
      </c>
      <c r="D64" s="757">
        <v>14.4</v>
      </c>
      <c r="E64" s="757">
        <v>47.782000000000004</v>
      </c>
      <c r="F64" s="757">
        <v>12.5</v>
      </c>
      <c r="G64" s="757">
        <f t="shared" si="1"/>
        <v>1988.8290000000002</v>
      </c>
      <c r="I64" s="765"/>
    </row>
    <row r="65" spans="1:9" ht="14.4" x14ac:dyDescent="0.3">
      <c r="A65" s="763" t="s">
        <v>1022</v>
      </c>
      <c r="B65" s="764" t="s">
        <v>1023</v>
      </c>
      <c r="C65" s="757">
        <v>13</v>
      </c>
      <c r="D65" s="757">
        <v>0</v>
      </c>
      <c r="E65" s="757">
        <v>0</v>
      </c>
      <c r="F65" s="757">
        <v>0</v>
      </c>
      <c r="G65" s="757">
        <f t="shared" si="1"/>
        <v>13</v>
      </c>
      <c r="I65" s="765"/>
    </row>
    <row r="66" spans="1:9" ht="14.4" x14ac:dyDescent="0.3">
      <c r="A66" s="763" t="s">
        <v>724</v>
      </c>
      <c r="B66" s="764" t="s">
        <v>725</v>
      </c>
      <c r="C66" s="757">
        <v>54.6</v>
      </c>
      <c r="D66" s="757">
        <v>0</v>
      </c>
      <c r="E66" s="757">
        <v>0</v>
      </c>
      <c r="F66" s="757">
        <v>0</v>
      </c>
      <c r="G66" s="757">
        <f t="shared" si="1"/>
        <v>54.6</v>
      </c>
      <c r="I66" s="765"/>
    </row>
    <row r="67" spans="1:9" ht="14.4" x14ac:dyDescent="0.3">
      <c r="A67" s="763" t="s">
        <v>912</v>
      </c>
      <c r="B67" s="764" t="s">
        <v>913</v>
      </c>
      <c r="C67" s="757">
        <v>315.14099999999996</v>
      </c>
      <c r="D67" s="757">
        <v>20</v>
      </c>
      <c r="E67" s="757">
        <v>0</v>
      </c>
      <c r="F67" s="757">
        <v>0</v>
      </c>
      <c r="G67" s="757">
        <f t="shared" si="1"/>
        <v>335.14099999999996</v>
      </c>
      <c r="I67" s="765"/>
    </row>
    <row r="68" spans="1:9" ht="14.4" x14ac:dyDescent="0.3">
      <c r="A68" s="763" t="s">
        <v>1092</v>
      </c>
      <c r="B68" s="764" t="s">
        <v>1093</v>
      </c>
      <c r="C68" s="757">
        <v>2227.9669999999996</v>
      </c>
      <c r="D68" s="757">
        <v>37</v>
      </c>
      <c r="E68" s="757">
        <v>37.308000000000007</v>
      </c>
      <c r="F68" s="757">
        <v>2.2000000000000002</v>
      </c>
      <c r="G68" s="757">
        <f t="shared" si="1"/>
        <v>2267.1669999999995</v>
      </c>
      <c r="I68" s="765"/>
    </row>
    <row r="69" spans="1:9" ht="14.4" x14ac:dyDescent="0.3">
      <c r="A69" s="763" t="s">
        <v>938</v>
      </c>
      <c r="B69" s="764" t="s">
        <v>939</v>
      </c>
      <c r="C69" s="757">
        <v>3103.13</v>
      </c>
      <c r="D69" s="757">
        <v>43.1</v>
      </c>
      <c r="E69" s="757">
        <v>143.44</v>
      </c>
      <c r="F69" s="757">
        <v>35.299999999999997</v>
      </c>
      <c r="G69" s="757">
        <f t="shared" si="1"/>
        <v>3181.53</v>
      </c>
      <c r="I69" s="765"/>
    </row>
    <row r="70" spans="1:9" ht="14.4" x14ac:dyDescent="0.3">
      <c r="A70" s="763" t="s">
        <v>1100</v>
      </c>
      <c r="B70" s="764" t="s">
        <v>1101</v>
      </c>
      <c r="C70" s="757">
        <v>862.36</v>
      </c>
      <c r="D70" s="757">
        <v>0</v>
      </c>
      <c r="E70" s="757">
        <v>0</v>
      </c>
      <c r="F70" s="757">
        <v>0</v>
      </c>
      <c r="G70" s="757">
        <f t="shared" si="1"/>
        <v>862.36</v>
      </c>
      <c r="I70" s="765"/>
    </row>
    <row r="71" spans="1:9" ht="14.4" x14ac:dyDescent="0.3">
      <c r="A71" s="763" t="s">
        <v>606</v>
      </c>
      <c r="B71" s="764" t="s">
        <v>607</v>
      </c>
      <c r="C71" s="757">
        <v>190.39899999999997</v>
      </c>
      <c r="D71" s="757">
        <v>0</v>
      </c>
      <c r="E71" s="757">
        <v>0</v>
      </c>
      <c r="F71" s="757">
        <v>0</v>
      </c>
      <c r="G71" s="757">
        <f t="shared" ref="G71:G134" si="2">C71+F71+D71</f>
        <v>190.39899999999997</v>
      </c>
      <c r="I71" s="765"/>
    </row>
    <row r="72" spans="1:9" ht="14.4" x14ac:dyDescent="0.3">
      <c r="A72" s="763" t="s">
        <v>1002</v>
      </c>
      <c r="B72" s="764" t="s">
        <v>1003</v>
      </c>
      <c r="C72" s="757">
        <v>488.61499999999995</v>
      </c>
      <c r="D72" s="757">
        <v>34</v>
      </c>
      <c r="E72" s="757">
        <v>22.381999999999998</v>
      </c>
      <c r="F72" s="757">
        <v>12.8</v>
      </c>
      <c r="G72" s="757">
        <f t="shared" si="2"/>
        <v>535.41499999999996</v>
      </c>
      <c r="I72" s="765"/>
    </row>
    <row r="73" spans="1:9" ht="14.4" x14ac:dyDescent="0.3">
      <c r="A73" s="763" t="s">
        <v>972</v>
      </c>
      <c r="B73" s="764" t="s">
        <v>973</v>
      </c>
      <c r="C73" s="757">
        <v>1637.011</v>
      </c>
      <c r="D73" s="757">
        <v>41.1</v>
      </c>
      <c r="E73" s="757">
        <v>0</v>
      </c>
      <c r="F73" s="757">
        <v>9.1999999999999993</v>
      </c>
      <c r="G73" s="757">
        <f t="shared" si="2"/>
        <v>1687.3109999999999</v>
      </c>
      <c r="I73" s="765"/>
    </row>
    <row r="74" spans="1:9" ht="14.4" x14ac:dyDescent="0.3">
      <c r="A74" s="763" t="s">
        <v>810</v>
      </c>
      <c r="B74" s="764" t="s">
        <v>811</v>
      </c>
      <c r="C74" s="757">
        <v>8059.1929999999993</v>
      </c>
      <c r="D74" s="757">
        <v>0</v>
      </c>
      <c r="E74" s="757">
        <v>368.04</v>
      </c>
      <c r="F74" s="757">
        <v>64.513999999999996</v>
      </c>
      <c r="G74" s="757">
        <f t="shared" si="2"/>
        <v>8123.7069999999994</v>
      </c>
      <c r="I74" s="765"/>
    </row>
    <row r="75" spans="1:9" ht="14.4" x14ac:dyDescent="0.3">
      <c r="A75" s="763" t="s">
        <v>654</v>
      </c>
      <c r="B75" s="764" t="s">
        <v>655</v>
      </c>
      <c r="C75" s="757">
        <v>2608.431</v>
      </c>
      <c r="D75" s="757">
        <v>0</v>
      </c>
      <c r="E75" s="757">
        <v>28.758000000000003</v>
      </c>
      <c r="F75" s="757">
        <v>34.5</v>
      </c>
      <c r="G75" s="757">
        <f t="shared" si="2"/>
        <v>2642.931</v>
      </c>
      <c r="I75" s="765"/>
    </row>
    <row r="76" spans="1:9" ht="14.4" x14ac:dyDescent="0.3">
      <c r="A76" s="763" t="s">
        <v>1130</v>
      </c>
      <c r="B76" s="764" t="s">
        <v>1131</v>
      </c>
      <c r="C76" s="757">
        <v>119.71600000000001</v>
      </c>
      <c r="D76" s="757">
        <v>0</v>
      </c>
      <c r="E76" s="757">
        <v>0</v>
      </c>
      <c r="F76" s="757">
        <v>0</v>
      </c>
      <c r="G76" s="757">
        <f t="shared" si="2"/>
        <v>119.71600000000001</v>
      </c>
      <c r="I76" s="765"/>
    </row>
    <row r="77" spans="1:9" ht="14.4" x14ac:dyDescent="0.3">
      <c r="A77" s="763" t="s">
        <v>682</v>
      </c>
      <c r="B77" s="764" t="s">
        <v>683</v>
      </c>
      <c r="C77" s="757">
        <v>642.4849999999999</v>
      </c>
      <c r="D77" s="757">
        <v>0</v>
      </c>
      <c r="E77" s="757">
        <v>34.612000000000002</v>
      </c>
      <c r="F77" s="757">
        <v>0</v>
      </c>
      <c r="G77" s="757">
        <f t="shared" si="2"/>
        <v>642.4849999999999</v>
      </c>
      <c r="I77" s="765"/>
    </row>
    <row r="78" spans="1:9" ht="14.4" x14ac:dyDescent="0.3">
      <c r="A78" s="763" t="s">
        <v>508</v>
      </c>
      <c r="B78" s="764" t="s">
        <v>509</v>
      </c>
      <c r="C78" s="757">
        <v>2904.68</v>
      </c>
      <c r="D78" s="757">
        <v>5.9</v>
      </c>
      <c r="E78" s="757">
        <v>76.596000000000004</v>
      </c>
      <c r="F78" s="757">
        <v>75.400000000000006</v>
      </c>
      <c r="G78" s="757">
        <f t="shared" si="2"/>
        <v>2985.98</v>
      </c>
      <c r="I78" s="765"/>
    </row>
    <row r="79" spans="1:9" ht="14.4" x14ac:dyDescent="0.3">
      <c r="A79" s="763" t="s">
        <v>708</v>
      </c>
      <c r="B79" s="764" t="s">
        <v>709</v>
      </c>
      <c r="C79" s="757">
        <v>1470.8530000000001</v>
      </c>
      <c r="D79" s="757">
        <v>16.899999999999999</v>
      </c>
      <c r="E79" s="757">
        <v>96.770999999999987</v>
      </c>
      <c r="F79" s="757">
        <v>33.200000000000003</v>
      </c>
      <c r="G79" s="757">
        <f t="shared" si="2"/>
        <v>1520.9530000000002</v>
      </c>
      <c r="I79" s="765"/>
    </row>
    <row r="80" spans="1:9" ht="14.4" x14ac:dyDescent="0.3">
      <c r="A80" s="763" t="s">
        <v>840</v>
      </c>
      <c r="B80" s="764" t="s">
        <v>841</v>
      </c>
      <c r="C80" s="757">
        <v>573.57399999999984</v>
      </c>
      <c r="D80" s="757">
        <v>18.8</v>
      </c>
      <c r="E80" s="757">
        <v>9.9</v>
      </c>
      <c r="F80" s="757">
        <v>4.9000000000000004</v>
      </c>
      <c r="G80" s="757">
        <f t="shared" si="2"/>
        <v>597.27399999999977</v>
      </c>
      <c r="I80" s="765"/>
    </row>
    <row r="81" spans="1:9" ht="14.4" x14ac:dyDescent="0.3">
      <c r="A81" s="763" t="s">
        <v>790</v>
      </c>
      <c r="B81" s="764" t="s">
        <v>791</v>
      </c>
      <c r="C81" s="757">
        <v>310.61999999999995</v>
      </c>
      <c r="D81" s="757">
        <v>0</v>
      </c>
      <c r="E81" s="757">
        <v>0</v>
      </c>
      <c r="F81" s="757">
        <v>0</v>
      </c>
      <c r="G81" s="757">
        <f t="shared" si="2"/>
        <v>310.61999999999995</v>
      </c>
      <c r="I81" s="765"/>
    </row>
    <row r="82" spans="1:9" ht="14.4" x14ac:dyDescent="0.3">
      <c r="A82" s="763" t="s">
        <v>806</v>
      </c>
      <c r="B82" s="764" t="s">
        <v>807</v>
      </c>
      <c r="C82" s="757">
        <v>1310.8669999999997</v>
      </c>
      <c r="D82" s="757">
        <v>47.179999999999993</v>
      </c>
      <c r="E82" s="757">
        <v>0</v>
      </c>
      <c r="F82" s="757">
        <v>24.5</v>
      </c>
      <c r="G82" s="757">
        <f t="shared" si="2"/>
        <v>1382.5469999999998</v>
      </c>
      <c r="I82" s="765"/>
    </row>
    <row r="83" spans="1:9" ht="14.4" x14ac:dyDescent="0.3">
      <c r="A83" s="763" t="s">
        <v>646</v>
      </c>
      <c r="B83" s="764" t="s">
        <v>647</v>
      </c>
      <c r="C83" s="757">
        <v>1516.9459999999997</v>
      </c>
      <c r="D83" s="757">
        <v>13.8</v>
      </c>
      <c r="E83" s="757">
        <v>81.385999999999996</v>
      </c>
      <c r="F83" s="757">
        <v>40.92</v>
      </c>
      <c r="G83" s="757">
        <f t="shared" si="2"/>
        <v>1571.6659999999997</v>
      </c>
      <c r="I83" s="765"/>
    </row>
    <row r="84" spans="1:9" ht="14.4" x14ac:dyDescent="0.3">
      <c r="A84" s="763" t="s">
        <v>1052</v>
      </c>
      <c r="B84" s="764" t="s">
        <v>1053</v>
      </c>
      <c r="C84" s="757">
        <v>184.45600000000002</v>
      </c>
      <c r="D84" s="757">
        <v>0</v>
      </c>
      <c r="E84" s="757">
        <v>0</v>
      </c>
      <c r="F84" s="757">
        <v>0</v>
      </c>
      <c r="G84" s="757">
        <f t="shared" si="2"/>
        <v>184.45600000000002</v>
      </c>
      <c r="I84" s="765"/>
    </row>
    <row r="85" spans="1:9" ht="14.4" x14ac:dyDescent="0.3">
      <c r="A85" s="767" t="s">
        <v>936</v>
      </c>
      <c r="B85" s="764" t="s">
        <v>937</v>
      </c>
      <c r="C85" s="757">
        <v>205.35500000000002</v>
      </c>
      <c r="D85" s="757">
        <v>0</v>
      </c>
      <c r="E85" s="757">
        <v>11.443999999999997</v>
      </c>
      <c r="F85" s="757">
        <v>1.1000000000000001</v>
      </c>
      <c r="G85" s="757">
        <f t="shared" si="2"/>
        <v>206.45500000000001</v>
      </c>
      <c r="I85" s="765"/>
    </row>
    <row r="86" spans="1:9" ht="14.4" x14ac:dyDescent="0.3">
      <c r="A86" s="763" t="s">
        <v>604</v>
      </c>
      <c r="B86" s="764" t="s">
        <v>605</v>
      </c>
      <c r="C86" s="757">
        <v>171.32</v>
      </c>
      <c r="D86" s="757">
        <v>14.4</v>
      </c>
      <c r="E86" s="757">
        <v>0</v>
      </c>
      <c r="F86" s="757">
        <v>0</v>
      </c>
      <c r="G86" s="757">
        <f t="shared" si="2"/>
        <v>185.72</v>
      </c>
      <c r="I86" s="765"/>
    </row>
    <row r="87" spans="1:9" ht="14.4" x14ac:dyDescent="0.3">
      <c r="A87" s="763" t="s">
        <v>976</v>
      </c>
      <c r="B87" s="764" t="s">
        <v>977</v>
      </c>
      <c r="C87" s="757">
        <v>62.3</v>
      </c>
      <c r="D87" s="757">
        <v>0</v>
      </c>
      <c r="E87" s="757">
        <v>0</v>
      </c>
      <c r="F87" s="757">
        <v>0</v>
      </c>
      <c r="G87" s="757">
        <f t="shared" si="2"/>
        <v>62.3</v>
      </c>
      <c r="I87" s="765"/>
    </row>
    <row r="88" spans="1:9" ht="14.4" x14ac:dyDescent="0.3">
      <c r="A88" s="763" t="s">
        <v>1134</v>
      </c>
      <c r="B88" s="764" t="s">
        <v>1135</v>
      </c>
      <c r="C88" s="757">
        <v>162.1</v>
      </c>
      <c r="D88" s="757">
        <v>8.6999999999999993</v>
      </c>
      <c r="E88" s="757">
        <v>0</v>
      </c>
      <c r="F88" s="757">
        <v>0.9</v>
      </c>
      <c r="G88" s="757">
        <f t="shared" si="2"/>
        <v>171.7</v>
      </c>
      <c r="I88" s="765"/>
    </row>
    <row r="89" spans="1:9" ht="14.4" x14ac:dyDescent="0.3">
      <c r="A89" s="763" t="s">
        <v>864</v>
      </c>
      <c r="B89" s="764" t="s">
        <v>865</v>
      </c>
      <c r="C89" s="757">
        <v>553.31100000000004</v>
      </c>
      <c r="D89" s="757">
        <v>0</v>
      </c>
      <c r="E89" s="757">
        <v>5.2860000000000005</v>
      </c>
      <c r="F89" s="757">
        <v>2.9</v>
      </c>
      <c r="G89" s="757">
        <f t="shared" si="2"/>
        <v>556.21100000000001</v>
      </c>
      <c r="I89" s="765"/>
    </row>
    <row r="90" spans="1:9" ht="14.4" x14ac:dyDescent="0.3">
      <c r="A90" s="763" t="s">
        <v>860</v>
      </c>
      <c r="B90" s="764" t="s">
        <v>861</v>
      </c>
      <c r="C90" s="757">
        <v>292.58100000000002</v>
      </c>
      <c r="D90" s="757">
        <v>20.399999999999999</v>
      </c>
      <c r="E90" s="757">
        <v>22.347000000000001</v>
      </c>
      <c r="F90" s="757">
        <v>0</v>
      </c>
      <c r="G90" s="757">
        <f t="shared" si="2"/>
        <v>312.98099999999999</v>
      </c>
      <c r="I90" s="765"/>
    </row>
    <row r="91" spans="1:9" ht="14.4" x14ac:dyDescent="0.3">
      <c r="A91" s="763" t="s">
        <v>856</v>
      </c>
      <c r="B91" s="764" t="s">
        <v>857</v>
      </c>
      <c r="C91" s="757">
        <v>5293.0460000000012</v>
      </c>
      <c r="D91" s="757">
        <v>50.3</v>
      </c>
      <c r="E91" s="757">
        <v>372.85900000000004</v>
      </c>
      <c r="F91" s="757">
        <v>13.4</v>
      </c>
      <c r="G91" s="757">
        <f t="shared" si="2"/>
        <v>5356.746000000001</v>
      </c>
      <c r="I91" s="765"/>
    </row>
    <row r="92" spans="1:9" ht="14.4" x14ac:dyDescent="0.3">
      <c r="A92" s="763" t="s">
        <v>608</v>
      </c>
      <c r="B92" s="764" t="s">
        <v>609</v>
      </c>
      <c r="C92" s="757">
        <v>945.24699999999996</v>
      </c>
      <c r="D92" s="757">
        <v>15.4</v>
      </c>
      <c r="E92" s="757">
        <v>4.7450000000000001</v>
      </c>
      <c r="F92" s="757">
        <v>51.2</v>
      </c>
      <c r="G92" s="757">
        <f t="shared" si="2"/>
        <v>1011.847</v>
      </c>
      <c r="I92" s="765"/>
    </row>
    <row r="93" spans="1:9" ht="14.4" x14ac:dyDescent="0.3">
      <c r="A93" s="763" t="s">
        <v>1008</v>
      </c>
      <c r="B93" s="764" t="s">
        <v>1009</v>
      </c>
      <c r="C93" s="757">
        <v>1131.086</v>
      </c>
      <c r="D93" s="757">
        <v>15.488000000000003</v>
      </c>
      <c r="E93" s="757">
        <v>65.698000000000008</v>
      </c>
      <c r="F93" s="757">
        <v>0</v>
      </c>
      <c r="G93" s="757">
        <f t="shared" si="2"/>
        <v>1146.5740000000001</v>
      </c>
      <c r="I93" s="765"/>
    </row>
    <row r="94" spans="1:9" ht="14.4" x14ac:dyDescent="0.3">
      <c r="A94" s="763" t="s">
        <v>928</v>
      </c>
      <c r="B94" s="764" t="s">
        <v>929</v>
      </c>
      <c r="C94" s="757">
        <v>37.299999999999997</v>
      </c>
      <c r="D94" s="757">
        <v>0</v>
      </c>
      <c r="E94" s="757">
        <v>0</v>
      </c>
      <c r="F94" s="757">
        <v>0</v>
      </c>
      <c r="G94" s="757">
        <f t="shared" si="2"/>
        <v>37.299999999999997</v>
      </c>
      <c r="I94" s="765"/>
    </row>
    <row r="95" spans="1:9" ht="14.4" x14ac:dyDescent="0.3">
      <c r="A95" s="763" t="s">
        <v>546</v>
      </c>
      <c r="B95" s="764" t="s">
        <v>547</v>
      </c>
      <c r="C95" s="757">
        <v>64.5</v>
      </c>
      <c r="D95" s="757">
        <v>7</v>
      </c>
      <c r="E95" s="757">
        <v>0</v>
      </c>
      <c r="F95" s="757">
        <v>0</v>
      </c>
      <c r="G95" s="757">
        <f t="shared" si="2"/>
        <v>71.5</v>
      </c>
      <c r="I95" s="765"/>
    </row>
    <row r="96" spans="1:9" ht="14.4" x14ac:dyDescent="0.3">
      <c r="A96" s="763" t="s">
        <v>930</v>
      </c>
      <c r="B96" s="764" t="s">
        <v>931</v>
      </c>
      <c r="C96" s="757">
        <v>658.26499999999999</v>
      </c>
      <c r="D96" s="757">
        <v>0</v>
      </c>
      <c r="E96" s="757">
        <v>462.89</v>
      </c>
      <c r="F96" s="757">
        <v>0</v>
      </c>
      <c r="G96" s="757">
        <f t="shared" si="2"/>
        <v>658.26499999999999</v>
      </c>
      <c r="I96" s="765"/>
    </row>
    <row r="97" spans="1:9" ht="14.4" x14ac:dyDescent="0.3">
      <c r="A97" s="763" t="s">
        <v>580</v>
      </c>
      <c r="B97" s="764" t="s">
        <v>581</v>
      </c>
      <c r="C97" s="757">
        <v>631.42599999999993</v>
      </c>
      <c r="D97" s="757">
        <v>29.9</v>
      </c>
      <c r="E97" s="757">
        <v>49.528000000000006</v>
      </c>
      <c r="F97" s="757">
        <v>0</v>
      </c>
      <c r="G97" s="757">
        <f t="shared" si="2"/>
        <v>661.32599999999991</v>
      </c>
      <c r="I97" s="765"/>
    </row>
    <row r="98" spans="1:9" ht="14.4" x14ac:dyDescent="0.3">
      <c r="A98" s="763" t="s">
        <v>916</v>
      </c>
      <c r="B98" s="764" t="s">
        <v>917</v>
      </c>
      <c r="C98" s="757">
        <v>1173.7270000000001</v>
      </c>
      <c r="D98" s="757">
        <v>33.5</v>
      </c>
      <c r="E98" s="757">
        <v>141.56900000000002</v>
      </c>
      <c r="F98" s="757">
        <v>8</v>
      </c>
      <c r="G98" s="757">
        <f t="shared" si="2"/>
        <v>1215.2270000000001</v>
      </c>
      <c r="I98" s="765"/>
    </row>
    <row r="99" spans="1:9" ht="14.4" x14ac:dyDescent="0.3">
      <c r="A99" s="763" t="s">
        <v>978</v>
      </c>
      <c r="B99" s="764" t="s">
        <v>979</v>
      </c>
      <c r="C99" s="757">
        <v>48572.941000000006</v>
      </c>
      <c r="D99" s="757">
        <v>0</v>
      </c>
      <c r="E99" s="757">
        <v>900.79399999999987</v>
      </c>
      <c r="F99" s="757">
        <v>95.540999999999997</v>
      </c>
      <c r="G99" s="757">
        <f t="shared" si="2"/>
        <v>48668.482000000004</v>
      </c>
      <c r="I99" s="765"/>
    </row>
    <row r="100" spans="1:9" ht="14.4" x14ac:dyDescent="0.3">
      <c r="A100" s="763" t="s">
        <v>664</v>
      </c>
      <c r="B100" s="764" t="s">
        <v>665</v>
      </c>
      <c r="C100" s="757">
        <v>20309.802000000003</v>
      </c>
      <c r="D100" s="757">
        <v>110.9</v>
      </c>
      <c r="E100" s="757">
        <v>341.76000000000005</v>
      </c>
      <c r="F100" s="757">
        <v>168.5</v>
      </c>
      <c r="G100" s="757">
        <f t="shared" si="2"/>
        <v>20589.202000000005</v>
      </c>
      <c r="I100" s="765"/>
    </row>
    <row r="101" spans="1:9" ht="14.4" x14ac:dyDescent="0.3">
      <c r="A101" s="763" t="s">
        <v>652</v>
      </c>
      <c r="B101" s="764" t="s">
        <v>653</v>
      </c>
      <c r="C101" s="757">
        <v>4176.3550000000005</v>
      </c>
      <c r="D101" s="757">
        <v>40</v>
      </c>
      <c r="E101" s="757">
        <v>0</v>
      </c>
      <c r="F101" s="757">
        <v>21.8</v>
      </c>
      <c r="G101" s="757">
        <f t="shared" si="2"/>
        <v>4238.1550000000007</v>
      </c>
      <c r="I101" s="765"/>
    </row>
    <row r="102" spans="1:9" ht="14.4" x14ac:dyDescent="0.3">
      <c r="A102" s="763" t="s">
        <v>796</v>
      </c>
      <c r="B102" s="764" t="s">
        <v>797</v>
      </c>
      <c r="C102" s="757">
        <v>3903.9240000000004</v>
      </c>
      <c r="D102" s="757">
        <v>0</v>
      </c>
      <c r="E102" s="757">
        <v>22.335999999999999</v>
      </c>
      <c r="F102" s="757">
        <v>0</v>
      </c>
      <c r="G102" s="757">
        <f t="shared" si="2"/>
        <v>3903.9240000000004</v>
      </c>
      <c r="I102" s="765"/>
    </row>
    <row r="103" spans="1:9" ht="14.4" x14ac:dyDescent="0.3">
      <c r="A103" s="763" t="s">
        <v>702</v>
      </c>
      <c r="B103" s="764" t="s">
        <v>703</v>
      </c>
      <c r="C103" s="757">
        <v>16854.864000000005</v>
      </c>
      <c r="D103" s="757">
        <v>54.6</v>
      </c>
      <c r="E103" s="757">
        <v>444.48</v>
      </c>
      <c r="F103" s="757">
        <v>245.43200000000002</v>
      </c>
      <c r="G103" s="757">
        <f t="shared" si="2"/>
        <v>17154.896000000004</v>
      </c>
      <c r="I103" s="765"/>
    </row>
    <row r="104" spans="1:9" ht="14.4" x14ac:dyDescent="0.3">
      <c r="A104" s="763" t="s">
        <v>1086</v>
      </c>
      <c r="B104" s="764" t="s">
        <v>1087</v>
      </c>
      <c r="C104" s="757">
        <v>1396.348</v>
      </c>
      <c r="D104" s="757">
        <v>0</v>
      </c>
      <c r="E104" s="757">
        <v>123.00999999999999</v>
      </c>
      <c r="F104" s="757">
        <v>0</v>
      </c>
      <c r="G104" s="757">
        <f t="shared" si="2"/>
        <v>1396.348</v>
      </c>
      <c r="I104" s="765"/>
    </row>
    <row r="105" spans="1:9" ht="14.4" x14ac:dyDescent="0.3">
      <c r="A105" s="763" t="s">
        <v>950</v>
      </c>
      <c r="B105" s="764" t="s">
        <v>951</v>
      </c>
      <c r="C105" s="757">
        <v>13513.476999999999</v>
      </c>
      <c r="D105" s="757">
        <v>260</v>
      </c>
      <c r="E105" s="757">
        <v>195.51400000000001</v>
      </c>
      <c r="F105" s="757">
        <v>53</v>
      </c>
      <c r="G105" s="757">
        <f t="shared" si="2"/>
        <v>13826.476999999999</v>
      </c>
      <c r="I105" s="765"/>
    </row>
    <row r="106" spans="1:9" ht="14.4" x14ac:dyDescent="0.3">
      <c r="A106" s="763" t="s">
        <v>996</v>
      </c>
      <c r="B106" s="764" t="s">
        <v>997</v>
      </c>
      <c r="C106" s="757">
        <v>40.56</v>
      </c>
      <c r="D106" s="757">
        <v>0</v>
      </c>
      <c r="E106" s="757">
        <v>0</v>
      </c>
      <c r="F106" s="757">
        <v>0</v>
      </c>
      <c r="G106" s="757">
        <f t="shared" si="2"/>
        <v>40.56</v>
      </c>
      <c r="I106" s="765"/>
    </row>
    <row r="107" spans="1:9" ht="14.4" x14ac:dyDescent="0.3">
      <c r="A107" s="763" t="s">
        <v>526</v>
      </c>
      <c r="B107" s="764" t="s">
        <v>527</v>
      </c>
      <c r="C107" s="757">
        <v>18964.78</v>
      </c>
      <c r="D107" s="757">
        <v>0</v>
      </c>
      <c r="E107" s="757">
        <v>266.39600000000002</v>
      </c>
      <c r="F107" s="757">
        <v>25.8</v>
      </c>
      <c r="G107" s="757">
        <f t="shared" si="2"/>
        <v>18990.579999999998</v>
      </c>
      <c r="I107" s="765"/>
    </row>
    <row r="108" spans="1:9" ht="14.4" x14ac:dyDescent="0.3">
      <c r="A108" s="763" t="s">
        <v>1074</v>
      </c>
      <c r="B108" s="764" t="s">
        <v>1075</v>
      </c>
      <c r="C108" s="757">
        <v>2643.0880000000002</v>
      </c>
      <c r="D108" s="757">
        <v>0</v>
      </c>
      <c r="E108" s="757">
        <v>0</v>
      </c>
      <c r="F108" s="757">
        <v>0</v>
      </c>
      <c r="G108" s="757">
        <f t="shared" si="2"/>
        <v>2643.0880000000002</v>
      </c>
      <c r="I108" s="765"/>
    </row>
    <row r="109" spans="1:9" ht="14.4" x14ac:dyDescent="0.3">
      <c r="A109" s="763" t="s">
        <v>962</v>
      </c>
      <c r="B109" s="764" t="s">
        <v>963</v>
      </c>
      <c r="C109" s="757">
        <v>2818.7709999999997</v>
      </c>
      <c r="D109" s="757">
        <v>0</v>
      </c>
      <c r="E109" s="757">
        <v>148.06199999999998</v>
      </c>
      <c r="F109" s="757">
        <v>0</v>
      </c>
      <c r="G109" s="757">
        <f t="shared" si="2"/>
        <v>2818.7709999999997</v>
      </c>
      <c r="I109" s="765"/>
    </row>
    <row r="110" spans="1:9" ht="14.4" x14ac:dyDescent="0.3">
      <c r="A110" s="763" t="s">
        <v>520</v>
      </c>
      <c r="B110" s="764" t="s">
        <v>521</v>
      </c>
      <c r="C110" s="757">
        <v>16628.267</v>
      </c>
      <c r="D110" s="757">
        <v>152.69999999999999</v>
      </c>
      <c r="E110" s="757">
        <v>356.39</v>
      </c>
      <c r="F110" s="757">
        <v>93.159000000000006</v>
      </c>
      <c r="G110" s="757">
        <f t="shared" si="2"/>
        <v>16874.126</v>
      </c>
      <c r="I110" s="765"/>
    </row>
    <row r="111" spans="1:9" ht="14.4" x14ac:dyDescent="0.3">
      <c r="A111" s="763" t="s">
        <v>1054</v>
      </c>
      <c r="B111" s="764" t="s">
        <v>1055</v>
      </c>
      <c r="C111" s="757">
        <v>8599.755000000001</v>
      </c>
      <c r="D111" s="757">
        <v>14.7</v>
      </c>
      <c r="E111" s="757">
        <v>0</v>
      </c>
      <c r="F111" s="757">
        <v>58.143999999999984</v>
      </c>
      <c r="G111" s="757">
        <f t="shared" si="2"/>
        <v>8672.599000000002</v>
      </c>
      <c r="I111" s="765"/>
    </row>
    <row r="112" spans="1:9" ht="14.4" x14ac:dyDescent="0.3">
      <c r="A112" s="763" t="s">
        <v>1000</v>
      </c>
      <c r="B112" s="764" t="s">
        <v>1001</v>
      </c>
      <c r="C112" s="757">
        <v>6801.3370000000014</v>
      </c>
      <c r="D112" s="757">
        <v>13.9</v>
      </c>
      <c r="E112" s="757">
        <v>211.87100000000001</v>
      </c>
      <c r="F112" s="757">
        <v>0</v>
      </c>
      <c r="G112" s="757">
        <f t="shared" si="2"/>
        <v>6815.237000000001</v>
      </c>
      <c r="I112" s="765"/>
    </row>
    <row r="113" spans="1:9" ht="14.4" x14ac:dyDescent="0.3">
      <c r="A113" s="763" t="s">
        <v>722</v>
      </c>
      <c r="B113" s="764" t="s">
        <v>723</v>
      </c>
      <c r="C113" s="757">
        <v>17961.740000000002</v>
      </c>
      <c r="D113" s="757">
        <v>73.460000000000008</v>
      </c>
      <c r="E113" s="757">
        <v>43.01</v>
      </c>
      <c r="F113" s="757">
        <v>5.5950000000000006</v>
      </c>
      <c r="G113" s="757">
        <f t="shared" si="2"/>
        <v>18040.795000000002</v>
      </c>
      <c r="I113" s="765"/>
    </row>
    <row r="114" spans="1:9" ht="14.4" x14ac:dyDescent="0.3">
      <c r="A114" s="763" t="s">
        <v>992</v>
      </c>
      <c r="B114" s="764" t="s">
        <v>993</v>
      </c>
      <c r="C114" s="757">
        <v>8983.7969999999987</v>
      </c>
      <c r="D114" s="757">
        <v>0</v>
      </c>
      <c r="E114" s="757">
        <v>120.55500000000002</v>
      </c>
      <c r="F114" s="757">
        <v>0</v>
      </c>
      <c r="G114" s="757">
        <f t="shared" si="2"/>
        <v>8983.7969999999987</v>
      </c>
      <c r="I114" s="765"/>
    </row>
    <row r="115" spans="1:9" ht="14.4" x14ac:dyDescent="0.3">
      <c r="A115" s="763" t="s">
        <v>754</v>
      </c>
      <c r="B115" s="764" t="s">
        <v>755</v>
      </c>
      <c r="C115" s="757">
        <v>29905.627</v>
      </c>
      <c r="D115" s="757">
        <v>0</v>
      </c>
      <c r="E115" s="757">
        <v>77.160000000000011</v>
      </c>
      <c r="F115" s="757">
        <v>0</v>
      </c>
      <c r="G115" s="757">
        <f t="shared" si="2"/>
        <v>29905.627</v>
      </c>
      <c r="I115" s="765"/>
    </row>
    <row r="116" spans="1:9" ht="14.4" x14ac:dyDescent="0.3">
      <c r="A116" s="763" t="s">
        <v>734</v>
      </c>
      <c r="B116" s="764" t="s">
        <v>735</v>
      </c>
      <c r="C116" s="757">
        <v>23901.681</v>
      </c>
      <c r="D116" s="757">
        <v>0</v>
      </c>
      <c r="E116" s="757">
        <v>194.012</v>
      </c>
      <c r="F116" s="757">
        <v>330.077</v>
      </c>
      <c r="G116" s="757">
        <f t="shared" si="2"/>
        <v>24231.758000000002</v>
      </c>
      <c r="I116" s="765"/>
    </row>
    <row r="117" spans="1:9" ht="14.4" x14ac:dyDescent="0.3">
      <c r="A117" s="763" t="s">
        <v>854</v>
      </c>
      <c r="B117" s="764" t="s">
        <v>855</v>
      </c>
      <c r="C117" s="757">
        <v>21571.843000000001</v>
      </c>
      <c r="D117" s="757">
        <v>0</v>
      </c>
      <c r="E117" s="757">
        <v>409.73099999999994</v>
      </c>
      <c r="F117" s="757">
        <v>13.9</v>
      </c>
      <c r="G117" s="757">
        <f t="shared" si="2"/>
        <v>21585.743000000002</v>
      </c>
      <c r="I117" s="765"/>
    </row>
    <row r="118" spans="1:9" ht="14.4" x14ac:dyDescent="0.3">
      <c r="A118" s="768" t="s">
        <v>1040</v>
      </c>
      <c r="B118" s="766" t="s">
        <v>1041</v>
      </c>
      <c r="C118" s="757">
        <v>203.40999999999997</v>
      </c>
      <c r="D118" s="757">
        <v>0</v>
      </c>
      <c r="E118" s="757">
        <v>0.1</v>
      </c>
      <c r="F118" s="757">
        <v>0</v>
      </c>
      <c r="G118" s="757">
        <f t="shared" si="2"/>
        <v>203.40999999999997</v>
      </c>
      <c r="I118" s="765"/>
    </row>
    <row r="119" spans="1:9" ht="14.4" x14ac:dyDescent="0.3">
      <c r="A119" s="770" t="s">
        <v>822</v>
      </c>
      <c r="B119" s="766" t="s">
        <v>823</v>
      </c>
      <c r="C119" s="757">
        <v>462.3</v>
      </c>
      <c r="D119" s="757">
        <v>0</v>
      </c>
      <c r="E119" s="757">
        <v>0</v>
      </c>
      <c r="F119" s="757">
        <v>0</v>
      </c>
      <c r="G119" s="757">
        <f t="shared" si="2"/>
        <v>462.3</v>
      </c>
      <c r="I119" s="765"/>
    </row>
    <row r="120" spans="1:9" ht="14.4" x14ac:dyDescent="0.3">
      <c r="A120" s="764" t="s">
        <v>1036</v>
      </c>
      <c r="B120" s="766" t="s">
        <v>1037</v>
      </c>
      <c r="C120" s="757">
        <v>536.79899999999986</v>
      </c>
      <c r="D120" s="757">
        <v>0</v>
      </c>
      <c r="E120" s="757">
        <v>0</v>
      </c>
      <c r="F120" s="757">
        <v>0</v>
      </c>
      <c r="G120" s="757">
        <f t="shared" si="2"/>
        <v>536.79899999999986</v>
      </c>
      <c r="I120" s="765"/>
    </row>
    <row r="121" spans="1:9" ht="14.4" x14ac:dyDescent="0.3">
      <c r="A121" s="768" t="s">
        <v>942</v>
      </c>
      <c r="B121" s="766" t="s">
        <v>943</v>
      </c>
      <c r="C121" s="757">
        <v>358.7</v>
      </c>
      <c r="D121" s="757">
        <v>0</v>
      </c>
      <c r="E121" s="757">
        <v>0</v>
      </c>
      <c r="F121" s="757">
        <v>0</v>
      </c>
      <c r="G121" s="757">
        <f t="shared" si="2"/>
        <v>358.7</v>
      </c>
      <c r="I121" s="765"/>
    </row>
    <row r="122" spans="1:9" ht="14.4" x14ac:dyDescent="0.3">
      <c r="A122" s="768" t="s">
        <v>944</v>
      </c>
      <c r="B122" s="766" t="s">
        <v>945</v>
      </c>
      <c r="C122" s="757">
        <v>115.62800000000001</v>
      </c>
      <c r="D122" s="757">
        <v>0</v>
      </c>
      <c r="E122" s="757">
        <v>0</v>
      </c>
      <c r="F122" s="757">
        <v>0</v>
      </c>
      <c r="G122" s="757">
        <f t="shared" si="2"/>
        <v>115.62800000000001</v>
      </c>
      <c r="I122" s="765"/>
    </row>
    <row r="123" spans="1:9" ht="14.4" x14ac:dyDescent="0.3">
      <c r="A123" s="768" t="s">
        <v>714</v>
      </c>
      <c r="B123" s="766" t="s">
        <v>715</v>
      </c>
      <c r="C123" s="757">
        <v>493.6</v>
      </c>
      <c r="D123" s="757">
        <v>0</v>
      </c>
      <c r="E123" s="757">
        <v>0</v>
      </c>
      <c r="F123" s="757">
        <v>0</v>
      </c>
      <c r="G123" s="757">
        <f t="shared" si="2"/>
        <v>493.6</v>
      </c>
      <c r="I123" s="765"/>
    </row>
    <row r="124" spans="1:9" ht="14.4" x14ac:dyDescent="0.3">
      <c r="A124" s="768" t="s">
        <v>716</v>
      </c>
      <c r="B124" s="766" t="s">
        <v>717</v>
      </c>
      <c r="C124" s="757">
        <v>384.2</v>
      </c>
      <c r="D124" s="757">
        <v>0</v>
      </c>
      <c r="E124" s="757">
        <v>0</v>
      </c>
      <c r="F124" s="757">
        <v>0</v>
      </c>
      <c r="G124" s="757">
        <f t="shared" si="2"/>
        <v>384.2</v>
      </c>
      <c r="I124" s="765"/>
    </row>
    <row r="125" spans="1:9" ht="14.4" x14ac:dyDescent="0.3">
      <c r="A125" s="768" t="s">
        <v>1124</v>
      </c>
      <c r="B125" s="766" t="s">
        <v>1125</v>
      </c>
      <c r="C125" s="757">
        <v>122.94000000000001</v>
      </c>
      <c r="D125" s="757">
        <v>0</v>
      </c>
      <c r="E125" s="757">
        <v>0</v>
      </c>
      <c r="F125" s="757">
        <v>0</v>
      </c>
      <c r="G125" s="757">
        <f t="shared" si="2"/>
        <v>122.94000000000001</v>
      </c>
      <c r="I125" s="765"/>
    </row>
    <row r="126" spans="1:9" ht="14.4" x14ac:dyDescent="0.3">
      <c r="A126" s="768" t="s">
        <v>710</v>
      </c>
      <c r="B126" s="766" t="s">
        <v>711</v>
      </c>
      <c r="C126" s="757">
        <v>201</v>
      </c>
      <c r="D126" s="757">
        <v>0</v>
      </c>
      <c r="E126" s="757">
        <v>0</v>
      </c>
      <c r="F126" s="757">
        <v>0</v>
      </c>
      <c r="G126" s="757">
        <f t="shared" si="2"/>
        <v>201</v>
      </c>
      <c r="I126" s="765"/>
    </row>
    <row r="127" spans="1:9" ht="14.4" x14ac:dyDescent="0.3">
      <c r="A127" s="763" t="s">
        <v>540</v>
      </c>
      <c r="B127" s="764" t="s">
        <v>541</v>
      </c>
      <c r="C127" s="757">
        <v>4377.6279999999997</v>
      </c>
      <c r="D127" s="757">
        <v>0</v>
      </c>
      <c r="E127" s="757">
        <v>287.15299999999996</v>
      </c>
      <c r="F127" s="757">
        <v>0</v>
      </c>
      <c r="G127" s="757">
        <f t="shared" si="2"/>
        <v>4377.6279999999997</v>
      </c>
      <c r="I127" s="765"/>
    </row>
    <row r="128" spans="1:9" ht="14.4" x14ac:dyDescent="0.3">
      <c r="A128" s="763" t="s">
        <v>522</v>
      </c>
      <c r="B128" s="764" t="s">
        <v>523</v>
      </c>
      <c r="C128" s="757">
        <v>3393.6559999999999</v>
      </c>
      <c r="D128" s="757">
        <v>0</v>
      </c>
      <c r="E128" s="757">
        <v>68.751999999999995</v>
      </c>
      <c r="F128" s="757">
        <v>0</v>
      </c>
      <c r="G128" s="757">
        <f t="shared" si="2"/>
        <v>3393.6559999999999</v>
      </c>
      <c r="I128" s="765"/>
    </row>
    <row r="129" spans="1:9" ht="14.4" x14ac:dyDescent="0.3">
      <c r="A129" s="763" t="s">
        <v>844</v>
      </c>
      <c r="B129" s="764" t="s">
        <v>845</v>
      </c>
      <c r="C129" s="757">
        <v>5006.2740000000003</v>
      </c>
      <c r="D129" s="757">
        <v>0</v>
      </c>
      <c r="E129" s="757">
        <v>55.142999999999994</v>
      </c>
      <c r="F129" s="757">
        <v>0</v>
      </c>
      <c r="G129" s="757">
        <f t="shared" si="2"/>
        <v>5006.2740000000003</v>
      </c>
      <c r="I129" s="765"/>
    </row>
    <row r="130" spans="1:9" ht="14.4" x14ac:dyDescent="0.3">
      <c r="A130" s="763" t="s">
        <v>566</v>
      </c>
      <c r="B130" s="764" t="s">
        <v>567</v>
      </c>
      <c r="C130" s="757">
        <v>10439.005999999999</v>
      </c>
      <c r="D130" s="757">
        <v>45.9</v>
      </c>
      <c r="E130" s="757">
        <v>531.79999999999995</v>
      </c>
      <c r="F130" s="757">
        <v>0</v>
      </c>
      <c r="G130" s="757">
        <f t="shared" si="2"/>
        <v>10484.905999999999</v>
      </c>
      <c r="I130" s="765"/>
    </row>
    <row r="131" spans="1:9" ht="14.4" x14ac:dyDescent="0.3">
      <c r="A131" s="763" t="s">
        <v>1006</v>
      </c>
      <c r="B131" s="764" t="s">
        <v>1007</v>
      </c>
      <c r="C131" s="757">
        <v>8862.617000000002</v>
      </c>
      <c r="D131" s="757">
        <v>0</v>
      </c>
      <c r="E131" s="757">
        <v>500.52499999999998</v>
      </c>
      <c r="F131" s="757">
        <v>0</v>
      </c>
      <c r="G131" s="757">
        <f t="shared" si="2"/>
        <v>8862.617000000002</v>
      </c>
      <c r="I131" s="765"/>
    </row>
    <row r="132" spans="1:9" ht="14.4" x14ac:dyDescent="0.3">
      <c r="A132" s="768" t="s">
        <v>562</v>
      </c>
      <c r="B132" s="766" t="s">
        <v>563</v>
      </c>
      <c r="C132" s="757">
        <v>500.84799999999996</v>
      </c>
      <c r="D132" s="757">
        <v>0</v>
      </c>
      <c r="E132" s="757">
        <v>0</v>
      </c>
      <c r="F132" s="757">
        <v>0</v>
      </c>
      <c r="G132" s="757">
        <f t="shared" si="2"/>
        <v>500.84799999999996</v>
      </c>
      <c r="I132" s="765"/>
    </row>
    <row r="133" spans="1:9" ht="14.4" x14ac:dyDescent="0.3">
      <c r="A133" s="763" t="s">
        <v>1048</v>
      </c>
      <c r="B133" s="764" t="s">
        <v>1049</v>
      </c>
      <c r="C133" s="757">
        <v>75.426000000000016</v>
      </c>
      <c r="D133" s="757">
        <v>0</v>
      </c>
      <c r="E133" s="757">
        <v>0</v>
      </c>
      <c r="F133" s="757">
        <v>0</v>
      </c>
      <c r="G133" s="757">
        <f t="shared" si="2"/>
        <v>75.426000000000016</v>
      </c>
      <c r="I133" s="765"/>
    </row>
    <row r="134" spans="1:9" ht="14.4" x14ac:dyDescent="0.3">
      <c r="A134" s="763" t="s">
        <v>618</v>
      </c>
      <c r="B134" s="764" t="s">
        <v>619</v>
      </c>
      <c r="C134" s="757">
        <v>45.7</v>
      </c>
      <c r="D134" s="757">
        <v>0</v>
      </c>
      <c r="E134" s="757">
        <v>0</v>
      </c>
      <c r="F134" s="757">
        <v>0</v>
      </c>
      <c r="G134" s="757">
        <f t="shared" si="2"/>
        <v>45.7</v>
      </c>
      <c r="I134" s="765"/>
    </row>
    <row r="135" spans="1:9" ht="14.4" x14ac:dyDescent="0.3">
      <c r="A135" s="763" t="s">
        <v>638</v>
      </c>
      <c r="B135" s="764" t="s">
        <v>639</v>
      </c>
      <c r="C135" s="757">
        <v>83.087999999999994</v>
      </c>
      <c r="D135" s="757">
        <v>0</v>
      </c>
      <c r="E135" s="757">
        <v>0</v>
      </c>
      <c r="F135" s="757">
        <v>0</v>
      </c>
      <c r="G135" s="757">
        <f t="shared" ref="G135:G198" si="3">C135+F135+D135</f>
        <v>83.087999999999994</v>
      </c>
      <c r="I135" s="765"/>
    </row>
    <row r="136" spans="1:9" ht="14.4" x14ac:dyDescent="0.3">
      <c r="A136" s="763" t="s">
        <v>1060</v>
      </c>
      <c r="B136" s="764" t="s">
        <v>1061</v>
      </c>
      <c r="C136" s="757">
        <v>230.608</v>
      </c>
      <c r="D136" s="757">
        <v>16.7</v>
      </c>
      <c r="E136" s="757">
        <v>0</v>
      </c>
      <c r="F136" s="757">
        <v>0</v>
      </c>
      <c r="G136" s="757">
        <f t="shared" si="3"/>
        <v>247.30799999999999</v>
      </c>
      <c r="I136" s="765"/>
    </row>
    <row r="137" spans="1:9" ht="14.4" x14ac:dyDescent="0.3">
      <c r="A137" s="763" t="s">
        <v>644</v>
      </c>
      <c r="B137" s="764" t="s">
        <v>645</v>
      </c>
      <c r="C137" s="757">
        <v>3128.0240000000003</v>
      </c>
      <c r="D137" s="757">
        <v>40</v>
      </c>
      <c r="E137" s="757">
        <v>148.285</v>
      </c>
      <c r="F137" s="757">
        <v>11</v>
      </c>
      <c r="G137" s="757">
        <f t="shared" si="3"/>
        <v>3179.0240000000003</v>
      </c>
      <c r="I137" s="765"/>
    </row>
    <row r="138" spans="1:9" ht="14.4" x14ac:dyDescent="0.3">
      <c r="A138" s="763" t="s">
        <v>740</v>
      </c>
      <c r="B138" s="764" t="s">
        <v>741</v>
      </c>
      <c r="C138" s="757">
        <v>528.8309999999999</v>
      </c>
      <c r="D138" s="757">
        <v>18</v>
      </c>
      <c r="E138" s="757">
        <v>0</v>
      </c>
      <c r="F138" s="757">
        <v>7.7</v>
      </c>
      <c r="G138" s="757">
        <f t="shared" si="3"/>
        <v>554.53099999999995</v>
      </c>
      <c r="I138" s="765"/>
    </row>
    <row r="139" spans="1:9" ht="14.4" x14ac:dyDescent="0.3">
      <c r="A139" s="763" t="s">
        <v>584</v>
      </c>
      <c r="B139" s="764" t="s">
        <v>585</v>
      </c>
      <c r="C139" s="757">
        <v>896.32</v>
      </c>
      <c r="D139" s="757">
        <v>47.7</v>
      </c>
      <c r="E139" s="757">
        <v>22.695</v>
      </c>
      <c r="F139" s="757">
        <v>0</v>
      </c>
      <c r="G139" s="757">
        <f t="shared" si="3"/>
        <v>944.0200000000001</v>
      </c>
      <c r="I139" s="765"/>
    </row>
    <row r="140" spans="1:9" ht="14.4" x14ac:dyDescent="0.3">
      <c r="A140" s="763" t="s">
        <v>1136</v>
      </c>
      <c r="B140" s="764" t="s">
        <v>1137</v>
      </c>
      <c r="C140" s="757">
        <v>90.789999999999992</v>
      </c>
      <c r="D140" s="757">
        <v>0</v>
      </c>
      <c r="E140" s="757">
        <v>0</v>
      </c>
      <c r="F140" s="757">
        <v>0</v>
      </c>
      <c r="G140" s="757">
        <f t="shared" si="3"/>
        <v>90.789999999999992</v>
      </c>
      <c r="I140" s="765"/>
    </row>
    <row r="141" spans="1:9" ht="14.4" x14ac:dyDescent="0.3">
      <c r="A141" s="763" t="s">
        <v>534</v>
      </c>
      <c r="B141" s="764" t="s">
        <v>535</v>
      </c>
      <c r="C141" s="757">
        <v>92.320000000000022</v>
      </c>
      <c r="D141" s="757">
        <v>0</v>
      </c>
      <c r="E141" s="757">
        <v>0</v>
      </c>
      <c r="F141" s="757">
        <v>0</v>
      </c>
      <c r="G141" s="757">
        <f t="shared" si="3"/>
        <v>92.320000000000022</v>
      </c>
      <c r="I141" s="765"/>
    </row>
    <row r="142" spans="1:9" ht="14.4" x14ac:dyDescent="0.3">
      <c r="A142" s="763" t="s">
        <v>564</v>
      </c>
      <c r="B142" s="764" t="s">
        <v>565</v>
      </c>
      <c r="C142" s="757">
        <v>88.9</v>
      </c>
      <c r="D142" s="757">
        <v>0</v>
      </c>
      <c r="E142" s="757">
        <v>0</v>
      </c>
      <c r="F142" s="757">
        <v>0</v>
      </c>
      <c r="G142" s="757">
        <f t="shared" si="3"/>
        <v>88.9</v>
      </c>
      <c r="I142" s="765"/>
    </row>
    <row r="143" spans="1:9" ht="14.4" x14ac:dyDescent="0.3">
      <c r="A143" s="763" t="s">
        <v>1072</v>
      </c>
      <c r="B143" s="764" t="s">
        <v>1073</v>
      </c>
      <c r="C143" s="757">
        <v>208.38800000000001</v>
      </c>
      <c r="D143" s="757">
        <v>0</v>
      </c>
      <c r="E143" s="757">
        <v>0</v>
      </c>
      <c r="F143" s="757">
        <v>0</v>
      </c>
      <c r="G143" s="757">
        <f t="shared" si="3"/>
        <v>208.38800000000001</v>
      </c>
      <c r="I143" s="765"/>
    </row>
    <row r="144" spans="1:9" ht="14.4" x14ac:dyDescent="0.3">
      <c r="A144" s="763" t="s">
        <v>678</v>
      </c>
      <c r="B144" s="764" t="s">
        <v>679</v>
      </c>
      <c r="C144" s="757">
        <v>53.7</v>
      </c>
      <c r="D144" s="757">
        <v>0</v>
      </c>
      <c r="E144" s="757">
        <v>0</v>
      </c>
      <c r="F144" s="757">
        <v>0</v>
      </c>
      <c r="G144" s="757">
        <f t="shared" si="3"/>
        <v>53.7</v>
      </c>
      <c r="I144" s="765"/>
    </row>
    <row r="145" spans="1:9" ht="14.4" x14ac:dyDescent="0.3">
      <c r="A145" s="763" t="s">
        <v>742</v>
      </c>
      <c r="B145" s="764" t="s">
        <v>743</v>
      </c>
      <c r="C145" s="757">
        <v>71.13300000000001</v>
      </c>
      <c r="D145" s="757">
        <v>0</v>
      </c>
      <c r="E145" s="757">
        <v>0</v>
      </c>
      <c r="F145" s="757">
        <v>0</v>
      </c>
      <c r="G145" s="757">
        <f t="shared" si="3"/>
        <v>71.13300000000001</v>
      </c>
      <c r="I145" s="765"/>
    </row>
    <row r="146" spans="1:9" ht="14.4" x14ac:dyDescent="0.3">
      <c r="A146" s="763" t="s">
        <v>966</v>
      </c>
      <c r="B146" s="764" t="s">
        <v>967</v>
      </c>
      <c r="C146" s="757">
        <v>24.7</v>
      </c>
      <c r="D146" s="757">
        <v>0</v>
      </c>
      <c r="E146" s="757">
        <v>0</v>
      </c>
      <c r="F146" s="757">
        <v>0</v>
      </c>
      <c r="G146" s="757">
        <f t="shared" si="3"/>
        <v>24.7</v>
      </c>
      <c r="I146" s="765"/>
    </row>
    <row r="147" spans="1:9" ht="14.4" x14ac:dyDescent="0.3">
      <c r="A147" s="763" t="s">
        <v>680</v>
      </c>
      <c r="B147" s="764" t="s">
        <v>681</v>
      </c>
      <c r="C147" s="757">
        <v>2870.3900000000003</v>
      </c>
      <c r="D147" s="757">
        <v>0</v>
      </c>
      <c r="E147" s="757">
        <v>2019.9539999999997</v>
      </c>
      <c r="F147" s="757">
        <v>0</v>
      </c>
      <c r="G147" s="757">
        <f t="shared" si="3"/>
        <v>2870.3900000000003</v>
      </c>
      <c r="I147" s="765"/>
    </row>
    <row r="148" spans="1:9" ht="14.4" x14ac:dyDescent="0.3">
      <c r="A148" s="763" t="s">
        <v>1122</v>
      </c>
      <c r="B148" s="764" t="s">
        <v>1123</v>
      </c>
      <c r="C148" s="757">
        <v>1062.587</v>
      </c>
      <c r="D148" s="757">
        <v>0</v>
      </c>
      <c r="E148" s="757">
        <v>33.15</v>
      </c>
      <c r="F148" s="757">
        <v>0</v>
      </c>
      <c r="G148" s="757">
        <f t="shared" si="3"/>
        <v>1062.587</v>
      </c>
      <c r="I148" s="765"/>
    </row>
    <row r="149" spans="1:9" ht="14.4" x14ac:dyDescent="0.3">
      <c r="A149" s="763" t="s">
        <v>774</v>
      </c>
      <c r="B149" s="764" t="s">
        <v>775</v>
      </c>
      <c r="C149" s="757">
        <v>175.49700000000001</v>
      </c>
      <c r="D149" s="757">
        <v>8.4</v>
      </c>
      <c r="E149" s="757">
        <v>0</v>
      </c>
      <c r="F149" s="757">
        <v>0</v>
      </c>
      <c r="G149" s="757">
        <f t="shared" si="3"/>
        <v>183.89700000000002</v>
      </c>
      <c r="I149" s="765"/>
    </row>
    <row r="150" spans="1:9" ht="14.4" x14ac:dyDescent="0.3">
      <c r="A150" s="763" t="s">
        <v>828</v>
      </c>
      <c r="B150" s="764" t="s">
        <v>829</v>
      </c>
      <c r="C150" s="757">
        <v>765.63499999999999</v>
      </c>
      <c r="D150" s="757">
        <v>0</v>
      </c>
      <c r="E150" s="757">
        <v>0</v>
      </c>
      <c r="F150" s="757">
        <v>7.2</v>
      </c>
      <c r="G150" s="757">
        <f t="shared" si="3"/>
        <v>772.83500000000004</v>
      </c>
      <c r="I150" s="765"/>
    </row>
    <row r="151" spans="1:9" ht="14.4" x14ac:dyDescent="0.3">
      <c r="A151" s="763" t="s">
        <v>656</v>
      </c>
      <c r="B151" s="764" t="s">
        <v>657</v>
      </c>
      <c r="C151" s="757">
        <v>50.8</v>
      </c>
      <c r="D151" s="757">
        <v>3</v>
      </c>
      <c r="E151" s="757">
        <v>0</v>
      </c>
      <c r="F151" s="757">
        <v>0</v>
      </c>
      <c r="G151" s="757">
        <f t="shared" si="3"/>
        <v>53.8</v>
      </c>
      <c r="I151" s="765"/>
    </row>
    <row r="152" spans="1:9" ht="14.4" x14ac:dyDescent="0.3">
      <c r="A152" s="763" t="s">
        <v>812</v>
      </c>
      <c r="B152" s="764" t="s">
        <v>813</v>
      </c>
      <c r="C152" s="757">
        <v>593.10700000000008</v>
      </c>
      <c r="D152" s="757">
        <v>27.2</v>
      </c>
      <c r="E152" s="757">
        <v>9.9699999999999989</v>
      </c>
      <c r="F152" s="757">
        <v>0</v>
      </c>
      <c r="G152" s="757">
        <f t="shared" si="3"/>
        <v>620.30700000000013</v>
      </c>
      <c r="I152" s="765"/>
    </row>
    <row r="153" spans="1:9" ht="14.4" x14ac:dyDescent="0.3">
      <c r="A153" s="763" t="s">
        <v>808</v>
      </c>
      <c r="B153" s="764" t="s">
        <v>809</v>
      </c>
      <c r="C153" s="757">
        <v>398.21699999999998</v>
      </c>
      <c r="D153" s="757">
        <v>20</v>
      </c>
      <c r="E153" s="757">
        <v>3.7469999999999999</v>
      </c>
      <c r="F153" s="757">
        <v>0.7</v>
      </c>
      <c r="G153" s="757">
        <f t="shared" si="3"/>
        <v>418.91699999999997</v>
      </c>
      <c r="I153" s="765"/>
    </row>
    <row r="154" spans="1:9" ht="14.4" x14ac:dyDescent="0.3">
      <c r="A154" s="763" t="s">
        <v>510</v>
      </c>
      <c r="B154" s="764" t="s">
        <v>511</v>
      </c>
      <c r="C154" s="757">
        <v>604.67700000000002</v>
      </c>
      <c r="D154" s="757">
        <v>0</v>
      </c>
      <c r="E154" s="757">
        <v>0</v>
      </c>
      <c r="F154" s="757">
        <v>1.8</v>
      </c>
      <c r="G154" s="757">
        <f t="shared" si="3"/>
        <v>606.47699999999998</v>
      </c>
      <c r="I154" s="765"/>
    </row>
    <row r="155" spans="1:9" ht="14.4" x14ac:dyDescent="0.3">
      <c r="A155" s="763" t="s">
        <v>1132</v>
      </c>
      <c r="B155" s="764" t="s">
        <v>1133</v>
      </c>
      <c r="C155" s="757">
        <v>708.34800000000007</v>
      </c>
      <c r="D155" s="757">
        <v>35.299999999999997</v>
      </c>
      <c r="E155" s="757">
        <v>22.9</v>
      </c>
      <c r="F155" s="757">
        <v>1.4</v>
      </c>
      <c r="G155" s="757">
        <f t="shared" si="3"/>
        <v>745.048</v>
      </c>
      <c r="I155" s="765"/>
    </row>
    <row r="156" spans="1:9" ht="14.4" x14ac:dyDescent="0.3">
      <c r="A156" s="763" t="s">
        <v>538</v>
      </c>
      <c r="B156" s="764" t="s">
        <v>539</v>
      </c>
      <c r="C156" s="757">
        <v>283.85000000000002</v>
      </c>
      <c r="D156" s="757">
        <v>3.1</v>
      </c>
      <c r="E156" s="757">
        <v>212.33</v>
      </c>
      <c r="F156" s="757">
        <v>0</v>
      </c>
      <c r="G156" s="757">
        <f t="shared" si="3"/>
        <v>286.95000000000005</v>
      </c>
      <c r="I156" s="765"/>
    </row>
    <row r="157" spans="1:9" ht="14.4" x14ac:dyDescent="0.3">
      <c r="A157" s="763" t="s">
        <v>1062</v>
      </c>
      <c r="B157" s="764" t="s">
        <v>1063</v>
      </c>
      <c r="C157" s="757">
        <v>877.89599999999996</v>
      </c>
      <c r="D157" s="757">
        <v>0</v>
      </c>
      <c r="E157" s="757">
        <v>43.6</v>
      </c>
      <c r="F157" s="757">
        <v>0.57999999999999996</v>
      </c>
      <c r="G157" s="757">
        <f t="shared" si="3"/>
        <v>878.476</v>
      </c>
      <c r="I157" s="765"/>
    </row>
    <row r="158" spans="1:9" ht="14.4" x14ac:dyDescent="0.3">
      <c r="A158" s="763" t="s">
        <v>874</v>
      </c>
      <c r="B158" s="764" t="s">
        <v>875</v>
      </c>
      <c r="C158" s="757">
        <v>823.48000000000013</v>
      </c>
      <c r="D158" s="757">
        <v>17.600000000000001</v>
      </c>
      <c r="E158" s="757">
        <v>24.71</v>
      </c>
      <c r="F158" s="757">
        <v>5.0999999999999996</v>
      </c>
      <c r="G158" s="757">
        <f t="shared" si="3"/>
        <v>846.18000000000018</v>
      </c>
      <c r="I158" s="765"/>
    </row>
    <row r="159" spans="1:9" ht="14.4" x14ac:dyDescent="0.3">
      <c r="A159" s="763" t="s">
        <v>904</v>
      </c>
      <c r="B159" s="764" t="s">
        <v>905</v>
      </c>
      <c r="C159" s="757">
        <v>259.18199999999996</v>
      </c>
      <c r="D159" s="757">
        <v>18.600000000000001</v>
      </c>
      <c r="E159" s="757">
        <v>0</v>
      </c>
      <c r="F159" s="757">
        <v>0</v>
      </c>
      <c r="G159" s="757">
        <f t="shared" si="3"/>
        <v>277.78199999999998</v>
      </c>
      <c r="I159" s="765"/>
    </row>
    <row r="160" spans="1:9" ht="14.4" x14ac:dyDescent="0.3">
      <c r="A160" s="763" t="s">
        <v>572</v>
      </c>
      <c r="B160" s="764" t="s">
        <v>573</v>
      </c>
      <c r="C160" s="757">
        <v>2860.1490000000003</v>
      </c>
      <c r="D160" s="757">
        <v>0</v>
      </c>
      <c r="E160" s="757">
        <v>34.548000000000002</v>
      </c>
      <c r="F160" s="757">
        <v>13.4</v>
      </c>
      <c r="G160" s="757">
        <f t="shared" si="3"/>
        <v>2873.5490000000004</v>
      </c>
      <c r="I160" s="765"/>
    </row>
    <row r="161" spans="1:9" ht="14.4" x14ac:dyDescent="0.3">
      <c r="A161" s="763" t="s">
        <v>1118</v>
      </c>
      <c r="B161" s="764" t="s">
        <v>1119</v>
      </c>
      <c r="C161" s="757">
        <v>347.80700000000007</v>
      </c>
      <c r="D161" s="757">
        <v>0</v>
      </c>
      <c r="E161" s="757">
        <v>18.515000000000001</v>
      </c>
      <c r="F161" s="757">
        <v>0</v>
      </c>
      <c r="G161" s="757">
        <f t="shared" si="3"/>
        <v>347.80700000000007</v>
      </c>
      <c r="I161" s="765"/>
    </row>
    <row r="162" spans="1:9" ht="14.4" x14ac:dyDescent="0.3">
      <c r="A162" s="763" t="s">
        <v>570</v>
      </c>
      <c r="B162" s="764" t="s">
        <v>571</v>
      </c>
      <c r="C162" s="757">
        <v>3142.6480000000001</v>
      </c>
      <c r="D162" s="757">
        <v>0</v>
      </c>
      <c r="E162" s="757">
        <v>113.25699999999999</v>
      </c>
      <c r="F162" s="757">
        <v>17.399999999999999</v>
      </c>
      <c r="G162" s="757">
        <f t="shared" si="3"/>
        <v>3160.0480000000002</v>
      </c>
      <c r="I162" s="765"/>
    </row>
    <row r="163" spans="1:9" ht="14.4" x14ac:dyDescent="0.3">
      <c r="A163" s="763" t="s">
        <v>1016</v>
      </c>
      <c r="B163" s="764" t="s">
        <v>1017</v>
      </c>
      <c r="C163" s="757">
        <v>46.400000000000013</v>
      </c>
      <c r="D163" s="757">
        <v>0</v>
      </c>
      <c r="E163" s="757">
        <v>0</v>
      </c>
      <c r="F163" s="757">
        <v>0</v>
      </c>
      <c r="G163" s="757">
        <f t="shared" si="3"/>
        <v>46.400000000000013</v>
      </c>
      <c r="I163" s="765"/>
    </row>
    <row r="164" spans="1:9" ht="14.4" x14ac:dyDescent="0.3">
      <c r="A164" s="763" t="s">
        <v>948</v>
      </c>
      <c r="B164" s="764" t="s">
        <v>949</v>
      </c>
      <c r="C164" s="757">
        <v>680.69799999999998</v>
      </c>
      <c r="D164" s="757">
        <v>16.5</v>
      </c>
      <c r="E164" s="757">
        <v>61.834999999999994</v>
      </c>
      <c r="F164" s="757">
        <v>0</v>
      </c>
      <c r="G164" s="757">
        <f t="shared" si="3"/>
        <v>697.19799999999998</v>
      </c>
      <c r="I164" s="765"/>
    </row>
    <row r="165" spans="1:9" ht="14.4" x14ac:dyDescent="0.3">
      <c r="A165" s="763" t="s">
        <v>512</v>
      </c>
      <c r="B165" s="764" t="s">
        <v>513</v>
      </c>
      <c r="C165" s="757">
        <v>106.86800000000001</v>
      </c>
      <c r="D165" s="757">
        <v>0</v>
      </c>
      <c r="E165" s="757">
        <v>0</v>
      </c>
      <c r="F165" s="757">
        <v>0</v>
      </c>
      <c r="G165" s="757">
        <f t="shared" si="3"/>
        <v>106.86800000000001</v>
      </c>
      <c r="I165" s="765"/>
    </row>
    <row r="166" spans="1:9" ht="14.4" x14ac:dyDescent="0.3">
      <c r="A166" s="763" t="s">
        <v>612</v>
      </c>
      <c r="B166" s="764" t="s">
        <v>613</v>
      </c>
      <c r="C166" s="757">
        <v>71.685000000000016</v>
      </c>
      <c r="D166" s="757">
        <v>0</v>
      </c>
      <c r="E166" s="757">
        <v>0</v>
      </c>
      <c r="F166" s="757">
        <v>0</v>
      </c>
      <c r="G166" s="757">
        <f t="shared" si="3"/>
        <v>71.685000000000016</v>
      </c>
      <c r="I166" s="765"/>
    </row>
    <row r="167" spans="1:9" ht="14.4" x14ac:dyDescent="0.3">
      <c r="A167" s="763" t="s">
        <v>866</v>
      </c>
      <c r="B167" s="764" t="s">
        <v>867</v>
      </c>
      <c r="C167" s="757">
        <v>202.16799999999998</v>
      </c>
      <c r="D167" s="757">
        <v>9.6999999999999993</v>
      </c>
      <c r="E167" s="757">
        <v>0</v>
      </c>
      <c r="F167" s="757">
        <v>0</v>
      </c>
      <c r="G167" s="757">
        <f t="shared" si="3"/>
        <v>211.86799999999997</v>
      </c>
      <c r="I167" s="765"/>
    </row>
    <row r="168" spans="1:9" ht="14.4" x14ac:dyDescent="0.3">
      <c r="A168" s="763" t="s">
        <v>1126</v>
      </c>
      <c r="B168" s="764" t="s">
        <v>1127</v>
      </c>
      <c r="C168" s="757">
        <v>209.02600000000001</v>
      </c>
      <c r="D168" s="757">
        <v>14.9</v>
      </c>
      <c r="E168" s="757">
        <v>0</v>
      </c>
      <c r="F168" s="757">
        <v>0</v>
      </c>
      <c r="G168" s="757">
        <f t="shared" si="3"/>
        <v>223.92600000000002</v>
      </c>
      <c r="I168" s="765"/>
    </row>
    <row r="169" spans="1:9" ht="14.4" x14ac:dyDescent="0.3">
      <c r="A169" s="763" t="s">
        <v>698</v>
      </c>
      <c r="B169" s="764" t="s">
        <v>699</v>
      </c>
      <c r="C169" s="757">
        <v>111.75999999999999</v>
      </c>
      <c r="D169" s="757">
        <v>0</v>
      </c>
      <c r="E169" s="757">
        <v>0</v>
      </c>
      <c r="F169" s="757">
        <v>0</v>
      </c>
      <c r="G169" s="757">
        <f t="shared" si="3"/>
        <v>111.75999999999999</v>
      </c>
      <c r="I169" s="765"/>
    </row>
    <row r="170" spans="1:9" ht="14.4" x14ac:dyDescent="0.3">
      <c r="A170" s="763" t="s">
        <v>622</v>
      </c>
      <c r="B170" s="764" t="s">
        <v>623</v>
      </c>
      <c r="C170" s="757">
        <v>641.90359999999987</v>
      </c>
      <c r="D170" s="757">
        <v>18.7</v>
      </c>
      <c r="E170" s="757">
        <v>28.684000000000005</v>
      </c>
      <c r="F170" s="757">
        <v>6.5400000000000009</v>
      </c>
      <c r="G170" s="757">
        <f t="shared" si="3"/>
        <v>667.14359999999988</v>
      </c>
      <c r="I170" s="765"/>
    </row>
    <row r="171" spans="1:9" ht="14.4" x14ac:dyDescent="0.3">
      <c r="A171" s="763" t="s">
        <v>1010</v>
      </c>
      <c r="B171" s="764" t="s">
        <v>1011</v>
      </c>
      <c r="C171" s="757">
        <v>209.8</v>
      </c>
      <c r="D171" s="757">
        <v>0</v>
      </c>
      <c r="E171" s="757">
        <v>0</v>
      </c>
      <c r="F171" s="757">
        <v>0</v>
      </c>
      <c r="G171" s="757">
        <f t="shared" si="3"/>
        <v>209.8</v>
      </c>
      <c r="I171" s="765"/>
    </row>
    <row r="172" spans="1:9" ht="14.4" x14ac:dyDescent="0.3">
      <c r="A172" s="763" t="s">
        <v>690</v>
      </c>
      <c r="B172" s="764" t="s">
        <v>691</v>
      </c>
      <c r="C172" s="757">
        <v>209.84200000000001</v>
      </c>
      <c r="D172" s="757">
        <v>16</v>
      </c>
      <c r="E172" s="757">
        <v>0</v>
      </c>
      <c r="F172" s="757">
        <v>0</v>
      </c>
      <c r="G172" s="757">
        <f t="shared" si="3"/>
        <v>225.84200000000001</v>
      </c>
      <c r="I172" s="765"/>
    </row>
    <row r="173" spans="1:9" ht="14.4" x14ac:dyDescent="0.3">
      <c r="A173" s="763" t="s">
        <v>990</v>
      </c>
      <c r="B173" s="764" t="s">
        <v>991</v>
      </c>
      <c r="C173" s="757">
        <v>4120.5859999999993</v>
      </c>
      <c r="D173" s="757">
        <v>0</v>
      </c>
      <c r="E173" s="757">
        <v>152.36999999999998</v>
      </c>
      <c r="F173" s="757">
        <v>103.76499999999999</v>
      </c>
      <c r="G173" s="757">
        <f t="shared" si="3"/>
        <v>4224.3509999999997</v>
      </c>
      <c r="I173" s="765"/>
    </row>
    <row r="174" spans="1:9" ht="14.4" x14ac:dyDescent="0.3">
      <c r="A174" s="763" t="s">
        <v>784</v>
      </c>
      <c r="B174" s="764" t="s">
        <v>785</v>
      </c>
      <c r="C174" s="757">
        <v>746.05800000000011</v>
      </c>
      <c r="D174" s="757">
        <v>0</v>
      </c>
      <c r="E174" s="757">
        <v>572.29999999999995</v>
      </c>
      <c r="F174" s="757">
        <v>1.2</v>
      </c>
      <c r="G174" s="757">
        <f t="shared" si="3"/>
        <v>747.25800000000015</v>
      </c>
      <c r="I174" s="765"/>
    </row>
    <row r="175" spans="1:9" ht="14.4" x14ac:dyDescent="0.3">
      <c r="A175" s="763" t="s">
        <v>910</v>
      </c>
      <c r="B175" s="764" t="s">
        <v>911</v>
      </c>
      <c r="C175" s="757">
        <v>720.55200000000002</v>
      </c>
      <c r="D175" s="757">
        <v>0</v>
      </c>
      <c r="E175" s="757">
        <v>0</v>
      </c>
      <c r="F175" s="757">
        <v>0</v>
      </c>
      <c r="G175" s="757">
        <f t="shared" si="3"/>
        <v>720.55200000000002</v>
      </c>
      <c r="I175" s="765"/>
    </row>
    <row r="176" spans="1:9" ht="14.4" x14ac:dyDescent="0.3">
      <c r="A176" s="763" t="s">
        <v>846</v>
      </c>
      <c r="B176" s="764" t="s">
        <v>847</v>
      </c>
      <c r="C176" s="757">
        <v>2198.15</v>
      </c>
      <c r="D176" s="757">
        <v>33.700000000000003</v>
      </c>
      <c r="E176" s="757">
        <v>133.03199999999998</v>
      </c>
      <c r="F176" s="757">
        <v>0</v>
      </c>
      <c r="G176" s="757">
        <f t="shared" si="3"/>
        <v>2231.85</v>
      </c>
      <c r="I176" s="765"/>
    </row>
    <row r="177" spans="1:9" ht="14.4" x14ac:dyDescent="0.3">
      <c r="A177" s="763" t="s">
        <v>706</v>
      </c>
      <c r="B177" s="764" t="s">
        <v>707</v>
      </c>
      <c r="C177" s="757">
        <v>304.322</v>
      </c>
      <c r="D177" s="757">
        <v>12.8</v>
      </c>
      <c r="E177" s="757">
        <v>0</v>
      </c>
      <c r="F177" s="757">
        <v>0</v>
      </c>
      <c r="G177" s="757">
        <f t="shared" si="3"/>
        <v>317.12200000000001</v>
      </c>
      <c r="I177" s="765"/>
    </row>
    <row r="178" spans="1:9" ht="14.4" x14ac:dyDescent="0.3">
      <c r="A178" s="763" t="s">
        <v>832</v>
      </c>
      <c r="B178" s="764" t="s">
        <v>833</v>
      </c>
      <c r="C178" s="757">
        <v>171.2</v>
      </c>
      <c r="D178" s="757">
        <v>5.6</v>
      </c>
      <c r="E178" s="757">
        <v>28.2</v>
      </c>
      <c r="F178" s="757">
        <v>0</v>
      </c>
      <c r="G178" s="757">
        <f t="shared" si="3"/>
        <v>176.79999999999998</v>
      </c>
      <c r="I178" s="765"/>
    </row>
    <row r="179" spans="1:9" ht="14.4" x14ac:dyDescent="0.3">
      <c r="A179" s="763" t="s">
        <v>872</v>
      </c>
      <c r="B179" s="764" t="s">
        <v>873</v>
      </c>
      <c r="C179" s="757">
        <v>5758.5660000000007</v>
      </c>
      <c r="D179" s="757">
        <v>0</v>
      </c>
      <c r="E179" s="757">
        <v>4425.204999999999</v>
      </c>
      <c r="F179" s="757">
        <v>21.4</v>
      </c>
      <c r="G179" s="757">
        <f t="shared" si="3"/>
        <v>5779.9660000000003</v>
      </c>
      <c r="I179" s="765"/>
    </row>
    <row r="180" spans="1:9" ht="14.4" x14ac:dyDescent="0.3">
      <c r="A180" s="763" t="s">
        <v>868</v>
      </c>
      <c r="B180" s="764" t="s">
        <v>869</v>
      </c>
      <c r="C180" s="757">
        <v>1020.424</v>
      </c>
      <c r="D180" s="757">
        <v>15.8</v>
      </c>
      <c r="E180" s="757">
        <v>89.191000000000003</v>
      </c>
      <c r="F180" s="757">
        <v>19.7</v>
      </c>
      <c r="G180" s="757">
        <f t="shared" si="3"/>
        <v>1055.924</v>
      </c>
      <c r="I180" s="765"/>
    </row>
    <row r="181" spans="1:9" ht="14.4" x14ac:dyDescent="0.3">
      <c r="A181" s="763" t="s">
        <v>542</v>
      </c>
      <c r="B181" s="764" t="s">
        <v>543</v>
      </c>
      <c r="C181" s="757">
        <v>897.05599999999993</v>
      </c>
      <c r="D181" s="757">
        <v>31.8</v>
      </c>
      <c r="E181" s="757">
        <v>13.73</v>
      </c>
      <c r="F181" s="757">
        <v>0</v>
      </c>
      <c r="G181" s="757">
        <f t="shared" si="3"/>
        <v>928.85599999999988</v>
      </c>
      <c r="I181" s="765"/>
    </row>
    <row r="182" spans="1:9" ht="14.4" x14ac:dyDescent="0.3">
      <c r="A182" s="763" t="s">
        <v>900</v>
      </c>
      <c r="B182" s="764" t="s">
        <v>901</v>
      </c>
      <c r="C182" s="757">
        <v>222.45300000000006</v>
      </c>
      <c r="D182" s="757">
        <v>4</v>
      </c>
      <c r="E182" s="757">
        <v>3.22</v>
      </c>
      <c r="F182" s="757">
        <v>0</v>
      </c>
      <c r="G182" s="757">
        <f t="shared" si="3"/>
        <v>226.45300000000006</v>
      </c>
      <c r="I182" s="765"/>
    </row>
    <row r="183" spans="1:9" ht="14.4" x14ac:dyDescent="0.3">
      <c r="A183" s="763" t="s">
        <v>800</v>
      </c>
      <c r="B183" s="764" t="s">
        <v>801</v>
      </c>
      <c r="C183" s="757">
        <v>748.56200000000013</v>
      </c>
      <c r="D183" s="757">
        <v>0</v>
      </c>
      <c r="E183" s="757">
        <v>28.803999999999995</v>
      </c>
      <c r="F183" s="757">
        <v>0</v>
      </c>
      <c r="G183" s="757">
        <f t="shared" si="3"/>
        <v>748.56200000000013</v>
      </c>
      <c r="I183" s="765"/>
    </row>
    <row r="184" spans="1:9" ht="14.4" x14ac:dyDescent="0.3">
      <c r="A184" s="763" t="s">
        <v>1064</v>
      </c>
      <c r="B184" s="764" t="s">
        <v>1065</v>
      </c>
      <c r="C184" s="757">
        <v>1027.288</v>
      </c>
      <c r="D184" s="757">
        <v>0</v>
      </c>
      <c r="E184" s="757">
        <v>105.85299999999999</v>
      </c>
      <c r="F184" s="757">
        <v>0</v>
      </c>
      <c r="G184" s="757">
        <f t="shared" si="3"/>
        <v>1027.288</v>
      </c>
      <c r="I184" s="765"/>
    </row>
    <row r="185" spans="1:9" ht="14.4" x14ac:dyDescent="0.3">
      <c r="A185" s="763" t="s">
        <v>886</v>
      </c>
      <c r="B185" s="764" t="s">
        <v>887</v>
      </c>
      <c r="C185" s="757">
        <v>500.30300000000005</v>
      </c>
      <c r="D185" s="757">
        <v>0</v>
      </c>
      <c r="E185" s="757">
        <v>13.884</v>
      </c>
      <c r="F185" s="757">
        <v>0</v>
      </c>
      <c r="G185" s="757">
        <f t="shared" si="3"/>
        <v>500.30300000000005</v>
      </c>
      <c r="I185" s="765"/>
    </row>
    <row r="186" spans="1:9" ht="14.4" x14ac:dyDescent="0.3">
      <c r="A186" s="769" t="s">
        <v>896</v>
      </c>
      <c r="B186" s="764" t="s">
        <v>897</v>
      </c>
      <c r="C186" s="757">
        <v>147.31600000000003</v>
      </c>
      <c r="D186" s="757">
        <v>0</v>
      </c>
      <c r="E186" s="757">
        <v>0</v>
      </c>
      <c r="F186" s="757">
        <v>0</v>
      </c>
      <c r="G186" s="757">
        <f t="shared" si="3"/>
        <v>147.31600000000003</v>
      </c>
      <c r="I186" s="765"/>
    </row>
    <row r="187" spans="1:9" ht="14.4" x14ac:dyDescent="0.3">
      <c r="A187" s="763" t="s">
        <v>862</v>
      </c>
      <c r="B187" s="764" t="s">
        <v>863</v>
      </c>
      <c r="C187" s="757">
        <v>903.77600000000007</v>
      </c>
      <c r="D187" s="757">
        <v>17</v>
      </c>
      <c r="E187" s="757">
        <v>40.364999999999995</v>
      </c>
      <c r="F187" s="757">
        <v>1</v>
      </c>
      <c r="G187" s="757">
        <f t="shared" si="3"/>
        <v>921.77600000000007</v>
      </c>
      <c r="I187" s="765"/>
    </row>
    <row r="188" spans="1:9" ht="14.4" x14ac:dyDescent="0.3">
      <c r="A188" s="763" t="s">
        <v>946</v>
      </c>
      <c r="B188" s="764" t="s">
        <v>947</v>
      </c>
      <c r="C188" s="757">
        <v>445.48400000000004</v>
      </c>
      <c r="D188" s="757">
        <v>25.2</v>
      </c>
      <c r="E188" s="757">
        <v>0</v>
      </c>
      <c r="F188" s="757">
        <v>0</v>
      </c>
      <c r="G188" s="757">
        <f t="shared" si="3"/>
        <v>470.68400000000003</v>
      </c>
      <c r="I188" s="765"/>
    </row>
    <row r="189" spans="1:9" ht="14.4" x14ac:dyDescent="0.3">
      <c r="A189" s="763" t="s">
        <v>1004</v>
      </c>
      <c r="B189" s="764" t="s">
        <v>1005</v>
      </c>
      <c r="C189" s="757">
        <v>1343.104</v>
      </c>
      <c r="D189" s="757">
        <v>8.8000000000000007</v>
      </c>
      <c r="E189" s="757">
        <v>835.6239999999998</v>
      </c>
      <c r="F189" s="757">
        <v>4.5</v>
      </c>
      <c r="G189" s="757">
        <f t="shared" si="3"/>
        <v>1356.404</v>
      </c>
      <c r="I189" s="765"/>
    </row>
    <row r="190" spans="1:9" ht="14.4" x14ac:dyDescent="0.3">
      <c r="A190" s="763" t="s">
        <v>830</v>
      </c>
      <c r="B190" s="764" t="s">
        <v>831</v>
      </c>
      <c r="C190" s="757">
        <v>305.92600000000004</v>
      </c>
      <c r="D190" s="757">
        <v>0</v>
      </c>
      <c r="E190" s="757">
        <v>0</v>
      </c>
      <c r="F190" s="757">
        <v>0</v>
      </c>
      <c r="G190" s="757">
        <f t="shared" si="3"/>
        <v>305.92600000000004</v>
      </c>
      <c r="I190" s="765"/>
    </row>
    <row r="191" spans="1:9" ht="14.4" x14ac:dyDescent="0.3">
      <c r="A191" s="763" t="s">
        <v>1128</v>
      </c>
      <c r="B191" s="764" t="s">
        <v>1129</v>
      </c>
      <c r="C191" s="757">
        <v>323.89399999999995</v>
      </c>
      <c r="D191" s="757">
        <v>0</v>
      </c>
      <c r="E191" s="757">
        <v>0</v>
      </c>
      <c r="F191" s="757">
        <v>0</v>
      </c>
      <c r="G191" s="757">
        <f t="shared" si="3"/>
        <v>323.89399999999995</v>
      </c>
      <c r="I191" s="765"/>
    </row>
    <row r="192" spans="1:9" ht="14.4" x14ac:dyDescent="0.3">
      <c r="A192" s="763" t="s">
        <v>848</v>
      </c>
      <c r="B192" s="764" t="s">
        <v>849</v>
      </c>
      <c r="C192" s="757">
        <v>46.013999999999996</v>
      </c>
      <c r="D192" s="757">
        <v>1.9</v>
      </c>
      <c r="E192" s="757">
        <v>0</v>
      </c>
      <c r="F192" s="757">
        <v>0</v>
      </c>
      <c r="G192" s="757">
        <f t="shared" si="3"/>
        <v>47.913999999999994</v>
      </c>
      <c r="I192" s="765"/>
    </row>
    <row r="193" spans="1:9" ht="14.4" x14ac:dyDescent="0.3">
      <c r="A193" s="763" t="s">
        <v>834</v>
      </c>
      <c r="B193" s="764" t="s">
        <v>835</v>
      </c>
      <c r="C193" s="757">
        <v>1143.384</v>
      </c>
      <c r="D193" s="757">
        <v>0</v>
      </c>
      <c r="E193" s="757">
        <v>217.911</v>
      </c>
      <c r="F193" s="757">
        <v>0.3</v>
      </c>
      <c r="G193" s="757">
        <f t="shared" si="3"/>
        <v>1143.684</v>
      </c>
      <c r="I193" s="765"/>
    </row>
    <row r="194" spans="1:9" ht="14.4" x14ac:dyDescent="0.3">
      <c r="A194" s="763" t="s">
        <v>616</v>
      </c>
      <c r="B194" s="764" t="s">
        <v>617</v>
      </c>
      <c r="C194" s="757">
        <v>367.56400000000014</v>
      </c>
      <c r="D194" s="757">
        <v>13.2</v>
      </c>
      <c r="E194" s="757">
        <v>113.43299999999999</v>
      </c>
      <c r="F194" s="757">
        <v>2.5</v>
      </c>
      <c r="G194" s="757">
        <f t="shared" si="3"/>
        <v>383.26400000000012</v>
      </c>
      <c r="I194" s="765"/>
    </row>
    <row r="195" spans="1:9" ht="14.4" x14ac:dyDescent="0.3">
      <c r="A195" s="763" t="s">
        <v>984</v>
      </c>
      <c r="B195" s="764" t="s">
        <v>985</v>
      </c>
      <c r="C195" s="757">
        <v>239.12799999999999</v>
      </c>
      <c r="D195" s="757">
        <v>9</v>
      </c>
      <c r="E195" s="757">
        <v>0</v>
      </c>
      <c r="F195" s="757">
        <v>0</v>
      </c>
      <c r="G195" s="757">
        <f t="shared" si="3"/>
        <v>248.12799999999999</v>
      </c>
      <c r="I195" s="765"/>
    </row>
    <row r="196" spans="1:9" ht="14.4" x14ac:dyDescent="0.3">
      <c r="A196" s="763" t="s">
        <v>1028</v>
      </c>
      <c r="B196" s="764" t="s">
        <v>1029</v>
      </c>
      <c r="C196" s="757">
        <v>2775.0619999999999</v>
      </c>
      <c r="D196" s="757">
        <v>32.047999999999995</v>
      </c>
      <c r="E196" s="757">
        <v>0</v>
      </c>
      <c r="F196" s="757">
        <v>4.4000000000000004</v>
      </c>
      <c r="G196" s="757">
        <f t="shared" si="3"/>
        <v>2811.5099999999998</v>
      </c>
      <c r="I196" s="765"/>
    </row>
    <row r="197" spans="1:9" ht="14.4" x14ac:dyDescent="0.3">
      <c r="A197" s="763" t="s">
        <v>926</v>
      </c>
      <c r="B197" s="764" t="s">
        <v>927</v>
      </c>
      <c r="C197" s="757">
        <v>21933.954999999998</v>
      </c>
      <c r="D197" s="757">
        <v>205.36799999999999</v>
      </c>
      <c r="E197" s="757">
        <v>343.089</v>
      </c>
      <c r="F197" s="757">
        <v>122.3</v>
      </c>
      <c r="G197" s="757">
        <f t="shared" si="3"/>
        <v>22261.622999999996</v>
      </c>
      <c r="I197" s="765"/>
    </row>
    <row r="198" spans="1:9" ht="14.4" x14ac:dyDescent="0.3">
      <c r="A198" s="763" t="s">
        <v>1050</v>
      </c>
      <c r="B198" s="764" t="s">
        <v>1051</v>
      </c>
      <c r="C198" s="757">
        <v>26272.803999999996</v>
      </c>
      <c r="D198" s="757">
        <v>648.12700000000007</v>
      </c>
      <c r="E198" s="757">
        <v>1021.856</v>
      </c>
      <c r="F198" s="757">
        <v>378.87199999999996</v>
      </c>
      <c r="G198" s="757">
        <f t="shared" si="3"/>
        <v>27299.802999999996</v>
      </c>
      <c r="I198" s="765"/>
    </row>
    <row r="199" spans="1:9" ht="14.4" x14ac:dyDescent="0.3">
      <c r="A199" s="763" t="s">
        <v>554</v>
      </c>
      <c r="B199" s="764" t="s">
        <v>555</v>
      </c>
      <c r="C199" s="757">
        <v>177.4</v>
      </c>
      <c r="D199" s="757">
        <v>0</v>
      </c>
      <c r="E199" s="757">
        <v>0</v>
      </c>
      <c r="F199" s="757">
        <v>0</v>
      </c>
      <c r="G199" s="757">
        <f t="shared" ref="G199:G262" si="4">C199+F199+D199</f>
        <v>177.4</v>
      </c>
      <c r="I199" s="765"/>
    </row>
    <row r="200" spans="1:9" ht="14.4" x14ac:dyDescent="0.3">
      <c r="A200" s="763" t="s">
        <v>1080</v>
      </c>
      <c r="B200" s="764" t="s">
        <v>1081</v>
      </c>
      <c r="C200" s="757">
        <v>5329.9430000000002</v>
      </c>
      <c r="D200" s="757">
        <v>34.1</v>
      </c>
      <c r="E200" s="757">
        <v>10.3</v>
      </c>
      <c r="F200" s="757">
        <v>0</v>
      </c>
      <c r="G200" s="757">
        <f t="shared" si="4"/>
        <v>5364.0430000000006</v>
      </c>
      <c r="I200" s="765"/>
    </row>
    <row r="201" spans="1:9" ht="14.4" x14ac:dyDescent="0.3">
      <c r="A201" s="763" t="s">
        <v>1044</v>
      </c>
      <c r="B201" s="764" t="s">
        <v>1045</v>
      </c>
      <c r="C201" s="757">
        <v>10003.109999999999</v>
      </c>
      <c r="D201" s="757">
        <v>0</v>
      </c>
      <c r="E201" s="757">
        <v>102.23100000000001</v>
      </c>
      <c r="F201" s="757">
        <v>22.5</v>
      </c>
      <c r="G201" s="757">
        <f t="shared" si="4"/>
        <v>10025.609999999999</v>
      </c>
      <c r="I201" s="765"/>
    </row>
    <row r="202" spans="1:9" ht="14.4" x14ac:dyDescent="0.3">
      <c r="A202" s="763" t="s">
        <v>628</v>
      </c>
      <c r="B202" s="764" t="s">
        <v>629</v>
      </c>
      <c r="C202" s="757">
        <v>1410.2279999999996</v>
      </c>
      <c r="D202" s="757">
        <v>16.2</v>
      </c>
      <c r="E202" s="757">
        <v>0</v>
      </c>
      <c r="F202" s="757">
        <v>0</v>
      </c>
      <c r="G202" s="757">
        <f t="shared" si="4"/>
        <v>1426.4279999999997</v>
      </c>
      <c r="I202" s="765"/>
    </row>
    <row r="203" spans="1:9" ht="14.4" x14ac:dyDescent="0.3">
      <c r="A203" s="763" t="s">
        <v>888</v>
      </c>
      <c r="B203" s="764" t="s">
        <v>889</v>
      </c>
      <c r="C203" s="757">
        <v>2741.8580000000006</v>
      </c>
      <c r="D203" s="757">
        <v>0</v>
      </c>
      <c r="E203" s="757">
        <v>16.3</v>
      </c>
      <c r="F203" s="757">
        <v>10.9</v>
      </c>
      <c r="G203" s="757">
        <f t="shared" si="4"/>
        <v>2752.7580000000007</v>
      </c>
      <c r="I203" s="765"/>
    </row>
    <row r="204" spans="1:9" ht="14.4" x14ac:dyDescent="0.3">
      <c r="A204" s="763" t="s">
        <v>586</v>
      </c>
      <c r="B204" s="764" t="s">
        <v>587</v>
      </c>
      <c r="C204" s="757">
        <v>11187.456</v>
      </c>
      <c r="D204" s="757">
        <v>0</v>
      </c>
      <c r="E204" s="757">
        <v>173.3</v>
      </c>
      <c r="F204" s="757">
        <v>279</v>
      </c>
      <c r="G204" s="757">
        <f t="shared" si="4"/>
        <v>11466.456</v>
      </c>
      <c r="I204" s="765"/>
    </row>
    <row r="205" spans="1:9" ht="14.4" x14ac:dyDescent="0.3">
      <c r="A205" s="763" t="s">
        <v>906</v>
      </c>
      <c r="B205" s="764" t="s">
        <v>907</v>
      </c>
      <c r="C205" s="757">
        <v>8304.8179999999993</v>
      </c>
      <c r="D205" s="757">
        <v>95.596000000000004</v>
      </c>
      <c r="E205" s="757">
        <v>0</v>
      </c>
      <c r="F205" s="757">
        <v>12.501000000000001</v>
      </c>
      <c r="G205" s="757">
        <f t="shared" si="4"/>
        <v>8412.9149999999991</v>
      </c>
      <c r="I205" s="765"/>
    </row>
    <row r="206" spans="1:9" ht="14.4" x14ac:dyDescent="0.3">
      <c r="A206" s="763" t="s">
        <v>672</v>
      </c>
      <c r="B206" s="764" t="s">
        <v>673</v>
      </c>
      <c r="C206" s="757">
        <v>6757.5079999999989</v>
      </c>
      <c r="D206" s="757">
        <v>0</v>
      </c>
      <c r="E206" s="757">
        <v>0</v>
      </c>
      <c r="F206" s="757">
        <v>0</v>
      </c>
      <c r="G206" s="757">
        <f t="shared" si="4"/>
        <v>6757.5079999999989</v>
      </c>
      <c r="I206" s="765"/>
    </row>
    <row r="207" spans="1:9" ht="14.4" x14ac:dyDescent="0.3">
      <c r="A207" s="763" t="s">
        <v>532</v>
      </c>
      <c r="B207" s="764" t="s">
        <v>533</v>
      </c>
      <c r="C207" s="757">
        <v>19674.506000000001</v>
      </c>
      <c r="D207" s="757">
        <v>113</v>
      </c>
      <c r="E207" s="757">
        <v>855.31200000000013</v>
      </c>
      <c r="F207" s="757">
        <v>459.1</v>
      </c>
      <c r="G207" s="757">
        <f t="shared" si="4"/>
        <v>20246.606</v>
      </c>
      <c r="I207" s="765"/>
    </row>
    <row r="208" spans="1:9" ht="14.4" x14ac:dyDescent="0.3">
      <c r="A208" s="763" t="s">
        <v>640</v>
      </c>
      <c r="B208" s="764" t="s">
        <v>641</v>
      </c>
      <c r="C208" s="757">
        <v>1868.2270000000001</v>
      </c>
      <c r="D208" s="757">
        <v>47.8</v>
      </c>
      <c r="E208" s="757">
        <v>53.33</v>
      </c>
      <c r="F208" s="757">
        <v>26.3</v>
      </c>
      <c r="G208" s="757">
        <f t="shared" si="4"/>
        <v>1942.327</v>
      </c>
      <c r="I208" s="765"/>
    </row>
    <row r="209" spans="1:9" ht="14.4" x14ac:dyDescent="0.3">
      <c r="A209" s="763" t="s">
        <v>1120</v>
      </c>
      <c r="B209" s="764" t="s">
        <v>1121</v>
      </c>
      <c r="C209" s="757">
        <v>4112.8640000000005</v>
      </c>
      <c r="D209" s="757">
        <v>39.010999999999996</v>
      </c>
      <c r="E209" s="757">
        <v>18.122000000000003</v>
      </c>
      <c r="F209" s="757">
        <v>43.2</v>
      </c>
      <c r="G209" s="757">
        <f t="shared" si="4"/>
        <v>4195.0750000000007</v>
      </c>
      <c r="I209" s="765"/>
    </row>
    <row r="210" spans="1:9" ht="14.4" x14ac:dyDescent="0.3">
      <c r="A210" s="763" t="s">
        <v>668</v>
      </c>
      <c r="B210" s="764" t="s">
        <v>669</v>
      </c>
      <c r="C210" s="757">
        <v>3766.7879999999996</v>
      </c>
      <c r="D210" s="757">
        <v>0</v>
      </c>
      <c r="E210" s="757">
        <v>4.3</v>
      </c>
      <c r="F210" s="757">
        <v>19.399999999999999</v>
      </c>
      <c r="G210" s="757">
        <f t="shared" si="4"/>
        <v>3786.1879999999996</v>
      </c>
      <c r="I210" s="765"/>
    </row>
    <row r="211" spans="1:9" ht="14.4" x14ac:dyDescent="0.3">
      <c r="A211" s="769" t="s">
        <v>578</v>
      </c>
      <c r="B211" s="766" t="s">
        <v>579</v>
      </c>
      <c r="C211" s="757">
        <v>618.19399999999996</v>
      </c>
      <c r="D211" s="757">
        <v>17.399999999999999</v>
      </c>
      <c r="E211" s="757">
        <v>0</v>
      </c>
      <c r="F211" s="757">
        <v>0</v>
      </c>
      <c r="G211" s="757">
        <f t="shared" si="4"/>
        <v>635.59399999999994</v>
      </c>
      <c r="I211" s="765"/>
    </row>
    <row r="212" spans="1:9" ht="14.4" x14ac:dyDescent="0.3">
      <c r="A212" s="768" t="s">
        <v>712</v>
      </c>
      <c r="B212" s="766" t="s">
        <v>713</v>
      </c>
      <c r="C212" s="757">
        <v>225.8</v>
      </c>
      <c r="D212" s="757">
        <v>0</v>
      </c>
      <c r="E212" s="757">
        <v>0</v>
      </c>
      <c r="F212" s="757">
        <v>0</v>
      </c>
      <c r="G212" s="757">
        <f t="shared" si="4"/>
        <v>225.8</v>
      </c>
      <c r="I212" s="765"/>
    </row>
    <row r="213" spans="1:9" ht="14.4" x14ac:dyDescent="0.3">
      <c r="A213" s="768" t="s">
        <v>1038</v>
      </c>
      <c r="B213" s="766" t="s">
        <v>1039</v>
      </c>
      <c r="C213" s="757">
        <v>102.4</v>
      </c>
      <c r="D213" s="757">
        <v>0</v>
      </c>
      <c r="E213" s="757">
        <v>0</v>
      </c>
      <c r="F213" s="757">
        <v>0</v>
      </c>
      <c r="G213" s="757">
        <f t="shared" si="4"/>
        <v>102.4</v>
      </c>
      <c r="I213" s="765"/>
    </row>
    <row r="214" spans="1:9" ht="14.4" x14ac:dyDescent="0.3">
      <c r="A214" s="763" t="s">
        <v>988</v>
      </c>
      <c r="B214" s="764" t="s">
        <v>989</v>
      </c>
      <c r="C214" s="757">
        <v>5</v>
      </c>
      <c r="D214" s="757">
        <v>2.08</v>
      </c>
      <c r="E214" s="757">
        <v>0</v>
      </c>
      <c r="F214" s="757">
        <v>0</v>
      </c>
      <c r="G214" s="757">
        <f t="shared" si="4"/>
        <v>7.08</v>
      </c>
      <c r="I214" s="765"/>
    </row>
    <row r="215" spans="1:9" ht="14.4" x14ac:dyDescent="0.3">
      <c r="A215" s="763" t="s">
        <v>878</v>
      </c>
      <c r="B215" s="764" t="s">
        <v>879</v>
      </c>
      <c r="C215" s="757">
        <v>773.37799999999993</v>
      </c>
      <c r="D215" s="757">
        <v>0</v>
      </c>
      <c r="E215" s="757">
        <v>326.24599999999998</v>
      </c>
      <c r="F215" s="757">
        <v>0</v>
      </c>
      <c r="G215" s="757">
        <f t="shared" si="4"/>
        <v>773.37799999999993</v>
      </c>
      <c r="I215" s="765"/>
    </row>
    <row r="216" spans="1:9" ht="14.4" x14ac:dyDescent="0.3">
      <c r="A216" s="763" t="s">
        <v>768</v>
      </c>
      <c r="B216" s="764" t="s">
        <v>769</v>
      </c>
      <c r="C216" s="757">
        <v>193.85399999999998</v>
      </c>
      <c r="D216" s="757">
        <v>0</v>
      </c>
      <c r="E216" s="757">
        <v>5.8719999999999999</v>
      </c>
      <c r="F216" s="757">
        <v>0</v>
      </c>
      <c r="G216" s="757">
        <f t="shared" si="4"/>
        <v>193.85399999999998</v>
      </c>
      <c r="I216" s="765"/>
    </row>
    <row r="217" spans="1:9" ht="14.4" x14ac:dyDescent="0.3">
      <c r="A217" s="763" t="s">
        <v>974</v>
      </c>
      <c r="B217" s="764" t="s">
        <v>975</v>
      </c>
      <c r="C217" s="757">
        <v>765.69200000000012</v>
      </c>
      <c r="D217" s="757">
        <v>17</v>
      </c>
      <c r="E217" s="757">
        <v>40.698999999999998</v>
      </c>
      <c r="F217" s="757">
        <v>6.5</v>
      </c>
      <c r="G217" s="757">
        <f t="shared" si="4"/>
        <v>789.19200000000012</v>
      </c>
      <c r="I217" s="765"/>
    </row>
    <row r="218" spans="1:9" ht="14.4" x14ac:dyDescent="0.3">
      <c r="A218" s="763" t="s">
        <v>600</v>
      </c>
      <c r="B218" s="764" t="s">
        <v>601</v>
      </c>
      <c r="C218" s="757">
        <v>466.7</v>
      </c>
      <c r="D218" s="757">
        <v>27.6</v>
      </c>
      <c r="E218" s="757">
        <v>0</v>
      </c>
      <c r="F218" s="757">
        <v>8.9</v>
      </c>
      <c r="G218" s="757">
        <f t="shared" si="4"/>
        <v>503.2</v>
      </c>
      <c r="I218" s="765"/>
    </row>
    <row r="219" spans="1:9" ht="14.4" x14ac:dyDescent="0.3">
      <c r="A219" s="763" t="s">
        <v>548</v>
      </c>
      <c r="B219" s="764" t="s">
        <v>549</v>
      </c>
      <c r="C219" s="757">
        <v>3073.4960000000001</v>
      </c>
      <c r="D219" s="757">
        <v>28.736000000000001</v>
      </c>
      <c r="E219" s="757">
        <v>14.799000000000001</v>
      </c>
      <c r="F219" s="757">
        <v>13.445999999999998</v>
      </c>
      <c r="G219" s="757">
        <f t="shared" si="4"/>
        <v>3115.6779999999999</v>
      </c>
      <c r="I219" s="765"/>
    </row>
    <row r="220" spans="1:9" ht="14.4" x14ac:dyDescent="0.3">
      <c r="A220" s="763" t="s">
        <v>980</v>
      </c>
      <c r="B220" s="764" t="s">
        <v>981</v>
      </c>
      <c r="C220" s="757">
        <v>4171.0499999999993</v>
      </c>
      <c r="D220" s="757">
        <v>104.81599999999999</v>
      </c>
      <c r="E220" s="757">
        <v>8.3640000000000008</v>
      </c>
      <c r="F220" s="757">
        <v>53.332000000000008</v>
      </c>
      <c r="G220" s="757">
        <f t="shared" si="4"/>
        <v>4329.1979999999994</v>
      </c>
      <c r="I220" s="765"/>
    </row>
    <row r="221" spans="1:9" ht="14.4" x14ac:dyDescent="0.3">
      <c r="A221" s="763" t="s">
        <v>514</v>
      </c>
      <c r="B221" s="764" t="s">
        <v>515</v>
      </c>
      <c r="C221" s="757">
        <v>2478.7940000000003</v>
      </c>
      <c r="D221" s="757">
        <v>0</v>
      </c>
      <c r="E221" s="757">
        <v>46.699999999999989</v>
      </c>
      <c r="F221" s="757">
        <v>4.1790000000000003</v>
      </c>
      <c r="G221" s="757">
        <f t="shared" si="4"/>
        <v>2482.9730000000004</v>
      </c>
      <c r="I221" s="765"/>
    </row>
    <row r="222" spans="1:9" ht="14.4" x14ac:dyDescent="0.3">
      <c r="A222" s="763" t="s">
        <v>744</v>
      </c>
      <c r="B222" s="764" t="s">
        <v>745</v>
      </c>
      <c r="C222" s="757">
        <v>463.262</v>
      </c>
      <c r="D222" s="757">
        <v>0</v>
      </c>
      <c r="E222" s="757">
        <v>16.068000000000001</v>
      </c>
      <c r="F222" s="757">
        <v>1</v>
      </c>
      <c r="G222" s="757">
        <f t="shared" si="4"/>
        <v>464.262</v>
      </c>
      <c r="I222" s="765"/>
    </row>
    <row r="223" spans="1:9" ht="14.4" x14ac:dyDescent="0.3">
      <c r="A223" s="763" t="s">
        <v>602</v>
      </c>
      <c r="B223" s="764" t="s">
        <v>603</v>
      </c>
      <c r="C223" s="757">
        <v>417.18199999999996</v>
      </c>
      <c r="D223" s="757">
        <v>0</v>
      </c>
      <c r="E223" s="757">
        <v>0.7</v>
      </c>
      <c r="F223" s="757">
        <v>0</v>
      </c>
      <c r="G223" s="757">
        <f t="shared" si="4"/>
        <v>417.18199999999996</v>
      </c>
      <c r="I223" s="765"/>
    </row>
    <row r="224" spans="1:9" ht="14.4" x14ac:dyDescent="0.3">
      <c r="A224" s="763" t="s">
        <v>820</v>
      </c>
      <c r="B224" s="764" t="s">
        <v>821</v>
      </c>
      <c r="C224" s="757">
        <v>6196.9959999999992</v>
      </c>
      <c r="D224" s="757">
        <v>128.69999999999999</v>
      </c>
      <c r="E224" s="757">
        <v>414.11799999999994</v>
      </c>
      <c r="F224" s="757">
        <v>61.542999999999992</v>
      </c>
      <c r="G224" s="757">
        <f t="shared" si="4"/>
        <v>6387.2389999999987</v>
      </c>
      <c r="I224" s="765"/>
    </row>
    <row r="225" spans="1:9" ht="14.4" x14ac:dyDescent="0.3">
      <c r="A225" s="763" t="s">
        <v>994</v>
      </c>
      <c r="B225" s="764" t="s">
        <v>995</v>
      </c>
      <c r="C225" s="757">
        <v>101.8</v>
      </c>
      <c r="D225" s="757">
        <v>7.9</v>
      </c>
      <c r="E225" s="757">
        <v>0</v>
      </c>
      <c r="F225" s="757">
        <v>0</v>
      </c>
      <c r="G225" s="757">
        <f t="shared" si="4"/>
        <v>109.7</v>
      </c>
      <c r="I225" s="765"/>
    </row>
    <row r="226" spans="1:9" ht="14.4" x14ac:dyDescent="0.3">
      <c r="A226" s="763" t="s">
        <v>818</v>
      </c>
      <c r="B226" s="764" t="s">
        <v>819</v>
      </c>
      <c r="C226" s="757">
        <v>71.599999999999994</v>
      </c>
      <c r="D226" s="757">
        <v>0</v>
      </c>
      <c r="E226" s="757">
        <v>0</v>
      </c>
      <c r="F226" s="757">
        <v>0</v>
      </c>
      <c r="G226" s="757">
        <f t="shared" si="4"/>
        <v>71.599999999999994</v>
      </c>
      <c r="I226" s="765"/>
    </row>
    <row r="227" spans="1:9" ht="14.4" x14ac:dyDescent="0.3">
      <c r="A227" s="763" t="s">
        <v>802</v>
      </c>
      <c r="B227" s="764" t="s">
        <v>803</v>
      </c>
      <c r="C227" s="757">
        <v>58.664000000000001</v>
      </c>
      <c r="D227" s="757">
        <v>0</v>
      </c>
      <c r="E227" s="757">
        <v>0</v>
      </c>
      <c r="F227" s="757">
        <v>0</v>
      </c>
      <c r="G227" s="757">
        <f t="shared" si="4"/>
        <v>58.664000000000001</v>
      </c>
      <c r="I227" s="765"/>
    </row>
    <row r="228" spans="1:9" ht="14.4" x14ac:dyDescent="0.3">
      <c r="A228" s="763" t="s">
        <v>1032</v>
      </c>
      <c r="B228" s="764" t="s">
        <v>1033</v>
      </c>
      <c r="C228" s="757">
        <v>682.91999999999985</v>
      </c>
      <c r="D228" s="757">
        <v>28.3</v>
      </c>
      <c r="E228" s="757">
        <v>0</v>
      </c>
      <c r="F228" s="757">
        <v>10.66</v>
      </c>
      <c r="G228" s="757">
        <f t="shared" si="4"/>
        <v>721.87999999999977</v>
      </c>
      <c r="I228" s="765"/>
    </row>
    <row r="229" spans="1:9" ht="14.4" x14ac:dyDescent="0.3">
      <c r="A229" s="763" t="s">
        <v>658</v>
      </c>
      <c r="B229" s="764" t="s">
        <v>659</v>
      </c>
      <c r="C229" s="757">
        <v>19289.310000000001</v>
      </c>
      <c r="D229" s="757">
        <v>46.222000000000001</v>
      </c>
      <c r="E229" s="757">
        <v>334.483</v>
      </c>
      <c r="F229" s="757">
        <v>209.47200000000004</v>
      </c>
      <c r="G229" s="757">
        <f t="shared" si="4"/>
        <v>19545.004000000004</v>
      </c>
      <c r="I229" s="765"/>
    </row>
    <row r="230" spans="1:9" ht="14.4" x14ac:dyDescent="0.3">
      <c r="A230" s="763" t="s">
        <v>752</v>
      </c>
      <c r="B230" s="764" t="s">
        <v>753</v>
      </c>
      <c r="C230" s="757">
        <v>9577.9430999999986</v>
      </c>
      <c r="D230" s="757">
        <v>0</v>
      </c>
      <c r="E230" s="757">
        <v>136.92699999999999</v>
      </c>
      <c r="F230" s="757">
        <v>21.769000000000002</v>
      </c>
      <c r="G230" s="757">
        <f t="shared" si="4"/>
        <v>9599.7120999999988</v>
      </c>
      <c r="I230" s="765"/>
    </row>
    <row r="231" spans="1:9" ht="14.4" x14ac:dyDescent="0.3">
      <c r="A231" s="763" t="s">
        <v>824</v>
      </c>
      <c r="B231" s="764" t="s">
        <v>825</v>
      </c>
      <c r="C231" s="757">
        <v>14663.472999999994</v>
      </c>
      <c r="D231" s="757">
        <v>0</v>
      </c>
      <c r="E231" s="757">
        <v>38.299999999999997</v>
      </c>
      <c r="F231" s="757">
        <v>92.8</v>
      </c>
      <c r="G231" s="757">
        <f t="shared" si="4"/>
        <v>14756.272999999994</v>
      </c>
      <c r="I231" s="765"/>
    </row>
    <row r="232" spans="1:9" ht="14.4" x14ac:dyDescent="0.3">
      <c r="A232" s="763" t="s">
        <v>642</v>
      </c>
      <c r="B232" s="764" t="s">
        <v>643</v>
      </c>
      <c r="C232" s="757">
        <v>19238.968000000001</v>
      </c>
      <c r="D232" s="757">
        <v>0</v>
      </c>
      <c r="E232" s="757">
        <v>845.83899999999994</v>
      </c>
      <c r="F232" s="757">
        <v>337.48200000000008</v>
      </c>
      <c r="G232" s="757">
        <f t="shared" si="4"/>
        <v>19576.45</v>
      </c>
      <c r="I232" s="765"/>
    </row>
    <row r="233" spans="1:9" ht="14.4" x14ac:dyDescent="0.3">
      <c r="A233" s="763" t="s">
        <v>516</v>
      </c>
      <c r="B233" s="764" t="s">
        <v>517</v>
      </c>
      <c r="C233" s="757">
        <v>5435.259</v>
      </c>
      <c r="D233" s="757">
        <v>0</v>
      </c>
      <c r="E233" s="757">
        <v>282.24799999999999</v>
      </c>
      <c r="F233" s="757">
        <v>59.5</v>
      </c>
      <c r="G233" s="757">
        <f t="shared" si="4"/>
        <v>5494.759</v>
      </c>
      <c r="I233" s="765"/>
    </row>
    <row r="234" spans="1:9" ht="14.4" x14ac:dyDescent="0.3">
      <c r="A234" s="763" t="s">
        <v>788</v>
      </c>
      <c r="B234" s="764" t="s">
        <v>789</v>
      </c>
      <c r="C234" s="757">
        <v>8903.0250000000015</v>
      </c>
      <c r="D234" s="757">
        <v>0</v>
      </c>
      <c r="E234" s="757">
        <v>29.713999999999999</v>
      </c>
      <c r="F234" s="757">
        <v>156.31299999999999</v>
      </c>
      <c r="G234" s="757">
        <f t="shared" si="4"/>
        <v>9059.3380000000016</v>
      </c>
      <c r="I234" s="765"/>
    </row>
    <row r="235" spans="1:9" ht="14.4" x14ac:dyDescent="0.3">
      <c r="A235" s="763" t="s">
        <v>720</v>
      </c>
      <c r="B235" s="764" t="s">
        <v>721</v>
      </c>
      <c r="C235" s="757">
        <v>32.929999999999993</v>
      </c>
      <c r="D235" s="757">
        <v>0</v>
      </c>
      <c r="E235" s="757">
        <v>0</v>
      </c>
      <c r="F235" s="757">
        <v>0</v>
      </c>
      <c r="G235" s="757">
        <f t="shared" si="4"/>
        <v>32.929999999999993</v>
      </c>
      <c r="I235" s="765"/>
    </row>
    <row r="236" spans="1:9" ht="14.4" x14ac:dyDescent="0.3">
      <c r="A236" s="763" t="s">
        <v>804</v>
      </c>
      <c r="B236" s="764" t="s">
        <v>805</v>
      </c>
      <c r="C236" s="757">
        <v>5437.42</v>
      </c>
      <c r="D236" s="757">
        <v>50.5</v>
      </c>
      <c r="E236" s="757">
        <v>924.35699999999997</v>
      </c>
      <c r="F236" s="757">
        <v>0</v>
      </c>
      <c r="G236" s="757">
        <f t="shared" si="4"/>
        <v>5487.92</v>
      </c>
      <c r="I236" s="765"/>
    </row>
    <row r="237" spans="1:9" ht="14.4" x14ac:dyDescent="0.3">
      <c r="A237" s="763" t="s">
        <v>998</v>
      </c>
      <c r="B237" s="764" t="s">
        <v>999</v>
      </c>
      <c r="C237" s="757">
        <v>9266.0850000000009</v>
      </c>
      <c r="D237" s="757">
        <v>59.802</v>
      </c>
      <c r="E237" s="757">
        <v>280.96300000000002</v>
      </c>
      <c r="F237" s="757">
        <v>7.5459999999999994</v>
      </c>
      <c r="G237" s="757">
        <f t="shared" si="4"/>
        <v>9333.4330000000009</v>
      </c>
      <c r="I237" s="765"/>
    </row>
    <row r="238" spans="1:9" ht="14.4" x14ac:dyDescent="0.3">
      <c r="A238" s="763" t="s">
        <v>756</v>
      </c>
      <c r="B238" s="764" t="s">
        <v>757</v>
      </c>
      <c r="C238" s="757">
        <v>2564.6390000000001</v>
      </c>
      <c r="D238" s="757">
        <v>8.5</v>
      </c>
      <c r="E238" s="757">
        <v>47.824000000000005</v>
      </c>
      <c r="F238" s="757">
        <v>4.9300000000000006</v>
      </c>
      <c r="G238" s="757">
        <f t="shared" si="4"/>
        <v>2578.069</v>
      </c>
      <c r="I238" s="765"/>
    </row>
    <row r="239" spans="1:9" ht="14.4" x14ac:dyDescent="0.3">
      <c r="A239" s="763" t="s">
        <v>1034</v>
      </c>
      <c r="B239" s="764" t="s">
        <v>1035</v>
      </c>
      <c r="C239" s="757">
        <v>2038.5990000000002</v>
      </c>
      <c r="D239" s="757">
        <v>54.1</v>
      </c>
      <c r="E239" s="757">
        <v>66.553000000000011</v>
      </c>
      <c r="F239" s="757">
        <v>15.7</v>
      </c>
      <c r="G239" s="757">
        <f t="shared" si="4"/>
        <v>2108.3989999999999</v>
      </c>
      <c r="I239" s="765"/>
    </row>
    <row r="240" spans="1:9" ht="14.4" x14ac:dyDescent="0.3">
      <c r="A240" s="763" t="s">
        <v>620</v>
      </c>
      <c r="B240" s="764" t="s">
        <v>621</v>
      </c>
      <c r="C240" s="757">
        <v>413.09600000000012</v>
      </c>
      <c r="D240" s="757">
        <v>10</v>
      </c>
      <c r="E240" s="757">
        <v>0</v>
      </c>
      <c r="F240" s="757">
        <v>1.2209999999999999</v>
      </c>
      <c r="G240" s="757">
        <f t="shared" si="4"/>
        <v>424.31700000000012</v>
      </c>
      <c r="I240" s="765"/>
    </row>
    <row r="241" spans="1:9" ht="14.4" x14ac:dyDescent="0.3">
      <c r="A241" s="763" t="s">
        <v>688</v>
      </c>
      <c r="B241" s="764" t="s">
        <v>689</v>
      </c>
      <c r="C241" s="757">
        <v>2163.9309999999996</v>
      </c>
      <c r="D241" s="757">
        <v>0</v>
      </c>
      <c r="E241" s="757">
        <v>186.77299999999997</v>
      </c>
      <c r="F241" s="757">
        <v>44.3</v>
      </c>
      <c r="G241" s="757">
        <f t="shared" si="4"/>
        <v>2208.2309999999998</v>
      </c>
      <c r="I241" s="765"/>
    </row>
    <row r="242" spans="1:9" ht="14.4" x14ac:dyDescent="0.3">
      <c r="A242" s="763" t="s">
        <v>1020</v>
      </c>
      <c r="B242" s="764" t="s">
        <v>1021</v>
      </c>
      <c r="C242" s="757">
        <v>4649.7650000000012</v>
      </c>
      <c r="D242" s="757">
        <v>37.700000000000003</v>
      </c>
      <c r="E242" s="757">
        <v>240.99299999999999</v>
      </c>
      <c r="F242" s="757">
        <v>10.750000000000002</v>
      </c>
      <c r="G242" s="757">
        <f t="shared" si="4"/>
        <v>4698.2150000000011</v>
      </c>
      <c r="I242" s="765"/>
    </row>
    <row r="243" spans="1:9" ht="14.4" x14ac:dyDescent="0.3">
      <c r="A243" s="763" t="s">
        <v>1012</v>
      </c>
      <c r="B243" s="764" t="s">
        <v>1013</v>
      </c>
      <c r="C243" s="757">
        <v>27996.474999999999</v>
      </c>
      <c r="D243" s="757">
        <v>108.08999999999999</v>
      </c>
      <c r="E243" s="757">
        <v>1688.095</v>
      </c>
      <c r="F243" s="757">
        <v>202.52500000000001</v>
      </c>
      <c r="G243" s="757">
        <f t="shared" si="4"/>
        <v>28307.09</v>
      </c>
      <c r="I243" s="765"/>
    </row>
    <row r="244" spans="1:9" ht="14.4" x14ac:dyDescent="0.3">
      <c r="A244" s="763" t="s">
        <v>880</v>
      </c>
      <c r="B244" s="764" t="s">
        <v>881</v>
      </c>
      <c r="C244" s="757">
        <v>76.8</v>
      </c>
      <c r="D244" s="757">
        <v>0</v>
      </c>
      <c r="E244" s="757">
        <v>0</v>
      </c>
      <c r="F244" s="757">
        <v>0</v>
      </c>
      <c r="G244" s="757">
        <f t="shared" si="4"/>
        <v>76.8</v>
      </c>
      <c r="I244" s="765"/>
    </row>
    <row r="245" spans="1:9" ht="14.4" x14ac:dyDescent="0.3">
      <c r="A245" s="763" t="s">
        <v>692</v>
      </c>
      <c r="B245" s="764" t="s">
        <v>693</v>
      </c>
      <c r="C245" s="757">
        <v>41.2</v>
      </c>
      <c r="D245" s="757">
        <v>0</v>
      </c>
      <c r="E245" s="757">
        <v>0</v>
      </c>
      <c r="F245" s="757">
        <v>0</v>
      </c>
      <c r="G245" s="757">
        <f t="shared" si="4"/>
        <v>41.2</v>
      </c>
      <c r="I245" s="765"/>
    </row>
    <row r="246" spans="1:9" ht="14.4" x14ac:dyDescent="0.3">
      <c r="A246" s="763" t="s">
        <v>836</v>
      </c>
      <c r="B246" s="764" t="s">
        <v>837</v>
      </c>
      <c r="C246" s="757">
        <v>1297.79</v>
      </c>
      <c r="D246" s="757">
        <v>45.2</v>
      </c>
      <c r="E246" s="757">
        <v>61.947999999999993</v>
      </c>
      <c r="F246" s="757">
        <v>4.9010000000000007</v>
      </c>
      <c r="G246" s="757">
        <f t="shared" si="4"/>
        <v>1347.8910000000001</v>
      </c>
      <c r="I246" s="765"/>
    </row>
    <row r="247" spans="1:9" ht="14.4" x14ac:dyDescent="0.3">
      <c r="A247" s="763" t="s">
        <v>794</v>
      </c>
      <c r="B247" s="764" t="s">
        <v>795</v>
      </c>
      <c r="C247" s="757">
        <v>1664.1989999999998</v>
      </c>
      <c r="D247" s="757">
        <v>19.8</v>
      </c>
      <c r="E247" s="757">
        <v>54.559000000000005</v>
      </c>
      <c r="F247" s="757">
        <v>2</v>
      </c>
      <c r="G247" s="757">
        <f t="shared" si="4"/>
        <v>1685.9989999999998</v>
      </c>
      <c r="I247" s="765"/>
    </row>
    <row r="248" spans="1:9" ht="14.4" x14ac:dyDescent="0.3">
      <c r="A248" s="763" t="s">
        <v>792</v>
      </c>
      <c r="B248" s="764" t="s">
        <v>793</v>
      </c>
      <c r="C248" s="757">
        <v>9861.4290000000037</v>
      </c>
      <c r="D248" s="757">
        <v>135.4</v>
      </c>
      <c r="E248" s="757">
        <v>827.29699999999991</v>
      </c>
      <c r="F248" s="757">
        <v>14.876000000000001</v>
      </c>
      <c r="G248" s="757">
        <f t="shared" si="4"/>
        <v>10011.705000000004</v>
      </c>
      <c r="I248" s="765"/>
    </row>
    <row r="249" spans="1:9" ht="14.4" x14ac:dyDescent="0.3">
      <c r="A249" s="763" t="s">
        <v>568</v>
      </c>
      <c r="B249" s="764" t="s">
        <v>569</v>
      </c>
      <c r="C249" s="757">
        <v>14047.408000000001</v>
      </c>
      <c r="D249" s="757">
        <v>0</v>
      </c>
      <c r="E249" s="757">
        <v>436.47300000000007</v>
      </c>
      <c r="F249" s="757">
        <v>118.628</v>
      </c>
      <c r="G249" s="757">
        <f t="shared" si="4"/>
        <v>14166.036000000002</v>
      </c>
      <c r="I249" s="765"/>
    </row>
    <row r="250" spans="1:9" ht="14.4" x14ac:dyDescent="0.3">
      <c r="A250" s="763" t="s">
        <v>674</v>
      </c>
      <c r="B250" s="764" t="s">
        <v>675</v>
      </c>
      <c r="C250" s="757">
        <v>807.87500000000011</v>
      </c>
      <c r="D250" s="757">
        <v>45</v>
      </c>
      <c r="E250" s="757">
        <v>4</v>
      </c>
      <c r="F250" s="757">
        <v>0</v>
      </c>
      <c r="G250" s="757">
        <f t="shared" si="4"/>
        <v>852.87500000000011</v>
      </c>
      <c r="I250" s="765"/>
    </row>
    <row r="251" spans="1:9" ht="14.4" x14ac:dyDescent="0.3">
      <c r="A251" s="763" t="s">
        <v>574</v>
      </c>
      <c r="B251" s="764" t="s">
        <v>575</v>
      </c>
      <c r="C251" s="757">
        <v>5263.1940000000004</v>
      </c>
      <c r="D251" s="757">
        <v>0</v>
      </c>
      <c r="E251" s="757">
        <v>308.88500000000005</v>
      </c>
      <c r="F251" s="757">
        <v>14.732999999999999</v>
      </c>
      <c r="G251" s="757">
        <f t="shared" si="4"/>
        <v>5277.9270000000006</v>
      </c>
      <c r="I251" s="765"/>
    </row>
    <row r="252" spans="1:9" ht="14.4" x14ac:dyDescent="0.3">
      <c r="A252" s="763" t="s">
        <v>632</v>
      </c>
      <c r="B252" s="764" t="s">
        <v>633</v>
      </c>
      <c r="C252" s="757">
        <v>3313.8059999999996</v>
      </c>
      <c r="D252" s="757">
        <v>0</v>
      </c>
      <c r="E252" s="757">
        <v>256.85399999999998</v>
      </c>
      <c r="F252" s="757">
        <v>9.4</v>
      </c>
      <c r="G252" s="757">
        <f t="shared" si="4"/>
        <v>3323.2059999999997</v>
      </c>
      <c r="I252" s="765"/>
    </row>
    <row r="253" spans="1:9" ht="14.4" x14ac:dyDescent="0.3">
      <c r="A253" s="763" t="s">
        <v>760</v>
      </c>
      <c r="B253" s="764" t="s">
        <v>761</v>
      </c>
      <c r="C253" s="757">
        <v>563.66799999999989</v>
      </c>
      <c r="D253" s="757">
        <v>20</v>
      </c>
      <c r="E253" s="757">
        <v>6.2</v>
      </c>
      <c r="F253" s="757">
        <v>0</v>
      </c>
      <c r="G253" s="757">
        <f t="shared" si="4"/>
        <v>583.66799999999989</v>
      </c>
      <c r="I253" s="765"/>
    </row>
    <row r="254" spans="1:9" ht="14.4" x14ac:dyDescent="0.3">
      <c r="A254" s="763" t="s">
        <v>1112</v>
      </c>
      <c r="B254" s="764" t="s">
        <v>1113</v>
      </c>
      <c r="C254" s="757">
        <v>3328.4490000000005</v>
      </c>
      <c r="D254" s="757">
        <v>0</v>
      </c>
      <c r="E254" s="757">
        <v>797.98299999999995</v>
      </c>
      <c r="F254" s="757">
        <v>3.9</v>
      </c>
      <c r="G254" s="757">
        <f t="shared" si="4"/>
        <v>3332.3490000000006</v>
      </c>
      <c r="I254" s="765"/>
    </row>
    <row r="255" spans="1:9" ht="14.4" x14ac:dyDescent="0.3">
      <c r="A255" s="763" t="s">
        <v>626</v>
      </c>
      <c r="B255" s="764" t="s">
        <v>627</v>
      </c>
      <c r="C255" s="757">
        <v>2537.9970000000003</v>
      </c>
      <c r="D255" s="757">
        <v>0</v>
      </c>
      <c r="E255" s="757">
        <v>639.54300000000001</v>
      </c>
      <c r="F255" s="757">
        <v>3.6</v>
      </c>
      <c r="G255" s="757">
        <f t="shared" si="4"/>
        <v>2541.5970000000002</v>
      </c>
      <c r="I255" s="765"/>
    </row>
    <row r="256" spans="1:9" ht="14.4" x14ac:dyDescent="0.3">
      <c r="A256" s="763" t="s">
        <v>960</v>
      </c>
      <c r="B256" s="764" t="s">
        <v>961</v>
      </c>
      <c r="C256" s="757">
        <v>1433.7339999999999</v>
      </c>
      <c r="D256" s="757">
        <v>0</v>
      </c>
      <c r="E256" s="757">
        <v>149.00399999999999</v>
      </c>
      <c r="F256" s="757">
        <v>5.7</v>
      </c>
      <c r="G256" s="757">
        <f t="shared" si="4"/>
        <v>1439.434</v>
      </c>
      <c r="I256" s="765"/>
    </row>
    <row r="257" spans="1:9" ht="14.4" x14ac:dyDescent="0.3">
      <c r="A257" s="768" t="s">
        <v>1014</v>
      </c>
      <c r="B257" s="766" t="s">
        <v>1015</v>
      </c>
      <c r="C257" s="757">
        <v>817.55000000000007</v>
      </c>
      <c r="D257" s="757">
        <v>0</v>
      </c>
      <c r="E257" s="757">
        <v>0</v>
      </c>
      <c r="F257" s="757">
        <v>0</v>
      </c>
      <c r="G257" s="757">
        <f t="shared" si="4"/>
        <v>817.55000000000007</v>
      </c>
      <c r="I257" s="765"/>
    </row>
    <row r="258" spans="1:9" ht="14.4" x14ac:dyDescent="0.3">
      <c r="A258" s="768" t="s">
        <v>770</v>
      </c>
      <c r="B258" s="766" t="s">
        <v>771</v>
      </c>
      <c r="C258" s="757">
        <v>27.963999999999999</v>
      </c>
      <c r="D258" s="757">
        <v>0</v>
      </c>
      <c r="E258" s="757">
        <v>0</v>
      </c>
      <c r="F258" s="757">
        <v>0.59199999999999997</v>
      </c>
      <c r="G258" s="757">
        <f t="shared" si="4"/>
        <v>28.555999999999997</v>
      </c>
      <c r="I258" s="765"/>
    </row>
    <row r="259" spans="1:9" ht="14.4" x14ac:dyDescent="0.3">
      <c r="A259" s="768" t="s">
        <v>920</v>
      </c>
      <c r="B259" s="766" t="s">
        <v>921</v>
      </c>
      <c r="C259" s="757">
        <v>221.24700000000001</v>
      </c>
      <c r="D259" s="757">
        <v>0</v>
      </c>
      <c r="E259" s="757">
        <v>7.0000000000000007E-2</v>
      </c>
      <c r="F259" s="757">
        <v>1.9</v>
      </c>
      <c r="G259" s="757">
        <f t="shared" si="4"/>
        <v>223.14700000000002</v>
      </c>
      <c r="I259" s="765"/>
    </row>
    <row r="260" spans="1:9" ht="14.4" x14ac:dyDescent="0.3">
      <c r="A260" s="763" t="s">
        <v>876</v>
      </c>
      <c r="B260" s="764" t="s">
        <v>877</v>
      </c>
      <c r="C260" s="757">
        <v>41.099999999999994</v>
      </c>
      <c r="D260" s="757">
        <v>0</v>
      </c>
      <c r="E260" s="757">
        <v>0</v>
      </c>
      <c r="F260" s="757">
        <v>0</v>
      </c>
      <c r="G260" s="757">
        <f t="shared" si="4"/>
        <v>41.099999999999994</v>
      </c>
      <c r="I260" s="765"/>
    </row>
    <row r="261" spans="1:9" ht="14.4" x14ac:dyDescent="0.3">
      <c r="A261" s="763" t="s">
        <v>576</v>
      </c>
      <c r="B261" s="764" t="s">
        <v>577</v>
      </c>
      <c r="C261" s="757">
        <v>716.32400000000007</v>
      </c>
      <c r="D261" s="757">
        <v>13.9</v>
      </c>
      <c r="E261" s="757">
        <v>118.76200000000001</v>
      </c>
      <c r="F261" s="757">
        <v>26.180999999999994</v>
      </c>
      <c r="G261" s="757">
        <f t="shared" si="4"/>
        <v>756.40500000000009</v>
      </c>
      <c r="I261" s="765"/>
    </row>
    <row r="262" spans="1:9" ht="14.4" x14ac:dyDescent="0.3">
      <c r="A262" s="763" t="s">
        <v>1108</v>
      </c>
      <c r="B262" s="764" t="s">
        <v>1109</v>
      </c>
      <c r="C262" s="757">
        <v>318.58599999999996</v>
      </c>
      <c r="D262" s="757">
        <v>0</v>
      </c>
      <c r="E262" s="757">
        <v>0</v>
      </c>
      <c r="F262" s="757">
        <v>90.9</v>
      </c>
      <c r="G262" s="757">
        <f t="shared" si="4"/>
        <v>409.48599999999999</v>
      </c>
      <c r="I262" s="765"/>
    </row>
    <row r="263" spans="1:9" ht="14.4" x14ac:dyDescent="0.3">
      <c r="A263" s="763" t="s">
        <v>1082</v>
      </c>
      <c r="B263" s="764" t="s">
        <v>1083</v>
      </c>
      <c r="C263" s="757">
        <v>999.673</v>
      </c>
      <c r="D263" s="757">
        <v>14</v>
      </c>
      <c r="E263" s="757">
        <v>818.07900000000006</v>
      </c>
      <c r="F263" s="757">
        <v>0</v>
      </c>
      <c r="G263" s="757">
        <f t="shared" ref="G263:G326" si="5">C263+F263+D263</f>
        <v>1013.673</v>
      </c>
      <c r="I263" s="765"/>
    </row>
    <row r="264" spans="1:9" ht="14.4" x14ac:dyDescent="0.3">
      <c r="A264" s="763" t="s">
        <v>598</v>
      </c>
      <c r="B264" s="764" t="s">
        <v>599</v>
      </c>
      <c r="C264" s="757">
        <v>1599.4259999999999</v>
      </c>
      <c r="D264" s="757">
        <v>73.900000000000006</v>
      </c>
      <c r="E264" s="757">
        <v>46.695999999999998</v>
      </c>
      <c r="F264" s="757">
        <v>13.7</v>
      </c>
      <c r="G264" s="757">
        <f t="shared" si="5"/>
        <v>1687.0260000000001</v>
      </c>
      <c r="I264" s="765"/>
    </row>
    <row r="265" spans="1:9" ht="14.4" x14ac:dyDescent="0.3">
      <c r="A265" s="763" t="s">
        <v>766</v>
      </c>
      <c r="B265" s="764" t="s">
        <v>767</v>
      </c>
      <c r="C265" s="757">
        <v>256.24200000000008</v>
      </c>
      <c r="D265" s="757">
        <v>0</v>
      </c>
      <c r="E265" s="757">
        <v>156.84200000000001</v>
      </c>
      <c r="F265" s="757">
        <v>0</v>
      </c>
      <c r="G265" s="757">
        <f t="shared" si="5"/>
        <v>256.24200000000008</v>
      </c>
      <c r="I265" s="765"/>
    </row>
    <row r="266" spans="1:9" ht="14.4" x14ac:dyDescent="0.3">
      <c r="A266" s="763" t="s">
        <v>1042</v>
      </c>
      <c r="B266" s="764" t="s">
        <v>1043</v>
      </c>
      <c r="C266" s="757">
        <v>95.7</v>
      </c>
      <c r="D266" s="757">
        <v>0</v>
      </c>
      <c r="E266" s="757">
        <v>0</v>
      </c>
      <c r="F266" s="757">
        <v>0</v>
      </c>
      <c r="G266" s="757">
        <f t="shared" si="5"/>
        <v>95.7</v>
      </c>
      <c r="I266" s="765"/>
    </row>
    <row r="267" spans="1:9" ht="14.4" x14ac:dyDescent="0.3">
      <c r="A267" s="763" t="s">
        <v>662</v>
      </c>
      <c r="B267" s="764" t="s">
        <v>663</v>
      </c>
      <c r="C267" s="757">
        <v>38.4</v>
      </c>
      <c r="D267" s="757">
        <v>0</v>
      </c>
      <c r="E267" s="757">
        <v>0</v>
      </c>
      <c r="F267" s="757">
        <v>0</v>
      </c>
      <c r="G267" s="757">
        <f t="shared" si="5"/>
        <v>38.4</v>
      </c>
      <c r="I267" s="765"/>
    </row>
    <row r="268" spans="1:9" ht="14.4" x14ac:dyDescent="0.3">
      <c r="A268" s="763" t="s">
        <v>594</v>
      </c>
      <c r="B268" s="764" t="s">
        <v>595</v>
      </c>
      <c r="C268" s="757">
        <v>101.02699999999999</v>
      </c>
      <c r="D268" s="757">
        <v>8.0079999999999991</v>
      </c>
      <c r="E268" s="757">
        <v>0</v>
      </c>
      <c r="F268" s="757">
        <v>0</v>
      </c>
      <c r="G268" s="757">
        <f t="shared" si="5"/>
        <v>109.03499999999998</v>
      </c>
      <c r="I268" s="765"/>
    </row>
    <row r="269" spans="1:9" ht="14.4" x14ac:dyDescent="0.3">
      <c r="A269" s="763" t="s">
        <v>786</v>
      </c>
      <c r="B269" s="764" t="s">
        <v>787</v>
      </c>
      <c r="C269" s="757">
        <v>518.8599999999999</v>
      </c>
      <c r="D269" s="757">
        <v>0</v>
      </c>
      <c r="E269" s="757">
        <v>77.19</v>
      </c>
      <c r="F269" s="757">
        <v>0</v>
      </c>
      <c r="G269" s="757">
        <f t="shared" si="5"/>
        <v>518.8599999999999</v>
      </c>
      <c r="I269" s="765"/>
    </row>
    <row r="270" spans="1:9" ht="14.4" x14ac:dyDescent="0.3">
      <c r="A270" s="763" t="s">
        <v>852</v>
      </c>
      <c r="B270" s="764" t="s">
        <v>853</v>
      </c>
      <c r="C270" s="757">
        <v>262.24999999999994</v>
      </c>
      <c r="D270" s="757">
        <v>0</v>
      </c>
      <c r="E270" s="757">
        <v>99.65</v>
      </c>
      <c r="F270" s="757">
        <v>0</v>
      </c>
      <c r="G270" s="757">
        <f t="shared" si="5"/>
        <v>262.24999999999994</v>
      </c>
      <c r="I270" s="765"/>
    </row>
    <row r="271" spans="1:9" ht="14.4" x14ac:dyDescent="0.3">
      <c r="A271" s="763" t="s">
        <v>736</v>
      </c>
      <c r="B271" s="764" t="s">
        <v>737</v>
      </c>
      <c r="C271" s="757">
        <v>1041.414</v>
      </c>
      <c r="D271" s="757">
        <v>17.899999999999999</v>
      </c>
      <c r="E271" s="757">
        <v>410.81000000000006</v>
      </c>
      <c r="F271" s="757">
        <v>1.8</v>
      </c>
      <c r="G271" s="757">
        <f t="shared" si="5"/>
        <v>1061.114</v>
      </c>
      <c r="I271" s="765"/>
    </row>
    <row r="272" spans="1:9" ht="14.4" x14ac:dyDescent="0.3">
      <c r="A272" s="763" t="s">
        <v>1144</v>
      </c>
      <c r="B272" s="764" t="s">
        <v>1145</v>
      </c>
      <c r="C272" s="757">
        <v>5380.6990000000014</v>
      </c>
      <c r="D272" s="757">
        <v>33.700000000000003</v>
      </c>
      <c r="E272" s="757">
        <v>127.48799999999999</v>
      </c>
      <c r="F272" s="757">
        <v>27.5</v>
      </c>
      <c r="G272" s="757">
        <f t="shared" si="5"/>
        <v>5441.8990000000013</v>
      </c>
      <c r="I272" s="765"/>
    </row>
    <row r="273" spans="1:9" ht="14.4" x14ac:dyDescent="0.3">
      <c r="A273" s="763" t="s">
        <v>850</v>
      </c>
      <c r="B273" s="764" t="s">
        <v>851</v>
      </c>
      <c r="C273" s="757">
        <v>14222.214299999998</v>
      </c>
      <c r="D273" s="757">
        <v>109.5</v>
      </c>
      <c r="E273" s="757">
        <v>466.29200000000003</v>
      </c>
      <c r="F273" s="757">
        <v>122.66</v>
      </c>
      <c r="G273" s="757">
        <f t="shared" si="5"/>
        <v>14454.374299999998</v>
      </c>
      <c r="I273" s="765"/>
    </row>
    <row r="274" spans="1:9" ht="14.4" x14ac:dyDescent="0.3">
      <c r="A274" s="763" t="s">
        <v>1076</v>
      </c>
      <c r="B274" s="764" t="s">
        <v>1077</v>
      </c>
      <c r="C274" s="757">
        <v>6363.7059999999992</v>
      </c>
      <c r="D274" s="757">
        <v>17.3</v>
      </c>
      <c r="E274" s="757">
        <v>197.79900000000001</v>
      </c>
      <c r="F274" s="757">
        <v>18.8</v>
      </c>
      <c r="G274" s="757">
        <f t="shared" si="5"/>
        <v>6399.8059999999996</v>
      </c>
      <c r="I274" s="765"/>
    </row>
    <row r="275" spans="1:9" ht="14.4" x14ac:dyDescent="0.3">
      <c r="A275" s="763" t="s">
        <v>870</v>
      </c>
      <c r="B275" s="764" t="s">
        <v>871</v>
      </c>
      <c r="C275" s="757">
        <v>8965.0779999999995</v>
      </c>
      <c r="D275" s="757">
        <v>32.799999999999997</v>
      </c>
      <c r="E275" s="757">
        <v>546.76599999999996</v>
      </c>
      <c r="F275" s="757">
        <v>53.2</v>
      </c>
      <c r="G275" s="757">
        <f t="shared" si="5"/>
        <v>9051.0779999999995</v>
      </c>
      <c r="I275" s="765"/>
    </row>
    <row r="276" spans="1:9" ht="14.4" x14ac:dyDescent="0.3">
      <c r="A276" s="763" t="s">
        <v>940</v>
      </c>
      <c r="B276" s="764" t="s">
        <v>941</v>
      </c>
      <c r="C276" s="757">
        <v>944.33999999999992</v>
      </c>
      <c r="D276" s="757">
        <v>0</v>
      </c>
      <c r="E276" s="757">
        <v>0</v>
      </c>
      <c r="F276" s="757">
        <v>3.8</v>
      </c>
      <c r="G276" s="757">
        <f t="shared" si="5"/>
        <v>948.13999999999987</v>
      </c>
      <c r="I276" s="765"/>
    </row>
    <row r="277" spans="1:9" ht="14.4" x14ac:dyDescent="0.3">
      <c r="A277" s="763" t="s">
        <v>696</v>
      </c>
      <c r="B277" s="764" t="s">
        <v>697</v>
      </c>
      <c r="C277" s="757">
        <v>555.73000000000013</v>
      </c>
      <c r="D277" s="757">
        <v>27.9</v>
      </c>
      <c r="E277" s="757">
        <v>0</v>
      </c>
      <c r="F277" s="757">
        <v>0</v>
      </c>
      <c r="G277" s="757">
        <f t="shared" si="5"/>
        <v>583.63000000000011</v>
      </c>
      <c r="I277" s="765"/>
    </row>
    <row r="278" spans="1:9" ht="14.4" x14ac:dyDescent="0.3">
      <c r="A278" s="763" t="s">
        <v>964</v>
      </c>
      <c r="B278" s="764" t="s">
        <v>965</v>
      </c>
      <c r="C278" s="757">
        <v>1990.2479999999996</v>
      </c>
      <c r="D278" s="757">
        <v>35.543999999999997</v>
      </c>
      <c r="E278" s="757">
        <v>34.228999999999999</v>
      </c>
      <c r="F278" s="757">
        <v>9.9</v>
      </c>
      <c r="G278" s="757">
        <f t="shared" si="5"/>
        <v>2035.6919999999998</v>
      </c>
      <c r="I278" s="765"/>
    </row>
    <row r="279" spans="1:9" ht="14.4" x14ac:dyDescent="0.3">
      <c r="A279" s="763" t="s">
        <v>1058</v>
      </c>
      <c r="B279" s="764" t="s">
        <v>1059</v>
      </c>
      <c r="C279" s="757">
        <v>1214.0230000000004</v>
      </c>
      <c r="D279" s="757">
        <v>15.2</v>
      </c>
      <c r="E279" s="757">
        <v>17.869999999999997</v>
      </c>
      <c r="F279" s="757">
        <v>2.8</v>
      </c>
      <c r="G279" s="757">
        <f t="shared" si="5"/>
        <v>1232.0230000000004</v>
      </c>
      <c r="I279" s="765"/>
    </row>
    <row r="280" spans="1:9" ht="14.4" x14ac:dyDescent="0.3">
      <c r="A280" s="768" t="s">
        <v>1088</v>
      </c>
      <c r="B280" s="766" t="s">
        <v>1089</v>
      </c>
      <c r="C280" s="757">
        <v>135.1</v>
      </c>
      <c r="D280" s="757">
        <v>0</v>
      </c>
      <c r="E280" s="757">
        <v>0</v>
      </c>
      <c r="F280" s="757">
        <v>0</v>
      </c>
      <c r="G280" s="757">
        <f t="shared" si="5"/>
        <v>135.1</v>
      </c>
      <c r="I280" s="765"/>
    </row>
    <row r="281" spans="1:9" ht="14.4" x14ac:dyDescent="0.3">
      <c r="A281" s="763" t="s">
        <v>1090</v>
      </c>
      <c r="B281" s="764" t="s">
        <v>1091</v>
      </c>
      <c r="C281" s="757">
        <v>394.17999999999995</v>
      </c>
      <c r="D281" s="757">
        <v>0</v>
      </c>
      <c r="E281" s="757">
        <v>16.803000000000004</v>
      </c>
      <c r="F281" s="757">
        <v>0</v>
      </c>
      <c r="G281" s="757">
        <f t="shared" si="5"/>
        <v>394.17999999999995</v>
      </c>
      <c r="I281" s="765"/>
    </row>
    <row r="282" spans="1:9" ht="14.4" x14ac:dyDescent="0.3">
      <c r="A282" s="763" t="s">
        <v>630</v>
      </c>
      <c r="B282" s="764" t="s">
        <v>631</v>
      </c>
      <c r="C282" s="757">
        <v>14.3</v>
      </c>
      <c r="D282" s="757">
        <v>0</v>
      </c>
      <c r="E282" s="757">
        <v>0</v>
      </c>
      <c r="F282" s="757">
        <v>0</v>
      </c>
      <c r="G282" s="757">
        <f t="shared" si="5"/>
        <v>14.3</v>
      </c>
      <c r="I282" s="765"/>
    </row>
    <row r="283" spans="1:9" ht="14.4" x14ac:dyDescent="0.3">
      <c r="A283" s="763" t="s">
        <v>1096</v>
      </c>
      <c r="B283" s="764" t="s">
        <v>1097</v>
      </c>
      <c r="C283" s="757">
        <v>4990.4040000000023</v>
      </c>
      <c r="D283" s="757">
        <v>87.338999999999999</v>
      </c>
      <c r="E283" s="757">
        <v>386.01799999999997</v>
      </c>
      <c r="F283" s="757">
        <v>95.4</v>
      </c>
      <c r="G283" s="757">
        <f t="shared" si="5"/>
        <v>5173.1430000000018</v>
      </c>
      <c r="I283" s="765"/>
    </row>
    <row r="284" spans="1:9" ht="14.4" x14ac:dyDescent="0.3">
      <c r="A284" s="763" t="s">
        <v>590</v>
      </c>
      <c r="B284" s="764" t="s">
        <v>591</v>
      </c>
      <c r="C284" s="757">
        <v>1405.5489999999998</v>
      </c>
      <c r="D284" s="757">
        <v>15.8</v>
      </c>
      <c r="E284" s="757">
        <v>0</v>
      </c>
      <c r="F284" s="757">
        <v>12.010000000000002</v>
      </c>
      <c r="G284" s="757">
        <f t="shared" si="5"/>
        <v>1433.3589999999997</v>
      </c>
      <c r="I284" s="765"/>
    </row>
    <row r="285" spans="1:9" ht="14.4" x14ac:dyDescent="0.3">
      <c r="A285" s="763" t="s">
        <v>1068</v>
      </c>
      <c r="B285" s="764" t="s">
        <v>1069</v>
      </c>
      <c r="C285" s="757">
        <v>230.38299999999998</v>
      </c>
      <c r="D285" s="757">
        <v>16.8</v>
      </c>
      <c r="E285" s="757">
        <v>47.097999999999999</v>
      </c>
      <c r="F285" s="757">
        <v>0</v>
      </c>
      <c r="G285" s="757">
        <f t="shared" si="5"/>
        <v>247.18299999999999</v>
      </c>
      <c r="I285" s="765"/>
    </row>
    <row r="286" spans="1:9" ht="14.4" x14ac:dyDescent="0.3">
      <c r="A286" s="763" t="s">
        <v>596</v>
      </c>
      <c r="B286" s="764" t="s">
        <v>597</v>
      </c>
      <c r="C286" s="757">
        <v>727.80700000000002</v>
      </c>
      <c r="D286" s="757">
        <v>16.600000000000001</v>
      </c>
      <c r="E286" s="757">
        <v>0</v>
      </c>
      <c r="F286" s="757">
        <v>6.4</v>
      </c>
      <c r="G286" s="757">
        <f t="shared" si="5"/>
        <v>750.80700000000002</v>
      </c>
      <c r="I286" s="765"/>
    </row>
    <row r="287" spans="1:9" ht="14.4" x14ac:dyDescent="0.3">
      <c r="A287" s="763" t="s">
        <v>1094</v>
      </c>
      <c r="B287" s="764" t="s">
        <v>1095</v>
      </c>
      <c r="C287" s="757">
        <v>271.99299999999999</v>
      </c>
      <c r="D287" s="757">
        <v>0</v>
      </c>
      <c r="E287" s="757">
        <v>0</v>
      </c>
      <c r="F287" s="757">
        <v>0</v>
      </c>
      <c r="G287" s="757">
        <f t="shared" si="5"/>
        <v>271.99299999999999</v>
      </c>
      <c r="I287" s="765"/>
    </row>
    <row r="288" spans="1:9" ht="14.4" x14ac:dyDescent="0.3">
      <c r="A288" s="763" t="s">
        <v>918</v>
      </c>
      <c r="B288" s="764" t="s">
        <v>919</v>
      </c>
      <c r="C288" s="757">
        <v>247.12000000000003</v>
      </c>
      <c r="D288" s="757">
        <v>16.5</v>
      </c>
      <c r="E288" s="757">
        <v>0</v>
      </c>
      <c r="F288" s="757">
        <v>0</v>
      </c>
      <c r="G288" s="757">
        <f t="shared" si="5"/>
        <v>263.62</v>
      </c>
      <c r="I288" s="765"/>
    </row>
    <row r="289" spans="1:9" ht="14.4" x14ac:dyDescent="0.3">
      <c r="A289" s="763" t="s">
        <v>528</v>
      </c>
      <c r="B289" s="764" t="s">
        <v>529</v>
      </c>
      <c r="C289" s="757">
        <v>10356.907999999999</v>
      </c>
      <c r="D289" s="757">
        <v>243.01200000000003</v>
      </c>
      <c r="E289" s="757">
        <v>323.27</v>
      </c>
      <c r="F289" s="757">
        <v>115.5</v>
      </c>
      <c r="G289" s="757">
        <f t="shared" si="5"/>
        <v>10715.42</v>
      </c>
      <c r="I289" s="765"/>
    </row>
    <row r="290" spans="1:9" ht="14.4" x14ac:dyDescent="0.3">
      <c r="A290" s="763" t="s">
        <v>666</v>
      </c>
      <c r="B290" s="764" t="s">
        <v>667</v>
      </c>
      <c r="C290" s="757">
        <v>4382.4399999999996</v>
      </c>
      <c r="D290" s="757">
        <v>103.1</v>
      </c>
      <c r="E290" s="757">
        <v>165.01799999999997</v>
      </c>
      <c r="F290" s="757">
        <v>42.791000000000004</v>
      </c>
      <c r="G290" s="757">
        <f t="shared" si="5"/>
        <v>4528.3310000000001</v>
      </c>
      <c r="I290" s="765"/>
    </row>
    <row r="291" spans="1:9" ht="14.4" x14ac:dyDescent="0.3">
      <c r="A291" s="763" t="s">
        <v>536</v>
      </c>
      <c r="B291" s="764" t="s">
        <v>537</v>
      </c>
      <c r="C291" s="757">
        <v>1835.069</v>
      </c>
      <c r="D291" s="757">
        <v>49.100999999999999</v>
      </c>
      <c r="E291" s="757">
        <v>76.227000000000004</v>
      </c>
      <c r="F291" s="757">
        <v>15.1</v>
      </c>
      <c r="G291" s="757">
        <f t="shared" si="5"/>
        <v>1899.27</v>
      </c>
      <c r="I291" s="765"/>
    </row>
    <row r="292" spans="1:9" ht="14.4" x14ac:dyDescent="0.3">
      <c r="A292" s="763" t="s">
        <v>776</v>
      </c>
      <c r="B292" s="764" t="s">
        <v>777</v>
      </c>
      <c r="C292" s="757">
        <v>3304.5569999999998</v>
      </c>
      <c r="D292" s="757">
        <v>76.599999999999994</v>
      </c>
      <c r="E292" s="757">
        <v>396.57999999999993</v>
      </c>
      <c r="F292" s="757">
        <v>36</v>
      </c>
      <c r="G292" s="757">
        <f t="shared" si="5"/>
        <v>3417.1569999999997</v>
      </c>
      <c r="I292" s="765"/>
    </row>
    <row r="293" spans="1:9" ht="14.4" x14ac:dyDescent="0.3">
      <c r="A293" s="763" t="s">
        <v>798</v>
      </c>
      <c r="B293" s="764" t="s">
        <v>799</v>
      </c>
      <c r="C293" s="757">
        <v>1740.8930000000005</v>
      </c>
      <c r="D293" s="757">
        <v>44.6</v>
      </c>
      <c r="E293" s="757">
        <v>214.05500000000001</v>
      </c>
      <c r="F293" s="757">
        <v>20.8</v>
      </c>
      <c r="G293" s="757">
        <f t="shared" si="5"/>
        <v>1806.2930000000003</v>
      </c>
      <c r="I293" s="765"/>
    </row>
    <row r="294" spans="1:9" ht="14.4" x14ac:dyDescent="0.3">
      <c r="A294" s="763" t="s">
        <v>838</v>
      </c>
      <c r="B294" s="764" t="s">
        <v>839</v>
      </c>
      <c r="C294" s="757">
        <v>1885.4280000000003</v>
      </c>
      <c r="D294" s="757">
        <v>60.1</v>
      </c>
      <c r="E294" s="757">
        <v>0</v>
      </c>
      <c r="F294" s="757">
        <v>14.896999999999997</v>
      </c>
      <c r="G294" s="757">
        <f t="shared" si="5"/>
        <v>1960.4250000000002</v>
      </c>
      <c r="I294" s="765"/>
    </row>
    <row r="295" spans="1:9" ht="14.4" x14ac:dyDescent="0.3">
      <c r="A295" s="763" t="s">
        <v>816</v>
      </c>
      <c r="B295" s="764" t="s">
        <v>817</v>
      </c>
      <c r="C295" s="757">
        <v>1494.396</v>
      </c>
      <c r="D295" s="757">
        <v>0</v>
      </c>
      <c r="E295" s="757">
        <v>28.24</v>
      </c>
      <c r="F295" s="757">
        <v>19.099</v>
      </c>
      <c r="G295" s="757">
        <f t="shared" si="5"/>
        <v>1513.4949999999999</v>
      </c>
      <c r="I295" s="765"/>
    </row>
    <row r="296" spans="1:9" ht="14.4" x14ac:dyDescent="0.3">
      <c r="A296" s="768" t="s">
        <v>1116</v>
      </c>
      <c r="B296" s="766" t="s">
        <v>1117</v>
      </c>
      <c r="C296" s="757">
        <v>91.549999999999983</v>
      </c>
      <c r="D296" s="757">
        <v>0</v>
      </c>
      <c r="E296" s="757">
        <v>0</v>
      </c>
      <c r="F296" s="757">
        <v>0</v>
      </c>
      <c r="G296" s="757">
        <f t="shared" si="5"/>
        <v>91.549999999999983</v>
      </c>
      <c r="I296" s="765"/>
    </row>
    <row r="297" spans="1:9" ht="14.4" x14ac:dyDescent="0.3">
      <c r="A297" s="768" t="s">
        <v>772</v>
      </c>
      <c r="B297" s="766" t="s">
        <v>773</v>
      </c>
      <c r="C297" s="757">
        <v>416.3370000000001</v>
      </c>
      <c r="D297" s="757">
        <v>0</v>
      </c>
      <c r="E297" s="757">
        <v>0</v>
      </c>
      <c r="F297" s="757">
        <v>0</v>
      </c>
      <c r="G297" s="757">
        <f t="shared" si="5"/>
        <v>416.3370000000001</v>
      </c>
      <c r="I297" s="765"/>
    </row>
    <row r="298" spans="1:9" ht="14.4" x14ac:dyDescent="0.3">
      <c r="A298" s="763" t="s">
        <v>748</v>
      </c>
      <c r="B298" s="764" t="s">
        <v>749</v>
      </c>
      <c r="C298" s="757">
        <v>72.08</v>
      </c>
      <c r="D298" s="757">
        <v>2.6759999999999997</v>
      </c>
      <c r="E298" s="757">
        <v>0</v>
      </c>
      <c r="F298" s="757">
        <v>0</v>
      </c>
      <c r="G298" s="757">
        <f t="shared" si="5"/>
        <v>74.756</v>
      </c>
      <c r="I298" s="765"/>
    </row>
    <row r="299" spans="1:9" ht="14.4" x14ac:dyDescent="0.3">
      <c r="A299" s="763" t="s">
        <v>758</v>
      </c>
      <c r="B299" s="764" t="s">
        <v>759</v>
      </c>
      <c r="C299" s="757">
        <v>30.889999999999997</v>
      </c>
      <c r="D299" s="757">
        <v>0</v>
      </c>
      <c r="E299" s="757">
        <v>0</v>
      </c>
      <c r="F299" s="757">
        <v>0</v>
      </c>
      <c r="G299" s="757">
        <f t="shared" si="5"/>
        <v>30.889999999999997</v>
      </c>
      <c r="I299" s="765"/>
    </row>
    <row r="300" spans="1:9" ht="14.4" x14ac:dyDescent="0.3">
      <c r="A300" s="763" t="s">
        <v>1056</v>
      </c>
      <c r="B300" s="764" t="s">
        <v>1057</v>
      </c>
      <c r="C300" s="757">
        <v>176.74400000000006</v>
      </c>
      <c r="D300" s="757">
        <v>13.7</v>
      </c>
      <c r="E300" s="757">
        <v>8.8030000000000008</v>
      </c>
      <c r="F300" s="757">
        <v>0</v>
      </c>
      <c r="G300" s="757">
        <f t="shared" si="5"/>
        <v>190.44400000000005</v>
      </c>
      <c r="I300" s="765"/>
    </row>
    <row r="301" spans="1:9" ht="14.4" x14ac:dyDescent="0.3">
      <c r="A301" s="763" t="s">
        <v>924</v>
      </c>
      <c r="B301" s="764" t="s">
        <v>925</v>
      </c>
      <c r="C301" s="757">
        <v>2595.3579999999997</v>
      </c>
      <c r="D301" s="757">
        <v>0</v>
      </c>
      <c r="E301" s="757">
        <v>6.0600000000000005</v>
      </c>
      <c r="F301" s="757">
        <v>3</v>
      </c>
      <c r="G301" s="757">
        <f t="shared" si="5"/>
        <v>2598.3579999999997</v>
      </c>
      <c r="I301" s="765"/>
    </row>
    <row r="302" spans="1:9" ht="14.4" x14ac:dyDescent="0.3">
      <c r="A302" s="763" t="s">
        <v>588</v>
      </c>
      <c r="B302" s="764" t="s">
        <v>589</v>
      </c>
      <c r="C302" s="757">
        <v>515.95300000000009</v>
      </c>
      <c r="D302" s="757">
        <v>16.100000000000001</v>
      </c>
      <c r="E302" s="757">
        <v>0</v>
      </c>
      <c r="F302" s="757">
        <v>0</v>
      </c>
      <c r="G302" s="757">
        <f t="shared" si="5"/>
        <v>532.05300000000011</v>
      </c>
      <c r="I302" s="765"/>
    </row>
    <row r="303" spans="1:9" ht="14.4" x14ac:dyDescent="0.3">
      <c r="A303" s="763" t="s">
        <v>894</v>
      </c>
      <c r="B303" s="764" t="s">
        <v>895</v>
      </c>
      <c r="C303" s="757">
        <v>167.11800000000002</v>
      </c>
      <c r="D303" s="757">
        <v>8.6999999999999993</v>
      </c>
      <c r="E303" s="757">
        <v>0</v>
      </c>
      <c r="F303" s="757">
        <v>0</v>
      </c>
      <c r="G303" s="757">
        <f t="shared" si="5"/>
        <v>175.81800000000001</v>
      </c>
      <c r="I303" s="765"/>
    </row>
    <row r="304" spans="1:9" ht="14.4" x14ac:dyDescent="0.3">
      <c r="A304" s="763" t="s">
        <v>676</v>
      </c>
      <c r="B304" s="764" t="s">
        <v>677</v>
      </c>
      <c r="C304" s="757">
        <v>112.08300000000001</v>
      </c>
      <c r="D304" s="757">
        <v>0</v>
      </c>
      <c r="E304" s="757">
        <v>0</v>
      </c>
      <c r="F304" s="757">
        <v>0</v>
      </c>
      <c r="G304" s="757">
        <f t="shared" si="5"/>
        <v>112.08300000000001</v>
      </c>
      <c r="I304" s="765"/>
    </row>
    <row r="305" spans="1:9" ht="14.4" x14ac:dyDescent="0.3">
      <c r="A305" s="763" t="s">
        <v>1030</v>
      </c>
      <c r="B305" s="764" t="s">
        <v>1031</v>
      </c>
      <c r="C305" s="757">
        <v>25.8</v>
      </c>
      <c r="D305" s="757">
        <v>6.3</v>
      </c>
      <c r="E305" s="757">
        <v>0</v>
      </c>
      <c r="F305" s="757">
        <v>0</v>
      </c>
      <c r="G305" s="757">
        <f t="shared" si="5"/>
        <v>32.1</v>
      </c>
      <c r="I305" s="765"/>
    </row>
    <row r="306" spans="1:9" ht="14.4" x14ac:dyDescent="0.3">
      <c r="A306" s="763" t="s">
        <v>592</v>
      </c>
      <c r="B306" s="764" t="s">
        <v>593</v>
      </c>
      <c r="C306" s="757">
        <v>138.80799999999999</v>
      </c>
      <c r="D306" s="757">
        <v>12.4</v>
      </c>
      <c r="E306" s="757">
        <v>0</v>
      </c>
      <c r="F306" s="757">
        <v>0</v>
      </c>
      <c r="G306" s="757">
        <f t="shared" si="5"/>
        <v>151.208</v>
      </c>
      <c r="I306" s="765"/>
    </row>
    <row r="307" spans="1:9" ht="14.4" x14ac:dyDescent="0.3">
      <c r="A307" s="763" t="s">
        <v>648</v>
      </c>
      <c r="B307" s="764" t="s">
        <v>649</v>
      </c>
      <c r="C307" s="757">
        <v>72.153899999999993</v>
      </c>
      <c r="D307" s="757">
        <v>0</v>
      </c>
      <c r="E307" s="757">
        <v>0</v>
      </c>
      <c r="F307" s="757">
        <v>0</v>
      </c>
      <c r="G307" s="757">
        <f t="shared" si="5"/>
        <v>72.153899999999993</v>
      </c>
      <c r="I307" s="765"/>
    </row>
    <row r="308" spans="1:9" ht="14.4" x14ac:dyDescent="0.3">
      <c r="A308" s="763" t="s">
        <v>970</v>
      </c>
      <c r="B308" s="764" t="s">
        <v>971</v>
      </c>
      <c r="C308" s="757">
        <v>131.54900000000004</v>
      </c>
      <c r="D308" s="757">
        <v>9.65</v>
      </c>
      <c r="E308" s="757">
        <v>0</v>
      </c>
      <c r="F308" s="757">
        <v>0.4</v>
      </c>
      <c r="G308" s="757">
        <f t="shared" si="5"/>
        <v>141.59900000000005</v>
      </c>
      <c r="I308" s="765"/>
    </row>
    <row r="309" spans="1:9" ht="14.4" x14ac:dyDescent="0.3">
      <c r="A309" s="763" t="s">
        <v>1018</v>
      </c>
      <c r="B309" s="764" t="s">
        <v>1019</v>
      </c>
      <c r="C309" s="757">
        <v>143.82100000000003</v>
      </c>
      <c r="D309" s="757">
        <v>7</v>
      </c>
      <c r="E309" s="757">
        <v>0</v>
      </c>
      <c r="F309" s="757">
        <v>0</v>
      </c>
      <c r="G309" s="757">
        <f t="shared" si="5"/>
        <v>150.82100000000003</v>
      </c>
      <c r="I309" s="765"/>
    </row>
    <row r="310" spans="1:9" ht="14.4" x14ac:dyDescent="0.3">
      <c r="A310" s="763" t="s">
        <v>858</v>
      </c>
      <c r="B310" s="764" t="s">
        <v>859</v>
      </c>
      <c r="C310" s="757">
        <v>135.23000000000002</v>
      </c>
      <c r="D310" s="757">
        <v>7.3799999999999981</v>
      </c>
      <c r="E310" s="757">
        <v>0</v>
      </c>
      <c r="F310" s="757">
        <v>0</v>
      </c>
      <c r="G310" s="757">
        <f t="shared" si="5"/>
        <v>142.61000000000001</v>
      </c>
      <c r="I310" s="765"/>
    </row>
    <row r="311" spans="1:9" ht="14.4" x14ac:dyDescent="0.3">
      <c r="A311" s="763" t="s">
        <v>1078</v>
      </c>
      <c r="B311" s="764" t="s">
        <v>1079</v>
      </c>
      <c r="C311" s="757">
        <v>522.79999999999995</v>
      </c>
      <c r="D311" s="757">
        <v>17.3</v>
      </c>
      <c r="E311" s="757">
        <v>0</v>
      </c>
      <c r="F311" s="757">
        <v>0</v>
      </c>
      <c r="G311" s="757">
        <f t="shared" si="5"/>
        <v>540.09999999999991</v>
      </c>
      <c r="I311" s="765"/>
    </row>
    <row r="312" spans="1:9" ht="14.4" x14ac:dyDescent="0.3">
      <c r="A312" s="763" t="s">
        <v>826</v>
      </c>
      <c r="B312" s="764" t="s">
        <v>827</v>
      </c>
      <c r="C312" s="757">
        <v>1246.704</v>
      </c>
      <c r="D312" s="757">
        <v>31.9</v>
      </c>
      <c r="E312" s="757">
        <v>46.9</v>
      </c>
      <c r="F312" s="757">
        <v>0.1</v>
      </c>
      <c r="G312" s="757">
        <f t="shared" si="5"/>
        <v>1278.704</v>
      </c>
      <c r="I312" s="765"/>
    </row>
    <row r="313" spans="1:9" ht="14.4" x14ac:dyDescent="0.3">
      <c r="A313" s="763" t="s">
        <v>1142</v>
      </c>
      <c r="B313" s="764" t="s">
        <v>1143</v>
      </c>
      <c r="C313" s="757">
        <v>14958.555000000004</v>
      </c>
      <c r="D313" s="757">
        <v>0</v>
      </c>
      <c r="E313" s="757">
        <v>584.50500000000011</v>
      </c>
      <c r="F313" s="757">
        <v>127.678</v>
      </c>
      <c r="G313" s="757">
        <f t="shared" si="5"/>
        <v>15086.233000000004</v>
      </c>
      <c r="I313" s="765"/>
    </row>
    <row r="314" spans="1:9" ht="14.4" x14ac:dyDescent="0.3">
      <c r="A314" s="763" t="s">
        <v>634</v>
      </c>
      <c r="B314" s="764" t="s">
        <v>635</v>
      </c>
      <c r="C314" s="757">
        <v>3172.4659999999999</v>
      </c>
      <c r="D314" s="757">
        <v>87.319999999999979</v>
      </c>
      <c r="E314" s="757">
        <v>28.2</v>
      </c>
      <c r="F314" s="757">
        <v>36.1</v>
      </c>
      <c r="G314" s="757">
        <f t="shared" si="5"/>
        <v>3295.886</v>
      </c>
      <c r="I314" s="765"/>
    </row>
    <row r="315" spans="1:9" ht="14.4" x14ac:dyDescent="0.3">
      <c r="A315" s="763" t="s">
        <v>982</v>
      </c>
      <c r="B315" s="764" t="s">
        <v>983</v>
      </c>
      <c r="C315" s="757">
        <v>3547.0629999999996</v>
      </c>
      <c r="D315" s="757">
        <v>18</v>
      </c>
      <c r="E315" s="757">
        <v>86.700999999999993</v>
      </c>
      <c r="F315" s="757">
        <v>37</v>
      </c>
      <c r="G315" s="757">
        <f t="shared" si="5"/>
        <v>3602.0629999999996</v>
      </c>
      <c r="I315" s="765"/>
    </row>
    <row r="316" spans="1:9" ht="14.4" x14ac:dyDescent="0.3">
      <c r="A316" s="763" t="s">
        <v>778</v>
      </c>
      <c r="B316" s="764" t="s">
        <v>779</v>
      </c>
      <c r="C316" s="757">
        <v>665.72399999999993</v>
      </c>
      <c r="D316" s="757">
        <v>33.9</v>
      </c>
      <c r="E316" s="757">
        <v>0</v>
      </c>
      <c r="F316" s="757">
        <v>2.6</v>
      </c>
      <c r="G316" s="757">
        <f t="shared" si="5"/>
        <v>702.22399999999993</v>
      </c>
      <c r="I316" s="765"/>
    </row>
    <row r="317" spans="1:9" ht="14.4" x14ac:dyDescent="0.3">
      <c r="A317" s="763" t="s">
        <v>684</v>
      </c>
      <c r="B317" s="764" t="s">
        <v>685</v>
      </c>
      <c r="C317" s="757">
        <v>3365.1220000000003</v>
      </c>
      <c r="D317" s="757">
        <v>99.1</v>
      </c>
      <c r="E317" s="757">
        <v>39.475999999999992</v>
      </c>
      <c r="F317" s="757">
        <v>6.7</v>
      </c>
      <c r="G317" s="757">
        <f t="shared" si="5"/>
        <v>3470.922</v>
      </c>
      <c r="I317" s="765"/>
    </row>
    <row r="318" spans="1:9" ht="14.4" x14ac:dyDescent="0.3">
      <c r="A318" s="763" t="s">
        <v>1046</v>
      </c>
      <c r="B318" s="764" t="s">
        <v>1047</v>
      </c>
      <c r="C318" s="757">
        <v>5816.1540000000005</v>
      </c>
      <c r="D318" s="757">
        <v>30.3</v>
      </c>
      <c r="E318" s="757">
        <v>83.618000000000009</v>
      </c>
      <c r="F318" s="757">
        <v>3.5</v>
      </c>
      <c r="G318" s="757">
        <f t="shared" si="5"/>
        <v>5849.9540000000006</v>
      </c>
    </row>
    <row r="319" spans="1:9" ht="14.4" x14ac:dyDescent="0.3">
      <c r="A319" s="763" t="s">
        <v>1066</v>
      </c>
      <c r="B319" s="764" t="s">
        <v>1067</v>
      </c>
      <c r="C319" s="757">
        <v>3812.8270000000002</v>
      </c>
      <c r="D319" s="757">
        <v>0</v>
      </c>
      <c r="E319" s="757">
        <v>652.11299999999994</v>
      </c>
      <c r="F319" s="757">
        <v>0</v>
      </c>
      <c r="G319" s="757">
        <f t="shared" si="5"/>
        <v>3812.8270000000002</v>
      </c>
    </row>
    <row r="320" spans="1:9" ht="14.4" x14ac:dyDescent="0.3">
      <c r="A320" s="763" t="s">
        <v>700</v>
      </c>
      <c r="B320" s="764" t="s">
        <v>701</v>
      </c>
      <c r="C320" s="757">
        <v>969.92899999999986</v>
      </c>
      <c r="D320" s="757">
        <v>53.18399999999999</v>
      </c>
      <c r="E320" s="757">
        <v>0</v>
      </c>
      <c r="F320" s="757">
        <v>22.6</v>
      </c>
      <c r="G320" s="757">
        <f t="shared" si="5"/>
        <v>1045.713</v>
      </c>
    </row>
    <row r="321" spans="1:7" ht="14.4" x14ac:dyDescent="0.3">
      <c r="A321" s="763" t="s">
        <v>686</v>
      </c>
      <c r="B321" s="764" t="s">
        <v>687</v>
      </c>
      <c r="C321" s="757">
        <v>1369.145</v>
      </c>
      <c r="D321" s="757">
        <v>0</v>
      </c>
      <c r="E321" s="757">
        <v>25.5</v>
      </c>
      <c r="F321" s="757">
        <v>0</v>
      </c>
      <c r="G321" s="757">
        <f t="shared" si="5"/>
        <v>1369.145</v>
      </c>
    </row>
    <row r="322" spans="1:7" ht="14.4" x14ac:dyDescent="0.3">
      <c r="A322" s="763" t="s">
        <v>1146</v>
      </c>
      <c r="B322" s="764" t="s">
        <v>1147</v>
      </c>
      <c r="C322" s="757">
        <v>1266.0519999999999</v>
      </c>
      <c r="D322" s="757">
        <v>36.5</v>
      </c>
      <c r="E322" s="757">
        <v>0</v>
      </c>
      <c r="F322" s="757">
        <v>0</v>
      </c>
      <c r="G322" s="757">
        <f t="shared" si="5"/>
        <v>1302.5519999999999</v>
      </c>
    </row>
    <row r="323" spans="1:7" ht="14.4" x14ac:dyDescent="0.3">
      <c r="A323" s="763" t="s">
        <v>1098</v>
      </c>
      <c r="B323" s="764" t="s">
        <v>1099</v>
      </c>
      <c r="C323" s="757">
        <v>2977.3899999999994</v>
      </c>
      <c r="D323" s="757">
        <v>90.7</v>
      </c>
      <c r="E323" s="757">
        <v>50.706000000000003</v>
      </c>
      <c r="F323" s="757">
        <v>23.5</v>
      </c>
      <c r="G323" s="757">
        <f t="shared" si="5"/>
        <v>3091.5899999999992</v>
      </c>
    </row>
    <row r="324" spans="1:7" ht="14.4" x14ac:dyDescent="0.3">
      <c r="A324" s="763" t="s">
        <v>1114</v>
      </c>
      <c r="B324" s="764" t="s">
        <v>1115</v>
      </c>
      <c r="C324" s="757">
        <v>5171.9580000000005</v>
      </c>
      <c r="D324" s="757">
        <v>34.200000000000003</v>
      </c>
      <c r="E324" s="757">
        <v>246.45700000000002</v>
      </c>
      <c r="F324" s="757">
        <v>16.600000000000001</v>
      </c>
      <c r="G324" s="757">
        <f t="shared" si="5"/>
        <v>5222.7580000000007</v>
      </c>
    </row>
    <row r="325" spans="1:7" ht="14.4" x14ac:dyDescent="0.3">
      <c r="A325" s="763" t="s">
        <v>814</v>
      </c>
      <c r="B325" s="764" t="s">
        <v>815</v>
      </c>
      <c r="C325" s="757">
        <v>812.97900000000004</v>
      </c>
      <c r="D325" s="757">
        <v>0</v>
      </c>
      <c r="E325" s="757">
        <v>2.8</v>
      </c>
      <c r="F325" s="757">
        <v>13.7</v>
      </c>
      <c r="G325" s="757">
        <f t="shared" si="5"/>
        <v>826.67900000000009</v>
      </c>
    </row>
    <row r="326" spans="1:7" ht="14.4" x14ac:dyDescent="0.3">
      <c r="A326" s="769" t="s">
        <v>1140</v>
      </c>
      <c r="B326" s="766" t="s">
        <v>1141</v>
      </c>
      <c r="C326" s="757">
        <v>132.19999999999999</v>
      </c>
      <c r="D326" s="757">
        <v>0</v>
      </c>
      <c r="E326" s="757">
        <v>0</v>
      </c>
      <c r="F326" s="757">
        <v>0</v>
      </c>
      <c r="G326" s="757">
        <f t="shared" si="5"/>
        <v>132.19999999999999</v>
      </c>
    </row>
  </sheetData>
  <autoFilter ref="A6:G6" xr:uid="{00000000-0001-0000-0600-000000000000}"/>
  <phoneticPr fontId="0" type="noConversion"/>
  <pageMargins left="0.5" right="0.5" top="1" bottom="1" header="0.5" footer="0.5"/>
  <pageSetup orientation="landscape" r:id="rId1"/>
  <headerFooter alignWithMargins="0">
    <oddHeader>&amp;A</oddHeader>
    <oddFooter>&amp;CPage &amp;P&amp;R&amp;D</oddFooter>
  </headerFooter>
  <colBreaks count="12" manualBreakCount="12">
    <brk id="16" max="1048575" man="1"/>
    <brk id="30" max="1048575" man="1"/>
    <brk id="42" max="1048575" man="1"/>
    <brk id="54" max="1048575" man="1"/>
    <brk id="66" max="1048575" man="1"/>
    <brk id="84" max="1048575" man="1"/>
    <brk id="96" max="1048575" man="1"/>
    <brk id="108" max="1048575" man="1"/>
    <brk id="119" max="1048575" man="1"/>
    <brk id="129" max="1048575" man="1"/>
    <brk id="134" max="1048575" man="1"/>
    <brk id="15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98"/>
  <sheetViews>
    <sheetView tabSelected="1" zoomScale="75" zoomScaleNormal="75" workbookViewId="0">
      <selection activeCell="A3" sqref="A3"/>
    </sheetView>
  </sheetViews>
  <sheetFormatPr defaultColWidth="9.109375" defaultRowHeight="16.8" x14ac:dyDescent="0.4"/>
  <cols>
    <col min="1" max="1" width="42.44140625" style="88" customWidth="1"/>
    <col min="2" max="2" width="11.109375" style="88" customWidth="1"/>
    <col min="3" max="3" width="11.109375" style="341" customWidth="1"/>
    <col min="4" max="4" width="11.109375" style="88" customWidth="1"/>
    <col min="5" max="5" width="11.109375" style="341" customWidth="1"/>
    <col min="6" max="6" width="11.109375" style="88" customWidth="1"/>
    <col min="7" max="7" width="11.109375" style="341" customWidth="1"/>
    <col min="8" max="9" width="11.109375" style="342" customWidth="1"/>
    <col min="10" max="16384" width="9.109375" style="88"/>
  </cols>
  <sheetData>
    <row r="1" spans="1:9" s="382" customFormat="1" ht="20.399999999999999" x14ac:dyDescent="0.45">
      <c r="A1" s="801" t="s">
        <v>311</v>
      </c>
      <c r="B1" s="802"/>
      <c r="C1" s="802"/>
      <c r="D1" s="802"/>
      <c r="E1" s="802"/>
      <c r="F1" s="802"/>
      <c r="G1" s="802"/>
      <c r="H1" s="802"/>
      <c r="I1" s="803"/>
    </row>
    <row r="2" spans="1:9" s="382" customFormat="1" ht="21" thickBot="1" x14ac:dyDescent="0.5">
      <c r="A2" s="798" t="s">
        <v>1154</v>
      </c>
      <c r="B2" s="799"/>
      <c r="C2" s="799"/>
      <c r="D2" s="799"/>
      <c r="E2" s="799"/>
      <c r="F2" s="799"/>
      <c r="G2" s="799"/>
      <c r="H2" s="799"/>
      <c r="I2" s="804"/>
    </row>
    <row r="3" spans="1:9" ht="17.399999999999999" thickBot="1" x14ac:dyDescent="0.45"/>
    <row r="4" spans="1:9" s="329" customFormat="1" ht="19.2" x14ac:dyDescent="0.45">
      <c r="A4" s="389" t="s">
        <v>63</v>
      </c>
      <c r="B4" s="390" t="s">
        <v>494</v>
      </c>
      <c r="C4" s="391"/>
      <c r="D4" s="390" t="s">
        <v>1152</v>
      </c>
      <c r="E4" s="391"/>
      <c r="F4" s="392" t="s">
        <v>312</v>
      </c>
      <c r="G4" s="393"/>
      <c r="H4" s="394"/>
      <c r="I4" s="395"/>
    </row>
    <row r="5" spans="1:9" s="329" customFormat="1" ht="19.8" thickBot="1" x14ac:dyDescent="0.5">
      <c r="A5" s="396" t="s">
        <v>316</v>
      </c>
      <c r="B5" s="397" t="s">
        <v>6</v>
      </c>
      <c r="C5" s="398" t="s">
        <v>290</v>
      </c>
      <c r="D5" s="397" t="s">
        <v>6</v>
      </c>
      <c r="E5" s="398" t="s">
        <v>290</v>
      </c>
      <c r="F5" s="399" t="s">
        <v>6</v>
      </c>
      <c r="G5" s="400" t="s">
        <v>290</v>
      </c>
      <c r="H5" s="401" t="s">
        <v>78</v>
      </c>
      <c r="I5" s="402" t="s">
        <v>313</v>
      </c>
    </row>
    <row r="6" spans="1:9" x14ac:dyDescent="0.4">
      <c r="A6" s="343" t="s">
        <v>79</v>
      </c>
      <c r="B6" s="344">
        <v>1495.24</v>
      </c>
      <c r="C6" s="345">
        <v>178520.49948503249</v>
      </c>
      <c r="D6" s="344">
        <f>table3ws1!F6</f>
        <v>1446.04</v>
      </c>
      <c r="E6" s="345">
        <f>table3ws1!G6</f>
        <v>183161.65898592019</v>
      </c>
      <c r="F6" s="346">
        <f t="shared" ref="F6:G12" si="0">+D6-B6</f>
        <v>-49.200000000000045</v>
      </c>
      <c r="G6" s="347">
        <f t="shared" si="0"/>
        <v>4641.1595008877048</v>
      </c>
      <c r="H6" s="348">
        <f t="shared" ref="H6:H13" si="1">IF(F6=0,0,F6/B6)</f>
        <v>-3.2904416682271773E-2</v>
      </c>
      <c r="I6" s="349">
        <f t="shared" ref="I6:I13" si="2">IF(G6=0,0,G6/C6)</f>
        <v>2.5997907883272692E-2</v>
      </c>
    </row>
    <row r="7" spans="1:9" x14ac:dyDescent="0.4">
      <c r="A7" s="343" t="s">
        <v>80</v>
      </c>
      <c r="B7" s="344">
        <v>3655.38</v>
      </c>
      <c r="C7" s="345">
        <v>160955.04803604551</v>
      </c>
      <c r="D7" s="344">
        <f>table3ws1!F11</f>
        <v>3671.2799999999997</v>
      </c>
      <c r="E7" s="345">
        <f>table3ws1!G11</f>
        <v>165043.79124719443</v>
      </c>
      <c r="F7" s="346">
        <f t="shared" si="0"/>
        <v>15.899999999999636</v>
      </c>
      <c r="G7" s="347">
        <f t="shared" si="0"/>
        <v>4088.7432111489179</v>
      </c>
      <c r="H7" s="348">
        <f t="shared" si="1"/>
        <v>4.349752966859707E-3</v>
      </c>
      <c r="I7" s="349">
        <f t="shared" si="2"/>
        <v>2.5403013207968807E-2</v>
      </c>
    </row>
    <row r="8" spans="1:9" x14ac:dyDescent="0.4">
      <c r="A8" s="343" t="s">
        <v>81</v>
      </c>
      <c r="B8" s="344">
        <v>62645.18</v>
      </c>
      <c r="C8" s="345">
        <v>91860.000083964973</v>
      </c>
      <c r="D8" s="344">
        <f>table3ws1!F15</f>
        <v>61686.8</v>
      </c>
      <c r="E8" s="345">
        <f>table3ws1!G15</f>
        <v>96559.601503725251</v>
      </c>
      <c r="F8" s="346">
        <f t="shared" si="0"/>
        <v>-958.37999999999738</v>
      </c>
      <c r="G8" s="347">
        <f t="shared" si="0"/>
        <v>4699.6014197602781</v>
      </c>
      <c r="H8" s="348">
        <f t="shared" si="1"/>
        <v>-1.5298543319693509E-2</v>
      </c>
      <c r="I8" s="349">
        <f t="shared" si="2"/>
        <v>5.1160476980890379E-2</v>
      </c>
    </row>
    <row r="9" spans="1:9" x14ac:dyDescent="0.4">
      <c r="A9" s="343" t="s">
        <v>82</v>
      </c>
      <c r="B9" s="344">
        <v>10559.98</v>
      </c>
      <c r="C9" s="345">
        <v>95914.556612796616</v>
      </c>
      <c r="D9" s="344">
        <f>table3ws1!F27</f>
        <v>10622.670000000002</v>
      </c>
      <c r="E9" s="345">
        <f>table3ws1!G27</f>
        <v>100765.73230929697</v>
      </c>
      <c r="F9" s="346">
        <f t="shared" si="0"/>
        <v>62.690000000002328</v>
      </c>
      <c r="G9" s="347">
        <f t="shared" si="0"/>
        <v>4851.1756965003588</v>
      </c>
      <c r="H9" s="348">
        <f t="shared" si="1"/>
        <v>5.9365642737961941E-3</v>
      </c>
      <c r="I9" s="349">
        <f t="shared" si="2"/>
        <v>5.0578096462295802E-2</v>
      </c>
    </row>
    <row r="10" spans="1:9" x14ac:dyDescent="0.4">
      <c r="A10" s="343" t="s">
        <v>241</v>
      </c>
      <c r="B10" s="344">
        <v>274.84000000000003</v>
      </c>
      <c r="C10" s="345">
        <v>83737.056978605731</v>
      </c>
      <c r="D10" s="344">
        <f>table3ws1!F30</f>
        <v>254.71</v>
      </c>
      <c r="E10" s="345">
        <f>table3ws1!G30</f>
        <v>124748.03796474422</v>
      </c>
      <c r="F10" s="346">
        <f t="shared" si="0"/>
        <v>-20.130000000000024</v>
      </c>
      <c r="G10" s="347">
        <f t="shared" si="0"/>
        <v>41010.980986138486</v>
      </c>
      <c r="H10" s="348">
        <f t="shared" si="1"/>
        <v>-7.3242613884441934E-2</v>
      </c>
      <c r="I10" s="349">
        <f t="shared" si="2"/>
        <v>0.48975904415432847</v>
      </c>
    </row>
    <row r="11" spans="1:9" x14ac:dyDescent="0.4">
      <c r="A11" s="343" t="s">
        <v>83</v>
      </c>
      <c r="B11" s="344">
        <v>78.31</v>
      </c>
      <c r="C11" s="345">
        <v>101009</v>
      </c>
      <c r="D11" s="344">
        <f>table3ws1!$D$31</f>
        <v>83.4</v>
      </c>
      <c r="E11" s="345">
        <f>table3ws1!$E$31</f>
        <v>113100</v>
      </c>
      <c r="F11" s="346">
        <f t="shared" si="0"/>
        <v>5.0900000000000034</v>
      </c>
      <c r="G11" s="347">
        <f t="shared" si="0"/>
        <v>12091</v>
      </c>
      <c r="H11" s="348">
        <f t="shared" si="1"/>
        <v>6.499808453581922E-2</v>
      </c>
      <c r="I11" s="349">
        <f t="shared" si="2"/>
        <v>0.11970220475403182</v>
      </c>
    </row>
    <row r="12" spans="1:9" x14ac:dyDescent="0.4">
      <c r="A12" s="93" t="s">
        <v>276</v>
      </c>
      <c r="B12" s="344">
        <v>434.48</v>
      </c>
      <c r="C12" s="345">
        <v>77442.469135518302</v>
      </c>
      <c r="D12" s="344">
        <f>table3ws1!F20</f>
        <v>427.69</v>
      </c>
      <c r="E12" s="345">
        <f>table3ws1!G20</f>
        <v>84279.663190628737</v>
      </c>
      <c r="F12" s="346">
        <f t="shared" si="0"/>
        <v>-6.7900000000000205</v>
      </c>
      <c r="G12" s="347">
        <f t="shared" si="0"/>
        <v>6837.1940551104344</v>
      </c>
      <c r="H12" s="348">
        <f t="shared" si="1"/>
        <v>-1.5627877002393712E-2</v>
      </c>
      <c r="I12" s="349">
        <f t="shared" si="2"/>
        <v>8.8287397489171943E-2</v>
      </c>
    </row>
    <row r="13" spans="1:9" ht="17.399999999999999" thickBot="1" x14ac:dyDescent="0.45">
      <c r="A13" s="350" t="s">
        <v>38</v>
      </c>
      <c r="B13" s="351">
        <f>SUM(B6:B12)</f>
        <v>79143.409999999989</v>
      </c>
      <c r="C13" s="352">
        <f>SUMPRODUCT(B6:B12,C6:C12)/SUM(B6:B12)</f>
        <v>97131.22553425486</v>
      </c>
      <c r="D13" s="351">
        <f>SUM(D6:D12)</f>
        <v>78192.59</v>
      </c>
      <c r="E13" s="352">
        <f>SUMPRODUCT(D6:D12,E6:E12)/SUM(D6:D12)</f>
        <v>101990.32523235257</v>
      </c>
      <c r="F13" s="353">
        <f>+D13-B13</f>
        <v>-950.81999999999243</v>
      </c>
      <c r="G13" s="354">
        <f>+E13-C13</f>
        <v>4859.099698097707</v>
      </c>
      <c r="H13" s="355">
        <f t="shared" si="1"/>
        <v>-1.2013887195408848E-2</v>
      </c>
      <c r="I13" s="356">
        <f t="shared" si="2"/>
        <v>5.0026133937577766E-2</v>
      </c>
    </row>
    <row r="14" spans="1:9" ht="17.399999999999999" thickBot="1" x14ac:dyDescent="0.45">
      <c r="B14" s="190"/>
      <c r="C14" s="357"/>
      <c r="D14" s="190"/>
      <c r="E14" s="357"/>
      <c r="F14" s="190"/>
      <c r="G14" s="357"/>
      <c r="H14" s="358"/>
      <c r="I14" s="358"/>
    </row>
    <row r="15" spans="1:9" s="329" customFormat="1" ht="19.2" x14ac:dyDescent="0.45">
      <c r="A15" s="389" t="s">
        <v>63</v>
      </c>
      <c r="B15" s="390" t="s">
        <v>494</v>
      </c>
      <c r="C15" s="391"/>
      <c r="D15" s="390" t="s">
        <v>1152</v>
      </c>
      <c r="E15" s="391"/>
      <c r="F15" s="403" t="s">
        <v>312</v>
      </c>
      <c r="G15" s="393"/>
      <c r="H15" s="394"/>
      <c r="I15" s="395"/>
    </row>
    <row r="16" spans="1:9" s="329" customFormat="1" ht="19.8" thickBot="1" x14ac:dyDescent="0.5">
      <c r="A16" s="396" t="s">
        <v>317</v>
      </c>
      <c r="B16" s="404" t="s">
        <v>6</v>
      </c>
      <c r="C16" s="398" t="s">
        <v>290</v>
      </c>
      <c r="D16" s="404" t="s">
        <v>6</v>
      </c>
      <c r="E16" s="398" t="s">
        <v>290</v>
      </c>
      <c r="F16" s="405" t="s">
        <v>6</v>
      </c>
      <c r="G16" s="400" t="s">
        <v>290</v>
      </c>
      <c r="H16" s="406" t="s">
        <v>78</v>
      </c>
      <c r="I16" s="402" t="s">
        <v>313</v>
      </c>
    </row>
    <row r="17" spans="1:9" x14ac:dyDescent="0.4">
      <c r="A17" s="343" t="s">
        <v>398</v>
      </c>
      <c r="B17" s="344">
        <v>60172.39</v>
      </c>
      <c r="C17" s="345">
        <v>98078.738486039831</v>
      </c>
      <c r="D17" s="344">
        <f>+'table5-6ws1'!F42+'table5-6ws1'!F73+'table5-6ws1'!F91+'table5-6ws1'!F267+'table5-6ws1'!F286+'table5-6ws1'!F320+'table5-6ws1'!F698</f>
        <v>59785.72</v>
      </c>
      <c r="E17" s="345">
        <f>(+'table5-6ws1'!G42+'table5-6ws1'!G73+'table5-6ws1'!G91+'table5-6ws1'!G267+'table5-6ws1'!G286+'table5-6ws1'!G320+'table5-6ws1'!G698)/D17</f>
        <v>103109.45592609736</v>
      </c>
      <c r="F17" s="346">
        <f t="shared" ref="F17:F27" si="3">+D17-B17</f>
        <v>-386.66999999999825</v>
      </c>
      <c r="G17" s="347">
        <f t="shared" ref="G17:G27" si="4">+E17-C17</f>
        <v>5030.7174400575313</v>
      </c>
      <c r="H17" s="348">
        <f t="shared" ref="H17:H28" si="5">IF(F17=0,0,F17/B17)</f>
        <v>-6.4260369249085547E-3</v>
      </c>
      <c r="I17" s="349">
        <f t="shared" ref="I17:I28" si="6">IF(G17=0,0,G17/C17)</f>
        <v>5.1292640155374603E-2</v>
      </c>
    </row>
    <row r="18" spans="1:9" x14ac:dyDescent="0.4">
      <c r="A18" s="343" t="s">
        <v>385</v>
      </c>
      <c r="B18" s="344">
        <v>10823.550000000001</v>
      </c>
      <c r="C18" s="345">
        <v>91745.762832896755</v>
      </c>
      <c r="D18" s="344">
        <f>+'table5-6ws1'!F178+'table5-6ws1'!F188</f>
        <v>11096.849999999999</v>
      </c>
      <c r="E18" s="345">
        <f>(+'table5-6ws1'!G178+'table5-6ws1'!G188)/D18</f>
        <v>96220.163443679994</v>
      </c>
      <c r="F18" s="346">
        <f t="shared" si="3"/>
        <v>273.29999999999745</v>
      </c>
      <c r="G18" s="347">
        <f t="shared" si="4"/>
        <v>4474.4006107832392</v>
      </c>
      <c r="H18" s="348">
        <f t="shared" si="5"/>
        <v>2.5250495447426899E-2</v>
      </c>
      <c r="I18" s="349">
        <f t="shared" si="6"/>
        <v>4.8769561368548334E-2</v>
      </c>
    </row>
    <row r="19" spans="1:9" x14ac:dyDescent="0.4">
      <c r="A19" s="343" t="s">
        <v>386</v>
      </c>
      <c r="B19" s="344">
        <v>1074.94</v>
      </c>
      <c r="C19" s="345">
        <v>94551.450769345276</v>
      </c>
      <c r="D19" s="344">
        <f>+'table5-6ws1'!F216+'table5-6ws1'!F219+'table5-6ws1'!F244</f>
        <v>1094.3</v>
      </c>
      <c r="E19" s="345">
        <f>(+'table5-6ws1'!G216+'table5-6ws1'!G219+'table5-6ws1'!G244)/D19</f>
        <v>98137.742191355224</v>
      </c>
      <c r="F19" s="346">
        <f t="shared" si="3"/>
        <v>19.3599999999999</v>
      </c>
      <c r="G19" s="347">
        <f t="shared" si="4"/>
        <v>3586.2914220099483</v>
      </c>
      <c r="H19" s="348">
        <f t="shared" si="5"/>
        <v>1.8010307552049323E-2</v>
      </c>
      <c r="I19" s="349">
        <f t="shared" si="6"/>
        <v>3.7929522951039345E-2</v>
      </c>
    </row>
    <row r="20" spans="1:9" x14ac:dyDescent="0.4">
      <c r="A20" s="343" t="s">
        <v>310</v>
      </c>
      <c r="B20" s="344">
        <v>63.090000000000011</v>
      </c>
      <c r="C20" s="345">
        <v>98803.269614835939</v>
      </c>
      <c r="D20" s="344">
        <f>+'table5-6ws1'!F234+'table5-6ws1'!F436+'table5-6ws1'!F470</f>
        <v>72.179999999999978</v>
      </c>
      <c r="E20" s="345">
        <f>(+'table5-6ws1'!G234+'table5-6ws1'!G436+'table5-6ws1'!G470)/D20</f>
        <v>102743.20338043783</v>
      </c>
      <c r="F20" s="346">
        <f t="shared" si="3"/>
        <v>9.0899999999999679</v>
      </c>
      <c r="G20" s="347">
        <f t="shared" si="4"/>
        <v>3939.9337656018906</v>
      </c>
      <c r="H20" s="348">
        <f t="shared" si="5"/>
        <v>0.14407988587731757</v>
      </c>
      <c r="I20" s="349">
        <f t="shared" si="6"/>
        <v>3.987655247605576E-2</v>
      </c>
    </row>
    <row r="21" spans="1:9" x14ac:dyDescent="0.4">
      <c r="A21" s="343" t="s">
        <v>84</v>
      </c>
      <c r="B21" s="344">
        <v>2094.5100000000002</v>
      </c>
      <c r="C21" s="345">
        <v>99176.615504342277</v>
      </c>
      <c r="D21" s="344">
        <f>+'table5-6ws1'!F419</f>
        <v>2096.0400000000004</v>
      </c>
      <c r="E21" s="345">
        <f>+'table5-6ws1'!G419/D21</f>
        <v>103988.48608328082</v>
      </c>
      <c r="F21" s="346">
        <f t="shared" si="3"/>
        <v>1.5300000000002001</v>
      </c>
      <c r="G21" s="347">
        <f t="shared" si="4"/>
        <v>4811.8705789385422</v>
      </c>
      <c r="H21" s="348">
        <f t="shared" si="5"/>
        <v>7.3048111491480104E-4</v>
      </c>
      <c r="I21" s="349">
        <f t="shared" si="6"/>
        <v>4.8518197101895082E-2</v>
      </c>
    </row>
    <row r="22" spans="1:9" x14ac:dyDescent="0.4">
      <c r="A22" s="343" t="s">
        <v>270</v>
      </c>
      <c r="B22" s="344">
        <v>1144.8200000000002</v>
      </c>
      <c r="C22" s="345">
        <v>98186.692912422877</v>
      </c>
      <c r="D22" s="344">
        <f>+'table5-6ws1'!F350</f>
        <v>1165.9700000000003</v>
      </c>
      <c r="E22" s="345">
        <f>+'table5-6ws1'!G350/D22</f>
        <v>103639.77167508595</v>
      </c>
      <c r="F22" s="346">
        <f t="shared" si="3"/>
        <v>21.150000000000091</v>
      </c>
      <c r="G22" s="347">
        <f t="shared" si="4"/>
        <v>5453.0787626630772</v>
      </c>
      <c r="H22" s="348">
        <f t="shared" si="5"/>
        <v>1.8474520011879672E-2</v>
      </c>
      <c r="I22" s="349">
        <f t="shared" si="6"/>
        <v>5.5537859570511487E-2</v>
      </c>
    </row>
    <row r="23" spans="1:9" x14ac:dyDescent="0.4">
      <c r="A23" s="343" t="s">
        <v>271</v>
      </c>
      <c r="B23" s="344">
        <v>1293.75</v>
      </c>
      <c r="C23" s="345">
        <v>96255.392672463771</v>
      </c>
      <c r="D23" s="344">
        <f>+'table5-6ws1'!F520</f>
        <v>1317.54</v>
      </c>
      <c r="E23" s="345">
        <f>+'table5-6ws1'!G520/D23</f>
        <v>100572.55272705192</v>
      </c>
      <c r="F23" s="346">
        <f t="shared" si="3"/>
        <v>23.789999999999964</v>
      </c>
      <c r="G23" s="347">
        <f t="shared" si="4"/>
        <v>4317.160054588152</v>
      </c>
      <c r="H23" s="348">
        <f t="shared" si="5"/>
        <v>1.838840579710142E-2</v>
      </c>
      <c r="I23" s="349">
        <f t="shared" si="6"/>
        <v>4.485109804994003E-2</v>
      </c>
    </row>
    <row r="24" spans="1:9" x14ac:dyDescent="0.4">
      <c r="A24" s="343" t="s">
        <v>85</v>
      </c>
      <c r="B24" s="344">
        <v>232.77999999999994</v>
      </c>
      <c r="C24" s="345">
        <v>102115.28271329154</v>
      </c>
      <c r="D24" s="344">
        <f>+'table5-6ws1'!F585</f>
        <v>220.89</v>
      </c>
      <c r="E24" s="345">
        <f>+'table5-6ws1'!G585/D24</f>
        <v>106572.80691747023</v>
      </c>
      <c r="F24" s="346">
        <f t="shared" si="3"/>
        <v>-11.889999999999958</v>
      </c>
      <c r="G24" s="347">
        <f t="shared" si="4"/>
        <v>4457.5242041786842</v>
      </c>
      <c r="H24" s="348">
        <f t="shared" si="5"/>
        <v>-5.1078271329151818E-2</v>
      </c>
      <c r="I24" s="349">
        <f t="shared" si="6"/>
        <v>4.3651881341738509E-2</v>
      </c>
    </row>
    <row r="25" spans="1:9" x14ac:dyDescent="0.4">
      <c r="A25" s="343" t="s">
        <v>86</v>
      </c>
      <c r="B25" s="344">
        <v>2235.2399999999998</v>
      </c>
      <c r="C25" s="345">
        <v>96254.788027236471</v>
      </c>
      <c r="D25" s="344">
        <f>+'table5-6ws1'!F786</f>
        <v>1337.6199999999997</v>
      </c>
      <c r="E25" s="345">
        <f>+'table5-6ws1'!G787</f>
        <v>98682.701193164001</v>
      </c>
      <c r="F25" s="346">
        <f t="shared" si="3"/>
        <v>-897.62000000000012</v>
      </c>
      <c r="G25" s="347">
        <f t="shared" si="4"/>
        <v>2427.9131659275299</v>
      </c>
      <c r="H25" s="348">
        <f t="shared" si="5"/>
        <v>-0.40157656448524554</v>
      </c>
      <c r="I25" s="349">
        <f t="shared" si="6"/>
        <v>2.5223817076408937E-2</v>
      </c>
    </row>
    <row r="26" spans="1:9" x14ac:dyDescent="0.4">
      <c r="A26" s="343" t="s">
        <v>272</v>
      </c>
      <c r="B26" s="344">
        <v>1.6</v>
      </c>
      <c r="C26" s="345">
        <v>176807.99999999997</v>
      </c>
      <c r="D26" s="344">
        <f>+'table5-6ws1'!F709</f>
        <v>1.61</v>
      </c>
      <c r="E26" s="345">
        <f>+'table5-6ws1'!G709/D26</f>
        <v>177189</v>
      </c>
      <c r="F26" s="346">
        <f t="shared" si="3"/>
        <v>1.0000000000000009E-2</v>
      </c>
      <c r="G26" s="347">
        <f t="shared" si="4"/>
        <v>381.0000000000291</v>
      </c>
      <c r="H26" s="348">
        <f t="shared" si="5"/>
        <v>6.2500000000000056E-3</v>
      </c>
      <c r="I26" s="349">
        <f t="shared" si="6"/>
        <v>2.1548798696893194E-3</v>
      </c>
    </row>
    <row r="27" spans="1:9" x14ac:dyDescent="0.4">
      <c r="A27" s="343" t="s">
        <v>87</v>
      </c>
      <c r="B27" s="344">
        <v>5.74</v>
      </c>
      <c r="C27" s="345">
        <v>133489.24390243905</v>
      </c>
      <c r="D27" s="344">
        <f>+'table5-6ws1'!F725</f>
        <v>3.95</v>
      </c>
      <c r="E27" s="345">
        <f>+'table5-6ws1'!G725/D27</f>
        <v>161734.61265822782</v>
      </c>
      <c r="F27" s="346">
        <f t="shared" si="3"/>
        <v>-1.79</v>
      </c>
      <c r="G27" s="347">
        <f t="shared" si="4"/>
        <v>28245.368755788775</v>
      </c>
      <c r="H27" s="348">
        <f t="shared" si="5"/>
        <v>-0.31184668989547037</v>
      </c>
      <c r="I27" s="349">
        <f t="shared" si="6"/>
        <v>0.21159284396300854</v>
      </c>
    </row>
    <row r="28" spans="1:9" ht="17.399999999999999" thickBot="1" x14ac:dyDescent="0.45">
      <c r="A28" s="359" t="s">
        <v>38</v>
      </c>
      <c r="B28" s="351">
        <f>SUM(B17:B27)</f>
        <v>79142.410000000018</v>
      </c>
      <c r="C28" s="352">
        <f>SUMPRODUCT(B17:B27,C17:C27)/SUM(B17:B27)</f>
        <v>97130.635457272481</v>
      </c>
      <c r="D28" s="351">
        <f>SUM(D17:D27)</f>
        <v>78192.669999999984</v>
      </c>
      <c r="E28" s="352">
        <f>SUMPRODUCT(D17:D27,E17:E27)/SUM(D17:D27)</f>
        <v>101989.10099795798</v>
      </c>
      <c r="F28" s="353">
        <f>+D28-B28</f>
        <v>-949.74000000003434</v>
      </c>
      <c r="G28" s="354">
        <f>+E28-C28</f>
        <v>4858.4655406855018</v>
      </c>
      <c r="H28" s="355">
        <f t="shared" si="5"/>
        <v>-1.2000392709800398E-2</v>
      </c>
      <c r="I28" s="356">
        <f t="shared" si="6"/>
        <v>5.0019908938233278E-2</v>
      </c>
    </row>
    <row r="29" spans="1:9" ht="17.399999999999999" thickBot="1" x14ac:dyDescent="0.45">
      <c r="B29" s="289"/>
      <c r="C29" s="357"/>
      <c r="D29" s="289"/>
      <c r="E29" s="357"/>
      <c r="F29" s="164"/>
      <c r="G29" s="357"/>
      <c r="H29" s="360"/>
      <c r="I29" s="360"/>
    </row>
    <row r="30" spans="1:9" s="329" customFormat="1" ht="19.2" x14ac:dyDescent="0.45">
      <c r="A30" s="389" t="s">
        <v>315</v>
      </c>
      <c r="B30" s="390" t="s">
        <v>494</v>
      </c>
      <c r="C30" s="391"/>
      <c r="D30" s="390" t="s">
        <v>1152</v>
      </c>
      <c r="E30" s="391"/>
      <c r="F30" s="392" t="s">
        <v>312</v>
      </c>
      <c r="G30" s="393"/>
      <c r="H30" s="394"/>
      <c r="I30" s="395"/>
    </row>
    <row r="31" spans="1:9" s="329" customFormat="1" ht="19.8" thickBot="1" x14ac:dyDescent="0.5">
      <c r="A31" s="396" t="s">
        <v>317</v>
      </c>
      <c r="B31" s="397" t="s">
        <v>6</v>
      </c>
      <c r="C31" s="398" t="s">
        <v>290</v>
      </c>
      <c r="D31" s="397" t="s">
        <v>6</v>
      </c>
      <c r="E31" s="398" t="s">
        <v>290</v>
      </c>
      <c r="F31" s="399" t="s">
        <v>6</v>
      </c>
      <c r="G31" s="400" t="s">
        <v>290</v>
      </c>
      <c r="H31" s="401" t="s">
        <v>78</v>
      </c>
      <c r="I31" s="402" t="s">
        <v>313</v>
      </c>
    </row>
    <row r="32" spans="1:9" x14ac:dyDescent="0.4">
      <c r="A32" s="343" t="str">
        <f t="shared" ref="A32:A42" si="7">A17</f>
        <v>Basic Education (01, 02, 03, 31, 34, 45, 97)</v>
      </c>
      <c r="B32" s="344">
        <v>4448.54</v>
      </c>
      <c r="C32" s="345">
        <v>167422.37760928305</v>
      </c>
      <c r="D32" s="344">
        <f>+'table5-6ws1'!H42+'table5-6ws1'!H73+'table5-6ws1'!H91+'table5-6ws1'!H267+'table5-6ws1'!H286+'table5-6ws1'!H320+'table5-6ws1'!H698</f>
        <v>4534.7800000000007</v>
      </c>
      <c r="E32" s="345">
        <f>(+'table5-6ws1'!I42+'table5-6ws1'!I73+'table5-6ws1'!I91+'table5-6ws1'!I267+'table5-6ws1'!I286+'table5-6ws1'!I320+'table5-6ws1'!I698)/D32</f>
        <v>171098.55633349353</v>
      </c>
      <c r="F32" s="346">
        <f t="shared" ref="F32:F42" si="8">+D32-B32</f>
        <v>86.240000000000691</v>
      </c>
      <c r="G32" s="347">
        <f t="shared" ref="G32:G42" si="9">+E32-C32</f>
        <v>3676.1787242104765</v>
      </c>
      <c r="H32" s="348">
        <f>IF(F32=0,0,F32/B32)</f>
        <v>1.9386135675974744E-2</v>
      </c>
      <c r="I32" s="349">
        <f>IF(G32=0,0,G32/C32)</f>
        <v>2.1957511156541144E-2</v>
      </c>
    </row>
    <row r="33" spans="1:9" x14ac:dyDescent="0.4">
      <c r="A33" s="343" t="str">
        <f t="shared" si="7"/>
        <v>Special Education, State (21, 22)</v>
      </c>
      <c r="B33" s="344">
        <v>298.46999999999997</v>
      </c>
      <c r="C33" s="345">
        <v>162871.56303816129</v>
      </c>
      <c r="D33" s="344">
        <f>+'table5-6ws1'!H178+'table5-6ws1'!H188</f>
        <v>298.02000000000004</v>
      </c>
      <c r="E33" s="345">
        <f>(+'table5-6ws1'!I178+'table5-6ws1'!I188)/D33</f>
        <v>166815.67820951613</v>
      </c>
      <c r="F33" s="346">
        <f t="shared" si="8"/>
        <v>-0.44999999999993179</v>
      </c>
      <c r="G33" s="347">
        <f t="shared" si="9"/>
        <v>3944.1151713548461</v>
      </c>
      <c r="H33" s="348">
        <f t="shared" ref="H33:H43" si="10">IF(F33=0,0,F33/B33)</f>
        <v>-1.5076892149962536E-3</v>
      </c>
      <c r="I33" s="349">
        <f t="shared" ref="I33:I43" si="11">IF(G33=0,0,G33/C33)</f>
        <v>2.4216106837697187E-2</v>
      </c>
    </row>
    <row r="34" spans="1:9" x14ac:dyDescent="0.4">
      <c r="A34" s="343" t="str">
        <f t="shared" si="7"/>
        <v>Special Education, Federal (24, 25, 29)</v>
      </c>
      <c r="B34" s="344">
        <v>21.259999999999998</v>
      </c>
      <c r="C34" s="345">
        <v>160245.5719661336</v>
      </c>
      <c r="D34" s="344">
        <f>+'table5-6ws1'!H216+'table5-6ws1'!H219+'table5-6ws1'!H244</f>
        <v>19.75</v>
      </c>
      <c r="E34" s="345">
        <f>(+'table5-6ws1'!I216+'table5-6ws1'!I219+'table5-6ws1'!I244)/D34</f>
        <v>170656.9594936709</v>
      </c>
      <c r="F34" s="346">
        <f t="shared" si="8"/>
        <v>-1.509999999999998</v>
      </c>
      <c r="G34" s="347">
        <f t="shared" si="9"/>
        <v>10411.387527537299</v>
      </c>
      <c r="H34" s="348">
        <f t="shared" si="10"/>
        <v>-7.1025399811853157E-2</v>
      </c>
      <c r="I34" s="349">
        <f t="shared" si="11"/>
        <v>6.4971452251658152E-2</v>
      </c>
    </row>
    <row r="35" spans="1:9" x14ac:dyDescent="0.4">
      <c r="A35" s="343" t="str">
        <f t="shared" si="7"/>
        <v>Institutions, State (26, 56, 59)</v>
      </c>
      <c r="B35" s="344">
        <v>4.4399999999999995</v>
      </c>
      <c r="C35" s="345">
        <v>175457.86936936938</v>
      </c>
      <c r="D35" s="344">
        <f>+'table5-6ws1'!H234+'table5-6ws1'!H436+'table5-6ws1'!H470</f>
        <v>4.7899999999999991</v>
      </c>
      <c r="E35" s="345">
        <f>(+'table5-6ws1'!I234+'table5-6ws1'!I436+'table5-6ws1'!I470)/D35</f>
        <v>174545.10020876827</v>
      </c>
      <c r="F35" s="346">
        <f t="shared" si="8"/>
        <v>0.34999999999999964</v>
      </c>
      <c r="G35" s="347">
        <f t="shared" si="9"/>
        <v>-912.76916060110671</v>
      </c>
      <c r="H35" s="348">
        <f t="shared" si="10"/>
        <v>7.8828828828828759E-2</v>
      </c>
      <c r="I35" s="349">
        <f t="shared" si="11"/>
        <v>-5.2022127242384811E-3</v>
      </c>
    </row>
    <row r="36" spans="1:9" x14ac:dyDescent="0.4">
      <c r="A36" s="343" t="str">
        <f t="shared" si="7"/>
        <v>Learning Assistance, State (55)</v>
      </c>
      <c r="B36" s="344">
        <v>66.399999999999991</v>
      </c>
      <c r="C36" s="345">
        <v>150598.74457831326</v>
      </c>
      <c r="D36" s="344">
        <f>+'table5-6ws1'!H419</f>
        <v>74.92</v>
      </c>
      <c r="E36" s="345">
        <f>+'table5-6ws1'!I419/D36</f>
        <v>152437.31139882543</v>
      </c>
      <c r="F36" s="346">
        <f t="shared" si="8"/>
        <v>8.5200000000000102</v>
      </c>
      <c r="G36" s="347">
        <f t="shared" si="9"/>
        <v>1838.5668205121765</v>
      </c>
      <c r="H36" s="348">
        <f t="shared" si="10"/>
        <v>0.12831325301204835</v>
      </c>
      <c r="I36" s="349">
        <f t="shared" si="11"/>
        <v>1.220838079135579E-2</v>
      </c>
    </row>
    <row r="37" spans="1:9" x14ac:dyDescent="0.4">
      <c r="A37" s="343" t="str">
        <f t="shared" si="7"/>
        <v>Disadvantaged, Federal (51)</v>
      </c>
      <c r="B37" s="344">
        <v>43.890000000000008</v>
      </c>
      <c r="C37" s="345">
        <v>156007.04329004325</v>
      </c>
      <c r="D37" s="344">
        <f>+'table5-6ws1'!H350</f>
        <v>42.63000000000001</v>
      </c>
      <c r="E37" s="345">
        <f>+'table5-6ws1'!I350/D37</f>
        <v>157215.35092657749</v>
      </c>
      <c r="F37" s="346">
        <f t="shared" si="8"/>
        <v>-1.259999999999998</v>
      </c>
      <c r="G37" s="347">
        <f t="shared" si="9"/>
        <v>1208.3076365342422</v>
      </c>
      <c r="H37" s="348">
        <f t="shared" si="10"/>
        <v>-2.8708133971291815E-2</v>
      </c>
      <c r="I37" s="349">
        <f t="shared" si="11"/>
        <v>7.7452120817891263E-3</v>
      </c>
    </row>
    <row r="38" spans="1:9" x14ac:dyDescent="0.4">
      <c r="A38" s="343" t="str">
        <f t="shared" si="7"/>
        <v>Transitional Bilingual, State (65)</v>
      </c>
      <c r="B38" s="344">
        <v>36.75</v>
      </c>
      <c r="C38" s="345">
        <v>166502.55346938776</v>
      </c>
      <c r="D38" s="344">
        <f>+'table5-6ws1'!H520</f>
        <v>34.39</v>
      </c>
      <c r="E38" s="345">
        <f>+'table5-6ws1'!I520/D38</f>
        <v>166060.33003780164</v>
      </c>
      <c r="F38" s="346">
        <f t="shared" si="8"/>
        <v>-2.3599999999999994</v>
      </c>
      <c r="G38" s="347">
        <f t="shared" si="9"/>
        <v>-442.22343158611329</v>
      </c>
      <c r="H38" s="348">
        <f t="shared" si="10"/>
        <v>-6.4217687074829916E-2</v>
      </c>
      <c r="I38" s="349">
        <f t="shared" si="11"/>
        <v>-2.6559558539588288E-3</v>
      </c>
    </row>
    <row r="39" spans="1:9" x14ac:dyDescent="0.4">
      <c r="A39" s="343" t="str">
        <f t="shared" si="7"/>
        <v>Highly Capable (74)</v>
      </c>
      <c r="B39" s="344">
        <v>9.8899999999999988</v>
      </c>
      <c r="C39" s="345">
        <v>175801.63700707789</v>
      </c>
      <c r="D39" s="344">
        <f>+'table5-6ws1'!H585</f>
        <v>7.51</v>
      </c>
      <c r="E39" s="345">
        <f>+'table5-6ws1'!I585/D39</f>
        <v>168630.21837549933</v>
      </c>
      <c r="F39" s="346">
        <f t="shared" si="8"/>
        <v>-2.379999999999999</v>
      </c>
      <c r="G39" s="347">
        <f t="shared" si="9"/>
        <v>-7171.4186315785628</v>
      </c>
      <c r="H39" s="348">
        <f t="shared" si="10"/>
        <v>-0.24064711830131438</v>
      </c>
      <c r="I39" s="349">
        <f t="shared" si="11"/>
        <v>-4.0792672660322479E-2</v>
      </c>
    </row>
    <row r="40" spans="1:9" x14ac:dyDescent="0.4">
      <c r="A40" s="343" t="str">
        <f t="shared" si="7"/>
        <v>Other, State and Federal</v>
      </c>
      <c r="B40" s="344">
        <v>213.64</v>
      </c>
      <c r="C40" s="345">
        <v>148789.97411533419</v>
      </c>
      <c r="D40" s="344">
        <f>+'table5-6ws1'!H786</f>
        <v>95</v>
      </c>
      <c r="E40" s="345">
        <f>+'table5-6ws1'!I787</f>
        <v>156466.6262105263</v>
      </c>
      <c r="F40" s="346">
        <f t="shared" si="8"/>
        <v>-118.63999999999999</v>
      </c>
      <c r="G40" s="347">
        <f t="shared" si="9"/>
        <v>7676.652095192112</v>
      </c>
      <c r="H40" s="348">
        <f t="shared" si="10"/>
        <v>-0.5553267178431005</v>
      </c>
      <c r="I40" s="349">
        <f t="shared" si="11"/>
        <v>5.1593880171264588E-2</v>
      </c>
    </row>
    <row r="41" spans="1:9" x14ac:dyDescent="0.4">
      <c r="A41" s="343" t="str">
        <f t="shared" si="7"/>
        <v>Food Services (98)</v>
      </c>
      <c r="B41" s="344">
        <v>1.6</v>
      </c>
      <c r="C41" s="345">
        <v>176807.99999999997</v>
      </c>
      <c r="D41" s="344">
        <f>+'table5-6ws1'!H709</f>
        <v>1.61</v>
      </c>
      <c r="E41" s="345">
        <f>+'table5-6ws1'!I709/D41</f>
        <v>177189</v>
      </c>
      <c r="F41" s="346">
        <f t="shared" si="8"/>
        <v>1.0000000000000009E-2</v>
      </c>
      <c r="G41" s="347">
        <f t="shared" si="9"/>
        <v>381.0000000000291</v>
      </c>
      <c r="H41" s="348">
        <f t="shared" si="10"/>
        <v>6.2500000000000056E-3</v>
      </c>
      <c r="I41" s="349">
        <f t="shared" si="11"/>
        <v>2.1548798696893194E-3</v>
      </c>
    </row>
    <row r="42" spans="1:9" x14ac:dyDescent="0.4">
      <c r="A42" s="343" t="str">
        <f t="shared" si="7"/>
        <v>Pupil Transportation (99)</v>
      </c>
      <c r="B42" s="344">
        <v>5.74</v>
      </c>
      <c r="C42" s="345">
        <v>133489.24390243905</v>
      </c>
      <c r="D42" s="344">
        <f>+'table5-6ws1'!H725</f>
        <v>3.93</v>
      </c>
      <c r="E42" s="345">
        <f>+'table5-6ws1'!I725/D42</f>
        <v>162054.38167938931</v>
      </c>
      <c r="F42" s="346">
        <f t="shared" si="8"/>
        <v>-1.81</v>
      </c>
      <c r="G42" s="347">
        <f t="shared" si="9"/>
        <v>28565.137776950258</v>
      </c>
      <c r="H42" s="348">
        <f t="shared" si="10"/>
        <v>-0.31533101045296169</v>
      </c>
      <c r="I42" s="349">
        <f t="shared" si="11"/>
        <v>0.21398831053254869</v>
      </c>
    </row>
    <row r="43" spans="1:9" ht="17.399999999999999" thickBot="1" x14ac:dyDescent="0.45">
      <c r="A43" s="359" t="s">
        <v>38</v>
      </c>
      <c r="B43" s="351">
        <f>SUM(B32:B42)</f>
        <v>5150.6200000000008</v>
      </c>
      <c r="C43" s="352">
        <f>SUMPRODUCT(B32:B42,C32:C42)/SUM(B32:B42)</f>
        <v>166023.59266263092</v>
      </c>
      <c r="D43" s="351">
        <f>SUM(D32:D42)</f>
        <v>5117.3300000000017</v>
      </c>
      <c r="E43" s="352">
        <f>SUMPRODUCT(D32:D42,E32:E42)/SUM(D32:D42)</f>
        <v>170147.64821889531</v>
      </c>
      <c r="F43" s="353">
        <f>+D43-B43</f>
        <v>-33.289999999999054</v>
      </c>
      <c r="G43" s="354">
        <f>+E43-C43</f>
        <v>4124.0555562643858</v>
      </c>
      <c r="H43" s="355">
        <f t="shared" si="10"/>
        <v>-6.4632995639358074E-3</v>
      </c>
      <c r="I43" s="356">
        <f t="shared" si="11"/>
        <v>2.4840177773075262E-2</v>
      </c>
    </row>
    <row r="44" spans="1:9" ht="17.399999999999999" thickBot="1" x14ac:dyDescent="0.45">
      <c r="B44" s="164"/>
      <c r="C44" s="357"/>
      <c r="D44" s="190"/>
      <c r="E44" s="357"/>
      <c r="F44" s="164"/>
      <c r="G44" s="357"/>
      <c r="H44" s="360"/>
      <c r="I44" s="360"/>
    </row>
    <row r="45" spans="1:9" s="329" customFormat="1" ht="19.2" x14ac:dyDescent="0.45">
      <c r="A45" s="389" t="s">
        <v>314</v>
      </c>
      <c r="B45" s="390" t="s">
        <v>494</v>
      </c>
      <c r="C45" s="391"/>
      <c r="D45" s="390" t="s">
        <v>1152</v>
      </c>
      <c r="E45" s="391"/>
      <c r="F45" s="392" t="s">
        <v>312</v>
      </c>
      <c r="G45" s="393"/>
      <c r="H45" s="394"/>
      <c r="I45" s="395"/>
    </row>
    <row r="46" spans="1:9" s="329" customFormat="1" ht="19.8" thickBot="1" x14ac:dyDescent="0.5">
      <c r="A46" s="396" t="s">
        <v>317</v>
      </c>
      <c r="B46" s="397" t="s">
        <v>6</v>
      </c>
      <c r="C46" s="398" t="s">
        <v>290</v>
      </c>
      <c r="D46" s="397" t="s">
        <v>6</v>
      </c>
      <c r="E46" s="398" t="s">
        <v>290</v>
      </c>
      <c r="F46" s="399" t="s">
        <v>6</v>
      </c>
      <c r="G46" s="400" t="s">
        <v>290</v>
      </c>
      <c r="H46" s="401" t="s">
        <v>78</v>
      </c>
      <c r="I46" s="402" t="s">
        <v>313</v>
      </c>
    </row>
    <row r="47" spans="1:9" x14ac:dyDescent="0.4">
      <c r="A47" s="343" t="str">
        <f t="shared" ref="A47:A57" si="12">A17</f>
        <v>Basic Education (01, 02, 03, 31, 34, 45, 97)</v>
      </c>
      <c r="B47" s="344">
        <v>55462.989999999983</v>
      </c>
      <c r="C47" s="345">
        <v>92556.627641784216</v>
      </c>
      <c r="D47" s="344">
        <f>+'table5-6ws1'!J42+'table5-6ws1'!J73+'table5-6ws1'!J91+'table5-6ws1'!J267+'table5-6ws1'!J286+'table5-6ws1'!J320+'table5-6ws1'!J698</f>
        <v>54968.41</v>
      </c>
      <c r="E47" s="345">
        <f>(+'table5-6ws1'!K42+'table5-6ws1'!K73+'table5-6ws1'!K91+'table5-6ws1'!K267+'table5-6ws1'!K286+'table5-6ws1'!K320+'table5-6ws1'!K698)/D47</f>
        <v>97373.406828576612</v>
      </c>
      <c r="F47" s="346">
        <f t="shared" ref="F47:F55" si="13">+D47-B47</f>
        <v>-494.57999999997992</v>
      </c>
      <c r="G47" s="347">
        <f t="shared" ref="G47:G55" si="14">+E47-C47</f>
        <v>4816.7791867923952</v>
      </c>
      <c r="H47" s="348">
        <f t="shared" ref="H47:I58" si="15">IF(F47=0,0,F47/B47)</f>
        <v>-8.9172978232868461E-3</v>
      </c>
      <c r="I47" s="349">
        <f t="shared" si="15"/>
        <v>5.2041429225732558E-2</v>
      </c>
    </row>
    <row r="48" spans="1:9" x14ac:dyDescent="0.4">
      <c r="A48" s="343" t="str">
        <f t="shared" si="12"/>
        <v>Special Education, State (21, 22)</v>
      </c>
      <c r="B48" s="344">
        <v>10511.620000000003</v>
      </c>
      <c r="C48" s="345">
        <v>89759.062371927415</v>
      </c>
      <c r="D48" s="344">
        <f>+'table5-6ws1'!J178+'table5-6ws1'!J188</f>
        <v>10784.759999999998</v>
      </c>
      <c r="E48" s="345">
        <f>(+'table5-6ws1'!K178+'table5-6ws1'!K188)/D48</f>
        <v>94285.062083903598</v>
      </c>
      <c r="F48" s="346">
        <f t="shared" si="13"/>
        <v>273.13999999999578</v>
      </c>
      <c r="G48" s="347">
        <f t="shared" si="14"/>
        <v>4525.9997119761829</v>
      </c>
      <c r="H48" s="348">
        <f t="shared" si="15"/>
        <v>2.5984577068044291E-2</v>
      </c>
      <c r="I48" s="349">
        <f t="shared" si="15"/>
        <v>5.0423874674873068E-2</v>
      </c>
    </row>
    <row r="49" spans="1:9" x14ac:dyDescent="0.4">
      <c r="A49" s="343" t="str">
        <f t="shared" si="12"/>
        <v>Special Education, Federal (24, 25, 29)</v>
      </c>
      <c r="B49" s="344">
        <v>1052.26</v>
      </c>
      <c r="C49" s="345">
        <v>93259.72817554597</v>
      </c>
      <c r="D49" s="344">
        <f>+'table5-6ws1'!J216+'table5-6ws1'!J244</f>
        <v>1074.43</v>
      </c>
      <c r="E49" s="345">
        <f>(+'table5-6ws1'!K216+'table5-6ws1'!K244)/D49</f>
        <v>96808.467494392389</v>
      </c>
      <c r="F49" s="346">
        <f t="shared" si="13"/>
        <v>22.170000000000073</v>
      </c>
      <c r="G49" s="347">
        <f t="shared" si="14"/>
        <v>3548.7393188464193</v>
      </c>
      <c r="H49" s="348">
        <f t="shared" si="15"/>
        <v>2.1068937334879283E-2</v>
      </c>
      <c r="I49" s="349">
        <f t="shared" si="15"/>
        <v>3.8052215980798339E-2</v>
      </c>
    </row>
    <row r="50" spans="1:9" x14ac:dyDescent="0.4">
      <c r="A50" s="343" t="str">
        <f t="shared" si="12"/>
        <v>Institutions, State (26, 56, 59)</v>
      </c>
      <c r="B50" s="344">
        <v>58.650000000000006</v>
      </c>
      <c r="C50" s="345">
        <v>93000.261551577147</v>
      </c>
      <c r="D50" s="344">
        <f>+'table5-6ws1'!J234+'table5-6ws1'!J436+'table5-6ws1'!J470</f>
        <v>66.389999999999986</v>
      </c>
      <c r="E50" s="345">
        <f>(+'table5-6ws1'!K234+'table5-6ws1'!K436+'table5-6ws1'!K470)/D50</f>
        <v>97315.776321735219</v>
      </c>
      <c r="F50" s="346">
        <f t="shared" si="13"/>
        <v>7.7399999999999807</v>
      </c>
      <c r="G50" s="347">
        <f t="shared" si="14"/>
        <v>4315.5147701580718</v>
      </c>
      <c r="H50" s="348">
        <f t="shared" si="15"/>
        <v>0.13196930946291527</v>
      </c>
      <c r="I50" s="349">
        <f t="shared" si="15"/>
        <v>4.6403254121653456E-2</v>
      </c>
    </row>
    <row r="51" spans="1:9" x14ac:dyDescent="0.4">
      <c r="A51" s="343" t="str">
        <f t="shared" si="12"/>
        <v>Learning Assistance, State (55)</v>
      </c>
      <c r="B51" s="344">
        <v>2025.53</v>
      </c>
      <c r="C51" s="345">
        <v>97511.419016257481</v>
      </c>
      <c r="D51" s="344">
        <f>+'table5-6ws1'!J419</f>
        <v>2020.64</v>
      </c>
      <c r="E51" s="345">
        <f>+'table5-6ws1'!K419/D51</f>
        <v>102202.44166204764</v>
      </c>
      <c r="F51" s="346">
        <f t="shared" si="13"/>
        <v>-4.8899999999998727</v>
      </c>
      <c r="G51" s="347">
        <f t="shared" si="14"/>
        <v>4691.022645790159</v>
      </c>
      <c r="H51" s="348">
        <f t="shared" si="15"/>
        <v>-2.414182954584663E-3</v>
      </c>
      <c r="I51" s="349">
        <f t="shared" si="15"/>
        <v>4.8107418527137354E-2</v>
      </c>
    </row>
    <row r="52" spans="1:9" x14ac:dyDescent="0.4">
      <c r="A52" s="343" t="str">
        <f t="shared" si="12"/>
        <v>Disadvantaged, Federal (51)</v>
      </c>
      <c r="B52" s="344">
        <v>1099.9100000000001</v>
      </c>
      <c r="C52" s="345">
        <v>95884.452664308876</v>
      </c>
      <c r="D52" s="344">
        <f>+'table5-6ws1'!J350</f>
        <v>1121.8700000000001</v>
      </c>
      <c r="E52" s="345">
        <f>+'table5-6ws1'!K350/D52</f>
        <v>101647.09670460926</v>
      </c>
      <c r="F52" s="346">
        <f t="shared" si="13"/>
        <v>21.960000000000036</v>
      </c>
      <c r="G52" s="347">
        <f t="shared" si="14"/>
        <v>5762.6440403003799</v>
      </c>
      <c r="H52" s="348">
        <f t="shared" si="15"/>
        <v>1.9965269885717955E-2</v>
      </c>
      <c r="I52" s="349">
        <f t="shared" si="15"/>
        <v>6.0099879387906355E-2</v>
      </c>
    </row>
    <row r="53" spans="1:9" x14ac:dyDescent="0.4">
      <c r="A53" s="343" t="str">
        <f t="shared" si="12"/>
        <v>Transitional Bilingual, State (65)</v>
      </c>
      <c r="B53" s="344">
        <v>1250.23</v>
      </c>
      <c r="C53" s="345">
        <v>94331.130439999033</v>
      </c>
      <c r="D53" s="344">
        <f>+'table5-6ws1'!J520</f>
        <v>1277.68</v>
      </c>
      <c r="E53" s="345">
        <f>+'table5-6ws1'!K520/D53</f>
        <v>98829.671279193528</v>
      </c>
      <c r="F53" s="346">
        <f>+D53-B53</f>
        <v>27.450000000000045</v>
      </c>
      <c r="G53" s="347">
        <f>+E53-C53</f>
        <v>4498.5408391944948</v>
      </c>
      <c r="H53" s="348">
        <f>IF(F53=0,0,F53/B53)</f>
        <v>2.195596010334102E-2</v>
      </c>
      <c r="I53" s="349">
        <f>IF(G53=0,0,G53/C53)</f>
        <v>4.7688825716510098E-2</v>
      </c>
    </row>
    <row r="54" spans="1:9" x14ac:dyDescent="0.4">
      <c r="A54" s="343" t="str">
        <f t="shared" si="12"/>
        <v>Highly Capable (74)</v>
      </c>
      <c r="B54" s="344">
        <v>222.88999999999996</v>
      </c>
      <c r="C54" s="345">
        <v>98845.69662165195</v>
      </c>
      <c r="D54" s="344">
        <f>+'table5-6ws1'!J585</f>
        <v>213.37999999999997</v>
      </c>
      <c r="E54" s="345">
        <f>+'table5-6ws1'!K585/D54</f>
        <v>104388.66988471271</v>
      </c>
      <c r="F54" s="346">
        <f t="shared" si="13"/>
        <v>-9.5099999999999909</v>
      </c>
      <c r="G54" s="347">
        <f t="shared" si="14"/>
        <v>5542.9732630607614</v>
      </c>
      <c r="H54" s="348">
        <f t="shared" si="15"/>
        <v>-4.2666786307146994E-2</v>
      </c>
      <c r="I54" s="349">
        <f t="shared" si="15"/>
        <v>5.607703170202135E-2</v>
      </c>
    </row>
    <row r="55" spans="1:9" x14ac:dyDescent="0.4">
      <c r="A55" s="343" t="str">
        <f t="shared" si="12"/>
        <v>Other, State and Federal</v>
      </c>
      <c r="B55" s="344">
        <v>1954.5600000000004</v>
      </c>
      <c r="C55" s="345">
        <v>90860.025611902412</v>
      </c>
      <c r="D55" s="344">
        <f>+'table5-6ws1'!J786</f>
        <v>1209.6599999999999</v>
      </c>
      <c r="E55" s="345">
        <f>+'table5-6ws1'!K787</f>
        <v>94254.627250632417</v>
      </c>
      <c r="F55" s="346">
        <f t="shared" si="13"/>
        <v>-744.90000000000055</v>
      </c>
      <c r="G55" s="347">
        <f t="shared" si="14"/>
        <v>3394.6016387300042</v>
      </c>
      <c r="H55" s="348">
        <f t="shared" si="15"/>
        <v>-0.38110879174852674</v>
      </c>
      <c r="I55" s="349">
        <f t="shared" si="15"/>
        <v>3.7360782322796535E-2</v>
      </c>
    </row>
    <row r="56" spans="1:9" x14ac:dyDescent="0.4">
      <c r="A56" s="343" t="str">
        <f t="shared" si="12"/>
        <v>Food Services (98)</v>
      </c>
      <c r="B56" s="344">
        <v>0</v>
      </c>
      <c r="C56" s="345">
        <v>0</v>
      </c>
      <c r="D56" s="344">
        <f>+'table5-6ws1'!J709</f>
        <v>0</v>
      </c>
      <c r="E56" s="345">
        <f>+'table5-6ws1'!K709</f>
        <v>0</v>
      </c>
      <c r="F56" s="346">
        <f t="shared" ref="F56:G58" si="16">+D56-B56</f>
        <v>0</v>
      </c>
      <c r="G56" s="347">
        <f t="shared" si="16"/>
        <v>0</v>
      </c>
      <c r="H56" s="348">
        <f t="shared" si="15"/>
        <v>0</v>
      </c>
      <c r="I56" s="349">
        <f t="shared" si="15"/>
        <v>0</v>
      </c>
    </row>
    <row r="57" spans="1:9" x14ac:dyDescent="0.4">
      <c r="A57" s="343" t="str">
        <f t="shared" si="12"/>
        <v>Pupil Transportation (99)</v>
      </c>
      <c r="B57" s="344">
        <v>0</v>
      </c>
      <c r="C57" s="345">
        <v>0</v>
      </c>
      <c r="D57" s="344">
        <f>+'table5-6ws1'!J725</f>
        <v>0.02</v>
      </c>
      <c r="E57" s="345">
        <f>+'table5-6ws1'!K725</f>
        <v>1978</v>
      </c>
      <c r="F57" s="346">
        <f t="shared" si="16"/>
        <v>0.02</v>
      </c>
      <c r="G57" s="347">
        <f t="shared" si="16"/>
        <v>1978</v>
      </c>
      <c r="H57" s="348">
        <v>0</v>
      </c>
      <c r="I57" s="349">
        <v>0</v>
      </c>
    </row>
    <row r="58" spans="1:9" ht="17.399999999999999" thickBot="1" x14ac:dyDescent="0.45">
      <c r="A58" s="359" t="s">
        <v>38</v>
      </c>
      <c r="B58" s="351">
        <f>SUM(B47:B57)</f>
        <v>73638.63999999997</v>
      </c>
      <c r="C58" s="352">
        <f>SUMPRODUCT(B47:B57,C47:C57)/SUM(B47:B57)</f>
        <v>92357.812237298276</v>
      </c>
      <c r="D58" s="351">
        <f>SUM(D47:D57)</f>
        <v>72737.239999999991</v>
      </c>
      <c r="E58" s="352">
        <f>SUMPRODUCT(D47:D57,E47:E57)/SUM(D47:D57)</f>
        <v>97101.43308668297</v>
      </c>
      <c r="F58" s="353">
        <f t="shared" si="16"/>
        <v>-901.39999999997963</v>
      </c>
      <c r="G58" s="354">
        <f t="shared" si="16"/>
        <v>4743.6208493846934</v>
      </c>
      <c r="H58" s="355">
        <f>IF(F58=0,0,F58/B58)</f>
        <v>-1.2240856159211794E-2</v>
      </c>
      <c r="I58" s="356">
        <f t="shared" si="15"/>
        <v>5.1361338412788907E-2</v>
      </c>
    </row>
    <row r="59" spans="1:9" x14ac:dyDescent="0.4">
      <c r="B59" s="164"/>
      <c r="C59" s="357"/>
      <c r="D59" s="190"/>
      <c r="E59" s="357"/>
      <c r="F59" s="164"/>
      <c r="G59" s="357"/>
      <c r="H59" s="360"/>
      <c r="I59" s="360"/>
    </row>
    <row r="60" spans="1:9" x14ac:dyDescent="0.4">
      <c r="A60" s="88" t="s">
        <v>1153</v>
      </c>
      <c r="B60" s="164"/>
      <c r="C60" s="357"/>
      <c r="D60" s="164"/>
      <c r="E60" s="357"/>
      <c r="F60" s="164"/>
      <c r="G60" s="357"/>
      <c r="H60" s="360"/>
      <c r="I60" s="360"/>
    </row>
    <row r="61" spans="1:9" x14ac:dyDescent="0.4">
      <c r="A61" s="88" t="s">
        <v>476</v>
      </c>
      <c r="B61" s="164"/>
      <c r="C61" s="357"/>
      <c r="D61" s="164"/>
      <c r="E61" s="357"/>
      <c r="F61" s="164"/>
      <c r="G61" s="357"/>
      <c r="H61" s="360"/>
      <c r="I61" s="360"/>
    </row>
    <row r="62" spans="1:9" x14ac:dyDescent="0.4">
      <c r="A62" s="88" t="s">
        <v>475</v>
      </c>
      <c r="B62" s="164"/>
      <c r="C62" s="357"/>
      <c r="D62" s="164"/>
      <c r="E62" s="357"/>
      <c r="F62" s="164"/>
      <c r="G62" s="357"/>
      <c r="H62" s="360"/>
      <c r="I62" s="360"/>
    </row>
    <row r="63" spans="1:9" ht="17.399999999999999" thickBot="1" x14ac:dyDescent="0.45">
      <c r="B63" s="164"/>
      <c r="C63" s="357"/>
      <c r="D63" s="164"/>
      <c r="E63" s="357"/>
      <c r="F63" s="164"/>
      <c r="G63" s="357"/>
      <c r="H63" s="360"/>
      <c r="I63" s="360"/>
    </row>
    <row r="64" spans="1:9" s="382" customFormat="1" ht="20.399999999999999" x14ac:dyDescent="0.45">
      <c r="A64" s="801" t="s">
        <v>311</v>
      </c>
      <c r="B64" s="802"/>
      <c r="C64" s="802"/>
      <c r="D64" s="802"/>
      <c r="E64" s="802"/>
      <c r="F64" s="802"/>
      <c r="G64" s="802"/>
      <c r="H64" s="802"/>
      <c r="I64" s="803"/>
    </row>
    <row r="65" spans="1:9" s="382" customFormat="1" ht="21" thickBot="1" x14ac:dyDescent="0.5">
      <c r="A65" s="798" t="s">
        <v>1158</v>
      </c>
      <c r="B65" s="799"/>
      <c r="C65" s="799"/>
      <c r="D65" s="799"/>
      <c r="E65" s="799"/>
      <c r="F65" s="799"/>
      <c r="G65" s="799"/>
      <c r="H65" s="799"/>
      <c r="I65" s="804"/>
    </row>
    <row r="66" spans="1:9" ht="17.399999999999999" thickBot="1" x14ac:dyDescent="0.45">
      <c r="B66" s="164"/>
      <c r="C66" s="357"/>
      <c r="D66" s="164"/>
      <c r="E66" s="357"/>
      <c r="F66" s="164"/>
      <c r="G66" s="357"/>
      <c r="H66" s="360"/>
      <c r="I66" s="360"/>
    </row>
    <row r="67" spans="1:9" s="329" customFormat="1" ht="19.2" x14ac:dyDescent="0.45">
      <c r="A67" s="389" t="s">
        <v>109</v>
      </c>
      <c r="B67" s="390" t="s">
        <v>494</v>
      </c>
      <c r="C67" s="391"/>
      <c r="D67" s="390" t="s">
        <v>1152</v>
      </c>
      <c r="E67" s="391"/>
      <c r="F67" s="392" t="s">
        <v>312</v>
      </c>
      <c r="G67" s="393"/>
      <c r="H67" s="394"/>
      <c r="I67" s="395"/>
    </row>
    <row r="68" spans="1:9" s="329" customFormat="1" ht="19.8" thickBot="1" x14ac:dyDescent="0.5">
      <c r="A68" s="396" t="s">
        <v>316</v>
      </c>
      <c r="B68" s="397" t="s">
        <v>6</v>
      </c>
      <c r="C68" s="398" t="s">
        <v>290</v>
      </c>
      <c r="D68" s="397" t="s">
        <v>6</v>
      </c>
      <c r="E68" s="398" t="s">
        <v>290</v>
      </c>
      <c r="F68" s="399" t="s">
        <v>6</v>
      </c>
      <c r="G68" s="400" t="s">
        <v>290</v>
      </c>
      <c r="H68" s="401" t="s">
        <v>78</v>
      </c>
      <c r="I68" s="402" t="s">
        <v>313</v>
      </c>
    </row>
    <row r="69" spans="1:9" x14ac:dyDescent="0.4">
      <c r="A69" s="343" t="s">
        <v>88</v>
      </c>
      <c r="B69" s="344">
        <v>1941.66</v>
      </c>
      <c r="C69" s="345">
        <v>130883</v>
      </c>
      <c r="D69" s="344">
        <f>table3ws1!$D$46</f>
        <v>1955.26</v>
      </c>
      <c r="E69" s="345">
        <f>table3ws1!$E$46</f>
        <v>136141</v>
      </c>
      <c r="F69" s="346">
        <f t="shared" ref="F69:F78" si="17">+D69-B69</f>
        <v>13.599999999999909</v>
      </c>
      <c r="G69" s="347">
        <f t="shared" ref="G69:G78" si="18">+E69-C69</f>
        <v>5258</v>
      </c>
      <c r="H69" s="348">
        <f t="shared" ref="H69:H78" si="19">IF(F69=0,0,F69/B69)</f>
        <v>7.0043158946468016E-3</v>
      </c>
      <c r="I69" s="349">
        <f t="shared" ref="I69:I78" si="20">IF(G69=0,0,G69/C69)</f>
        <v>4.0173284536570833E-2</v>
      </c>
    </row>
    <row r="70" spans="1:9" x14ac:dyDescent="0.4">
      <c r="A70" s="343" t="s">
        <v>89</v>
      </c>
      <c r="B70" s="344">
        <v>17031.57</v>
      </c>
      <c r="C70" s="345">
        <v>55200</v>
      </c>
      <c r="D70" s="344">
        <f>table3ws1!D38</f>
        <v>17654.900000000001</v>
      </c>
      <c r="E70" s="345">
        <f>table3ws1!E38</f>
        <v>58515</v>
      </c>
      <c r="F70" s="346">
        <f t="shared" si="17"/>
        <v>623.33000000000175</v>
      </c>
      <c r="G70" s="347">
        <f t="shared" si="18"/>
        <v>3315</v>
      </c>
      <c r="H70" s="348">
        <f t="shared" si="19"/>
        <v>3.6598505011575667E-2</v>
      </c>
      <c r="I70" s="349">
        <f t="shared" si="20"/>
        <v>6.0054347826086957E-2</v>
      </c>
    </row>
    <row r="71" spans="1:9" x14ac:dyDescent="0.4">
      <c r="A71" s="343" t="s">
        <v>90</v>
      </c>
      <c r="B71" s="344">
        <v>1594.23</v>
      </c>
      <c r="C71" s="345">
        <v>80466</v>
      </c>
      <c r="D71" s="344">
        <f>table3ws1!D39</f>
        <v>1578.1</v>
      </c>
      <c r="E71" s="345">
        <f>table3ws1!E39</f>
        <v>84826</v>
      </c>
      <c r="F71" s="346">
        <f t="shared" si="17"/>
        <v>-16.130000000000109</v>
      </c>
      <c r="G71" s="347">
        <f t="shared" si="18"/>
        <v>4360</v>
      </c>
      <c r="H71" s="348">
        <f t="shared" si="19"/>
        <v>-1.011773708937864E-2</v>
      </c>
      <c r="I71" s="349">
        <f t="shared" si="20"/>
        <v>5.4184376009743247E-2</v>
      </c>
    </row>
    <row r="72" spans="1:9" x14ac:dyDescent="0.4">
      <c r="A72" s="343" t="s">
        <v>91</v>
      </c>
      <c r="B72" s="344">
        <v>238.97</v>
      </c>
      <c r="C72" s="345">
        <v>69707</v>
      </c>
      <c r="D72" s="344">
        <f>table3ws1!D40</f>
        <v>218</v>
      </c>
      <c r="E72" s="345">
        <f>table3ws1!E40</f>
        <v>73573</v>
      </c>
      <c r="F72" s="346">
        <f t="shared" si="17"/>
        <v>-20.97</v>
      </c>
      <c r="G72" s="347">
        <f t="shared" si="18"/>
        <v>3866</v>
      </c>
      <c r="H72" s="348">
        <f t="shared" si="19"/>
        <v>-8.7751600619324591E-2</v>
      </c>
      <c r="I72" s="349">
        <f t="shared" si="20"/>
        <v>5.5460714132009696E-2</v>
      </c>
    </row>
    <row r="73" spans="1:9" x14ac:dyDescent="0.4">
      <c r="A73" s="343" t="s">
        <v>92</v>
      </c>
      <c r="B73" s="344">
        <v>8121.64</v>
      </c>
      <c r="C73" s="345">
        <v>66517</v>
      </c>
      <c r="D73" s="344">
        <f>table3ws1!D41</f>
        <v>8006.98</v>
      </c>
      <c r="E73" s="345">
        <f>table3ws1!E41</f>
        <v>70464</v>
      </c>
      <c r="F73" s="346">
        <f t="shared" si="17"/>
        <v>-114.66000000000076</v>
      </c>
      <c r="G73" s="347">
        <f t="shared" si="18"/>
        <v>3947</v>
      </c>
      <c r="H73" s="348">
        <f t="shared" si="19"/>
        <v>-1.4117838269118154E-2</v>
      </c>
      <c r="I73" s="349">
        <f t="shared" si="20"/>
        <v>5.9338214291083484E-2</v>
      </c>
    </row>
    <row r="74" spans="1:9" x14ac:dyDescent="0.4">
      <c r="A74" s="343" t="s">
        <v>93</v>
      </c>
      <c r="B74" s="344">
        <v>3283.43</v>
      </c>
      <c r="C74" s="345">
        <v>63812</v>
      </c>
      <c r="D74" s="344">
        <f>table3ws1!D42</f>
        <v>3303.27</v>
      </c>
      <c r="E74" s="345">
        <f>table3ws1!E42</f>
        <v>66869</v>
      </c>
      <c r="F74" s="346">
        <f t="shared" si="17"/>
        <v>19.840000000000146</v>
      </c>
      <c r="G74" s="347">
        <f t="shared" si="18"/>
        <v>3057</v>
      </c>
      <c r="H74" s="348">
        <f t="shared" si="19"/>
        <v>6.0424616940212362E-3</v>
      </c>
      <c r="I74" s="349">
        <f t="shared" si="20"/>
        <v>4.7906349902839589E-2</v>
      </c>
    </row>
    <row r="75" spans="1:9" x14ac:dyDescent="0.4">
      <c r="A75" s="343" t="s">
        <v>94</v>
      </c>
      <c r="B75" s="344">
        <v>2841.82</v>
      </c>
      <c r="C75" s="345">
        <v>88903</v>
      </c>
      <c r="D75" s="344">
        <f>table3ws1!D43</f>
        <v>2902.86</v>
      </c>
      <c r="E75" s="345">
        <f>table3ws1!E43</f>
        <v>91265</v>
      </c>
      <c r="F75" s="346">
        <f t="shared" si="17"/>
        <v>61.039999999999964</v>
      </c>
      <c r="G75" s="347">
        <f t="shared" si="18"/>
        <v>2362</v>
      </c>
      <c r="H75" s="348">
        <f t="shared" si="19"/>
        <v>2.1479192911584816E-2</v>
      </c>
      <c r="I75" s="349">
        <f t="shared" si="20"/>
        <v>2.6568282285187227E-2</v>
      </c>
    </row>
    <row r="76" spans="1:9" x14ac:dyDescent="0.4">
      <c r="A76" s="343" t="s">
        <v>95</v>
      </c>
      <c r="B76" s="344">
        <v>9290.4699999999993</v>
      </c>
      <c r="C76" s="345">
        <v>56788</v>
      </c>
      <c r="D76" s="344">
        <f>table3ws1!D44</f>
        <v>9157.5300000000007</v>
      </c>
      <c r="E76" s="345">
        <f>table3ws1!E44</f>
        <v>59599</v>
      </c>
      <c r="F76" s="346">
        <f t="shared" si="17"/>
        <v>-132.93999999999869</v>
      </c>
      <c r="G76" s="347">
        <f t="shared" si="18"/>
        <v>2811</v>
      </c>
      <c r="H76" s="348">
        <f t="shared" si="19"/>
        <v>-1.4309286828330397E-2</v>
      </c>
      <c r="I76" s="349">
        <f t="shared" si="20"/>
        <v>4.9499894343875465E-2</v>
      </c>
    </row>
    <row r="77" spans="1:9" x14ac:dyDescent="0.4">
      <c r="A77" s="343" t="s">
        <v>96</v>
      </c>
      <c r="B77" s="344">
        <v>1849.85</v>
      </c>
      <c r="C77" s="345">
        <v>87673</v>
      </c>
      <c r="D77" s="344">
        <f>table3ws1!D45</f>
        <v>1844.35</v>
      </c>
      <c r="E77" s="345">
        <f>table3ws1!E45</f>
        <v>92397</v>
      </c>
      <c r="F77" s="346">
        <f t="shared" si="17"/>
        <v>-5.5</v>
      </c>
      <c r="G77" s="347">
        <f t="shared" si="18"/>
        <v>4724</v>
      </c>
      <c r="H77" s="348">
        <f t="shared" si="19"/>
        <v>-2.9732140443819769E-3</v>
      </c>
      <c r="I77" s="349">
        <f t="shared" si="20"/>
        <v>5.3882038940152616E-2</v>
      </c>
    </row>
    <row r="78" spans="1:9" x14ac:dyDescent="0.4">
      <c r="A78" s="343" t="s">
        <v>97</v>
      </c>
      <c r="B78" s="344">
        <v>7.53</v>
      </c>
      <c r="C78" s="345">
        <v>86156</v>
      </c>
      <c r="D78" s="344">
        <f>table3ws1!$D$37</f>
        <v>5.95</v>
      </c>
      <c r="E78" s="345">
        <f>table3ws1!$E$37</f>
        <v>77413</v>
      </c>
      <c r="F78" s="346">
        <f t="shared" si="17"/>
        <v>-1.58</v>
      </c>
      <c r="G78" s="347">
        <f t="shared" si="18"/>
        <v>-8743</v>
      </c>
      <c r="H78" s="348">
        <f t="shared" si="19"/>
        <v>-0.20982735723771581</v>
      </c>
      <c r="I78" s="349">
        <f t="shared" si="20"/>
        <v>-0.10147871303217419</v>
      </c>
    </row>
    <row r="79" spans="1:9" ht="17.399999999999999" thickBot="1" x14ac:dyDescent="0.45">
      <c r="A79" s="359" t="s">
        <v>38</v>
      </c>
      <c r="B79" s="351">
        <f>SUM(B69:B78)</f>
        <v>46201.17</v>
      </c>
      <c r="C79" s="352">
        <f>SUMPRODUCT(B69:B78,C69:C78)/SUM(B69:B78)</f>
        <v>65626.599788273772</v>
      </c>
      <c r="D79" s="351">
        <f>SUM(D69:D78)</f>
        <v>46627.19999999999</v>
      </c>
      <c r="E79" s="352">
        <f>SUMPRODUCT(D69:D78,E69:E78)/SUM(D69:D78)</f>
        <v>68969.243548400947</v>
      </c>
      <c r="F79" s="353">
        <f>+D79-B79</f>
        <v>426.02999999999156</v>
      </c>
      <c r="G79" s="354">
        <f>+E79-C79</f>
        <v>3342.6437601271755</v>
      </c>
      <c r="H79" s="355">
        <f>+F79/B79</f>
        <v>9.2211950476577022E-3</v>
      </c>
      <c r="I79" s="356">
        <f>+G79/C79</f>
        <v>5.0934282301860812E-2</v>
      </c>
    </row>
    <row r="80" spans="1:9" ht="17.399999999999999" thickBot="1" x14ac:dyDescent="0.45">
      <c r="B80" s="164"/>
      <c r="C80" s="357"/>
      <c r="D80" s="190"/>
      <c r="E80" s="164"/>
      <c r="F80" s="164"/>
      <c r="G80" s="357"/>
      <c r="H80" s="360"/>
      <c r="I80" s="360"/>
    </row>
    <row r="81" spans="1:9" s="329" customFormat="1" ht="19.2" x14ac:dyDescent="0.45">
      <c r="A81" s="389" t="s">
        <v>109</v>
      </c>
      <c r="B81" s="390" t="s">
        <v>494</v>
      </c>
      <c r="C81" s="391"/>
      <c r="D81" s="390" t="s">
        <v>1152</v>
      </c>
      <c r="E81" s="391"/>
      <c r="F81" s="392" t="s">
        <v>312</v>
      </c>
      <c r="G81" s="393"/>
      <c r="H81" s="394"/>
      <c r="I81" s="395"/>
    </row>
    <row r="82" spans="1:9" s="329" customFormat="1" ht="19.8" thickBot="1" x14ac:dyDescent="0.5">
      <c r="A82" s="396" t="s">
        <v>317</v>
      </c>
      <c r="B82" s="397" t="s">
        <v>6</v>
      </c>
      <c r="C82" s="398" t="s">
        <v>290</v>
      </c>
      <c r="D82" s="397" t="s">
        <v>6</v>
      </c>
      <c r="E82" s="398" t="s">
        <v>290</v>
      </c>
      <c r="F82" s="399" t="s">
        <v>6</v>
      </c>
      <c r="G82" s="400" t="s">
        <v>290</v>
      </c>
      <c r="H82" s="401" t="s">
        <v>78</v>
      </c>
      <c r="I82" s="402" t="s">
        <v>313</v>
      </c>
    </row>
    <row r="83" spans="1:9" x14ac:dyDescent="0.4">
      <c r="A83" s="343" t="str">
        <f>A17</f>
        <v>Basic Education (01, 02, 03, 31, 34, 45, 97)</v>
      </c>
      <c r="B83" s="344">
        <v>22925.9</v>
      </c>
      <c r="C83" s="345">
        <v>70726.649416162501</v>
      </c>
      <c r="D83" s="344">
        <f>+'table5-6ws1'!P42+'table5-6ws1'!P73+'table5-6ws1'!P91+'table5-6ws1'!P267+'table5-6ws1'!P286+'table5-6ws1'!P320+'table5-6ws1'!P698</f>
        <v>22883.040000000001</v>
      </c>
      <c r="E83" s="345">
        <f>(+'table5-6ws1'!Q42+'table5-6ws1'!Q73+'table5-6ws1'!Q91+'table5-6ws1'!Q267+'table5-6ws1'!Q286+'table5-6ws1'!Q320+'table5-6ws1'!Q698)/D83</f>
        <v>75048.963262311299</v>
      </c>
      <c r="F83" s="346">
        <f t="shared" ref="F83:F94" si="21">+D83-B83</f>
        <v>-42.860000000000582</v>
      </c>
      <c r="G83" s="347">
        <f t="shared" ref="G83:G94" si="22">+E83-C83</f>
        <v>4322.3138461487979</v>
      </c>
      <c r="H83" s="348">
        <f t="shared" ref="H83:H94" si="23">IF(F83=0,0,F83/B83)</f>
        <v>-1.8695013063827627E-3</v>
      </c>
      <c r="I83" s="349">
        <f t="shared" ref="I83:I94" si="24">IF(G83=0,0,G83/C83)</f>
        <v>6.1112945146261373E-2</v>
      </c>
    </row>
    <row r="84" spans="1:9" x14ac:dyDescent="0.4">
      <c r="A84" s="343" t="str">
        <f t="shared" ref="A84:A93" si="25">A18</f>
        <v>Special Education, State (21, 22)</v>
      </c>
      <c r="B84" s="344">
        <v>9039.6899999999987</v>
      </c>
      <c r="C84" s="345">
        <v>57355.04550377281</v>
      </c>
      <c r="D84" s="344">
        <f>+'table5-6ws1'!P178+'table5-6ws1'!P188</f>
        <v>9830.7999999999993</v>
      </c>
      <c r="E84" s="345">
        <f>(+'table5-6ws1'!Q178+'table5-6ws1'!Q188)/D84</f>
        <v>59697.901479025124</v>
      </c>
      <c r="F84" s="346">
        <f t="shared" si="21"/>
        <v>791.11000000000058</v>
      </c>
      <c r="G84" s="347">
        <f t="shared" si="22"/>
        <v>2342.8559752523142</v>
      </c>
      <c r="H84" s="348">
        <f t="shared" si="23"/>
        <v>8.7515169214873595E-2</v>
      </c>
      <c r="I84" s="349">
        <f t="shared" si="24"/>
        <v>4.084829773342611E-2</v>
      </c>
    </row>
    <row r="85" spans="1:9" x14ac:dyDescent="0.4">
      <c r="A85" s="343" t="str">
        <f t="shared" si="25"/>
        <v>Special Education, Federal (24, 25, 29)</v>
      </c>
      <c r="B85" s="344">
        <v>770.00000000000011</v>
      </c>
      <c r="C85" s="345">
        <v>53387.207909090917</v>
      </c>
      <c r="D85" s="344">
        <f>+'table5-6ws1'!P216+'table5-6ws1'!P244</f>
        <v>761.06999999999994</v>
      </c>
      <c r="E85" s="345">
        <f>(+'table5-6ws1'!Q216+'table5-6ws1'!Q244)/D85</f>
        <v>56662.465279146476</v>
      </c>
      <c r="F85" s="346">
        <f t="shared" si="21"/>
        <v>-8.9300000000001774</v>
      </c>
      <c r="G85" s="347">
        <f t="shared" si="22"/>
        <v>3275.2573700555586</v>
      </c>
      <c r="H85" s="348">
        <f t="shared" si="23"/>
        <v>-1.1597402597402827E-2</v>
      </c>
      <c r="I85" s="349">
        <f t="shared" si="24"/>
        <v>6.1349103995712778E-2</v>
      </c>
    </row>
    <row r="86" spans="1:9" x14ac:dyDescent="0.4">
      <c r="A86" s="343" t="str">
        <f t="shared" si="25"/>
        <v>Institutions, State (26, 56, 59)</v>
      </c>
      <c r="B86" s="344">
        <v>19.450000000000003</v>
      </c>
      <c r="C86" s="345">
        <v>60007.125449871462</v>
      </c>
      <c r="D86" s="344">
        <f>+'table5-6ws1'!P234+'table5-6ws1'!P436+'table5-6ws1'!P470</f>
        <v>22.2</v>
      </c>
      <c r="E86" s="345">
        <f>(+'table5-6ws1'!Q234+'table5-6ws1'!Q436+'table5-6ws1'!Q470)/D86</f>
        <v>69381.303603603592</v>
      </c>
      <c r="F86" s="346">
        <f t="shared" si="21"/>
        <v>2.7499999999999964</v>
      </c>
      <c r="G86" s="347">
        <f t="shared" si="22"/>
        <v>9374.1781537321294</v>
      </c>
      <c r="H86" s="348">
        <f t="shared" si="23"/>
        <v>0.14138817480719773</v>
      </c>
      <c r="I86" s="349">
        <f t="shared" si="24"/>
        <v>0.15621775053302789</v>
      </c>
    </row>
    <row r="87" spans="1:9" x14ac:dyDescent="0.4">
      <c r="A87" s="343" t="str">
        <f t="shared" si="25"/>
        <v>Learning Assistance, State (55)</v>
      </c>
      <c r="B87" s="344">
        <v>1445.0399999999997</v>
      </c>
      <c r="C87" s="345">
        <v>52951.494484581752</v>
      </c>
      <c r="D87" s="344">
        <f>+'table5-6ws1'!P419</f>
        <v>1477.8200000000002</v>
      </c>
      <c r="E87" s="345">
        <f>+'table5-6ws1'!Q419/D87</f>
        <v>56171.237660878855</v>
      </c>
      <c r="F87" s="346">
        <f t="shared" si="21"/>
        <v>32.780000000000427</v>
      </c>
      <c r="G87" s="347">
        <f t="shared" si="22"/>
        <v>3219.7431762971028</v>
      </c>
      <c r="H87" s="348">
        <f t="shared" si="23"/>
        <v>2.2684493162819321E-2</v>
      </c>
      <c r="I87" s="349">
        <f t="shared" si="24"/>
        <v>6.0805520366089334E-2</v>
      </c>
    </row>
    <row r="88" spans="1:9" x14ac:dyDescent="0.4">
      <c r="A88" s="343" t="str">
        <f t="shared" si="25"/>
        <v>Disadvantaged, Federal (51)</v>
      </c>
      <c r="B88" s="344">
        <v>750.23</v>
      </c>
      <c r="C88" s="345">
        <v>56380.843008144169</v>
      </c>
      <c r="D88" s="344">
        <f>+'table5-6ws1'!P350</f>
        <v>751.58</v>
      </c>
      <c r="E88" s="345">
        <f>+'table5-6ws1'!Q350/D88</f>
        <v>60225.914885973536</v>
      </c>
      <c r="F88" s="346">
        <f t="shared" si="21"/>
        <v>1.3500000000000227</v>
      </c>
      <c r="G88" s="347">
        <f t="shared" si="22"/>
        <v>3845.0718778293667</v>
      </c>
      <c r="H88" s="348">
        <f t="shared" si="23"/>
        <v>1.7994481692281336E-3</v>
      </c>
      <c r="I88" s="349">
        <f t="shared" si="24"/>
        <v>6.8198197697646151E-2</v>
      </c>
    </row>
    <row r="89" spans="1:9" x14ac:dyDescent="0.4">
      <c r="A89" s="343" t="str">
        <f t="shared" si="25"/>
        <v>Transitional Bilingual, State (65)</v>
      </c>
      <c r="B89" s="344">
        <v>809.41000000000008</v>
      </c>
      <c r="C89" s="345">
        <v>58931.808700164322</v>
      </c>
      <c r="D89" s="344">
        <f>+'table5-6ws1'!P520</f>
        <v>839.45999999999992</v>
      </c>
      <c r="E89" s="345">
        <f>+'table5-6ws1'!Q520/D89</f>
        <v>62322.12578324163</v>
      </c>
      <c r="F89" s="346">
        <f t="shared" si="21"/>
        <v>30.049999999999841</v>
      </c>
      <c r="G89" s="347">
        <f t="shared" si="22"/>
        <v>3390.3170830773088</v>
      </c>
      <c r="H89" s="348">
        <f t="shared" si="23"/>
        <v>3.7125807687080514E-2</v>
      </c>
      <c r="I89" s="349">
        <f t="shared" si="24"/>
        <v>5.7529493118507587E-2</v>
      </c>
    </row>
    <row r="90" spans="1:9" x14ac:dyDescent="0.4">
      <c r="A90" s="343" t="str">
        <f t="shared" si="25"/>
        <v>Highly Capable (74)</v>
      </c>
      <c r="B90" s="344">
        <v>28.46</v>
      </c>
      <c r="C90" s="345">
        <v>74869.074490512998</v>
      </c>
      <c r="D90" s="344">
        <f>+'table5-6ws1'!P585</f>
        <v>30.720000000000002</v>
      </c>
      <c r="E90" s="345">
        <f>+'table5-6ws1'!Q585/D90</f>
        <v>77125.402669270828</v>
      </c>
      <c r="F90" s="346">
        <f t="shared" si="21"/>
        <v>2.2600000000000016</v>
      </c>
      <c r="G90" s="347">
        <f t="shared" si="22"/>
        <v>2256.3281787578308</v>
      </c>
      <c r="H90" s="348">
        <f t="shared" si="23"/>
        <v>7.9409697821503922E-2</v>
      </c>
      <c r="I90" s="349">
        <f t="shared" si="24"/>
        <v>3.0136985051735083E-2</v>
      </c>
    </row>
    <row r="91" spans="1:9" x14ac:dyDescent="0.4">
      <c r="A91" s="343" t="str">
        <f t="shared" si="25"/>
        <v>Other, State and Federal</v>
      </c>
      <c r="B91" s="344">
        <v>3128.4500000000003</v>
      </c>
      <c r="C91" s="345">
        <v>73715.62394796146</v>
      </c>
      <c r="D91" s="344">
        <f>+'table5-6ws1'!P786</f>
        <v>2684.28</v>
      </c>
      <c r="E91" s="345">
        <f>+'table5-6ws1'!Q787</f>
        <v>77017.973072853798</v>
      </c>
      <c r="F91" s="346">
        <f t="shared" si="21"/>
        <v>-444.17000000000007</v>
      </c>
      <c r="G91" s="347">
        <f t="shared" si="22"/>
        <v>3302.3491248923383</v>
      </c>
      <c r="H91" s="348">
        <f t="shared" si="23"/>
        <v>-0.1419776566670396</v>
      </c>
      <c r="I91" s="349">
        <f t="shared" si="24"/>
        <v>4.4798496546995067E-2</v>
      </c>
    </row>
    <row r="92" spans="1:9" x14ac:dyDescent="0.4">
      <c r="A92" s="343" t="str">
        <f t="shared" si="25"/>
        <v>Food Services (98)</v>
      </c>
      <c r="B92" s="344">
        <v>3023.98</v>
      </c>
      <c r="C92" s="345">
        <v>53331.209730223083</v>
      </c>
      <c r="D92" s="344">
        <f>+'table5-6ws1'!P709</f>
        <v>3008.7700000000004</v>
      </c>
      <c r="E92" s="345">
        <f>+'table5-6ws1'!Q709/D92</f>
        <v>56352.408442652631</v>
      </c>
      <c r="F92" s="346">
        <f t="shared" si="21"/>
        <v>-15.209999999999582</v>
      </c>
      <c r="G92" s="347">
        <f t="shared" si="22"/>
        <v>3021.1987124295483</v>
      </c>
      <c r="H92" s="348">
        <f t="shared" si="23"/>
        <v>-5.0297951706028418E-3</v>
      </c>
      <c r="I92" s="349">
        <f t="shared" si="24"/>
        <v>5.6649731512042167E-2</v>
      </c>
    </row>
    <row r="93" spans="1:9" x14ac:dyDescent="0.4">
      <c r="A93" s="343" t="str">
        <f t="shared" si="25"/>
        <v>Pupil Transportation (99)</v>
      </c>
      <c r="B93" s="344">
        <v>4259.63</v>
      </c>
      <c r="C93" s="345">
        <v>67870.42351096221</v>
      </c>
      <c r="D93" s="344">
        <f>+'table5-6ws1'!P725</f>
        <v>4337.5199999999995</v>
      </c>
      <c r="E93" s="345">
        <f>+'table5-6ws1'!Q725/D93</f>
        <v>70939.491638078893</v>
      </c>
      <c r="F93" s="346">
        <f t="shared" si="21"/>
        <v>77.889999999999418</v>
      </c>
      <c r="G93" s="347">
        <f t="shared" si="22"/>
        <v>3069.0681271166832</v>
      </c>
      <c r="H93" s="348">
        <f t="shared" si="23"/>
        <v>1.828562574683703E-2</v>
      </c>
      <c r="I93" s="349">
        <f t="shared" si="24"/>
        <v>4.5219522265408839E-2</v>
      </c>
    </row>
    <row r="94" spans="1:9" ht="17.399999999999999" thickBot="1" x14ac:dyDescent="0.45">
      <c r="A94" s="359" t="s">
        <v>38</v>
      </c>
      <c r="B94" s="351">
        <f>SUM(B83:B93)</f>
        <v>46200.240000000005</v>
      </c>
      <c r="C94" s="352">
        <f>SUMPRODUCT(B83:B93,C83:C93)/SUM(B83:B93)</f>
        <v>65624.262035002423</v>
      </c>
      <c r="D94" s="351">
        <f>SUM(D83:D93)</f>
        <v>46627.26</v>
      </c>
      <c r="E94" s="352">
        <f>SUMPRODUCT(D83:D93,E83:E93)/SUM(D83:D93)</f>
        <v>68969.170087412378</v>
      </c>
      <c r="F94" s="353">
        <f t="shared" si="21"/>
        <v>427.0199999999968</v>
      </c>
      <c r="G94" s="354">
        <f t="shared" si="22"/>
        <v>3344.9080524099554</v>
      </c>
      <c r="H94" s="355">
        <f t="shared" si="23"/>
        <v>9.242809128264199E-3</v>
      </c>
      <c r="I94" s="356">
        <f t="shared" si="24"/>
        <v>5.0970600638920116E-2</v>
      </c>
    </row>
    <row r="95" spans="1:9" x14ac:dyDescent="0.4">
      <c r="D95" s="188"/>
    </row>
    <row r="96" spans="1:9" x14ac:dyDescent="0.4">
      <c r="A96" s="88" t="s">
        <v>1153</v>
      </c>
    </row>
    <row r="97" spans="1:1" x14ac:dyDescent="0.4">
      <c r="A97" s="88" t="s">
        <v>476</v>
      </c>
    </row>
    <row r="98" spans="1:1" x14ac:dyDescent="0.4">
      <c r="A98" s="88" t="s">
        <v>475</v>
      </c>
    </row>
  </sheetData>
  <mergeCells count="4">
    <mergeCell ref="A1:I1"/>
    <mergeCell ref="A2:I2"/>
    <mergeCell ref="A64:I64"/>
    <mergeCell ref="A65:I65"/>
  </mergeCells>
  <phoneticPr fontId="0" type="noConversion"/>
  <printOptions horizontalCentered="1"/>
  <pageMargins left="0.75" right="0.75" top="1" bottom="1" header="0.5" footer="0.5"/>
  <pageSetup scale="61" orientation="portrait" r:id="rId1"/>
  <headerFooter alignWithMargins="0"/>
  <rowBreaks count="1" manualBreakCount="1">
    <brk id="63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795"/>
  <sheetViews>
    <sheetView showZeros="0" zoomScale="75" zoomScaleNormal="75" workbookViewId="0">
      <pane ySplit="4" topLeftCell="A759" activePane="bottomLeft" state="frozen"/>
      <selection pane="bottomLeft"/>
    </sheetView>
  </sheetViews>
  <sheetFormatPr defaultColWidth="9.109375" defaultRowHeight="16.8" x14ac:dyDescent="0.4"/>
  <cols>
    <col min="1" max="1" width="3.44140625" style="748" customWidth="1"/>
    <col min="2" max="2" width="2.88671875" style="88" customWidth="1"/>
    <col min="3" max="3" width="23.109375" style="88" bestFit="1" customWidth="1"/>
    <col min="4" max="4" width="12.88671875" style="88" customWidth="1"/>
    <col min="5" max="5" width="14.44140625" style="88" customWidth="1"/>
    <col min="6" max="6" width="11.109375" style="88" customWidth="1"/>
    <col min="7" max="7" width="15.33203125" style="189" customWidth="1"/>
    <col min="8" max="8" width="11.109375" style="88" customWidth="1"/>
    <col min="9" max="9" width="13.5546875" style="189" customWidth="1"/>
    <col min="10" max="10" width="11.109375" style="88" customWidth="1"/>
    <col min="11" max="11" width="15.33203125" style="189" customWidth="1"/>
    <col min="12" max="12" width="11.109375" style="88" customWidth="1"/>
    <col min="13" max="13" width="12.44140625" style="749" customWidth="1"/>
    <col min="14" max="14" width="11.109375" style="88" customWidth="1"/>
    <col min="15" max="15" width="15.33203125" style="750" customWidth="1"/>
    <col min="16" max="16" width="11.109375" style="88" customWidth="1"/>
    <col min="17" max="17" width="15.33203125" style="189" customWidth="1"/>
    <col min="18" max="16384" width="9.109375" style="88"/>
  </cols>
  <sheetData>
    <row r="1" spans="1:17" x14ac:dyDescent="0.4">
      <c r="A1" s="557"/>
      <c r="B1" s="557" t="s">
        <v>155</v>
      </c>
      <c r="C1" s="557"/>
      <c r="D1" s="318"/>
      <c r="E1" s="537"/>
      <c r="F1" s="558" t="s">
        <v>98</v>
      </c>
      <c r="G1" s="559"/>
      <c r="H1" s="558" t="s">
        <v>99</v>
      </c>
      <c r="I1" s="559"/>
      <c r="J1" s="558" t="s">
        <v>100</v>
      </c>
      <c r="K1" s="559"/>
      <c r="L1" s="560" t="s">
        <v>101</v>
      </c>
      <c r="M1" s="561"/>
      <c r="N1" s="558" t="s">
        <v>102</v>
      </c>
      <c r="O1" s="559"/>
      <c r="P1" s="558" t="s">
        <v>103</v>
      </c>
      <c r="Q1" s="559"/>
    </row>
    <row r="2" spans="1:17" x14ac:dyDescent="0.4">
      <c r="A2" s="557"/>
      <c r="B2" s="557" t="s">
        <v>1150</v>
      </c>
      <c r="C2" s="557"/>
      <c r="D2" s="318"/>
      <c r="E2" s="562"/>
      <c r="F2" s="563" t="s">
        <v>104</v>
      </c>
      <c r="G2" s="564"/>
      <c r="H2" s="565" t="s">
        <v>105</v>
      </c>
      <c r="I2" s="566"/>
      <c r="J2" s="567" t="s">
        <v>106</v>
      </c>
      <c r="K2" s="568"/>
      <c r="L2" s="569" t="s">
        <v>107</v>
      </c>
      <c r="M2" s="570"/>
      <c r="N2" s="571" t="s">
        <v>108</v>
      </c>
      <c r="O2" s="572"/>
      <c r="P2" s="573" t="s">
        <v>109</v>
      </c>
      <c r="Q2" s="574"/>
    </row>
    <row r="3" spans="1:17" x14ac:dyDescent="0.4">
      <c r="A3" s="557"/>
      <c r="B3" s="557"/>
      <c r="C3" s="557"/>
      <c r="D3" s="575" t="s">
        <v>6</v>
      </c>
      <c r="E3" s="576" t="s">
        <v>175</v>
      </c>
      <c r="F3" s="577" t="s">
        <v>6</v>
      </c>
      <c r="G3" s="578" t="s">
        <v>110</v>
      </c>
      <c r="H3" s="579" t="s">
        <v>6</v>
      </c>
      <c r="I3" s="580" t="s">
        <v>110</v>
      </c>
      <c r="J3" s="581" t="s">
        <v>6</v>
      </c>
      <c r="K3" s="582" t="s">
        <v>110</v>
      </c>
      <c r="L3" s="583" t="s">
        <v>6</v>
      </c>
      <c r="M3" s="584" t="s">
        <v>110</v>
      </c>
      <c r="N3" s="585" t="s">
        <v>6</v>
      </c>
      <c r="O3" s="586" t="s">
        <v>110</v>
      </c>
      <c r="P3" s="587" t="s">
        <v>6</v>
      </c>
      <c r="Q3" s="588" t="s">
        <v>110</v>
      </c>
    </row>
    <row r="4" spans="1:17" x14ac:dyDescent="0.4">
      <c r="A4" s="557"/>
      <c r="B4" s="557"/>
      <c r="C4" s="557"/>
      <c r="D4" s="575"/>
      <c r="E4" s="576"/>
      <c r="F4" s="589" t="s">
        <v>181</v>
      </c>
      <c r="G4" s="590"/>
      <c r="H4" s="591" t="s">
        <v>182</v>
      </c>
      <c r="I4" s="592"/>
      <c r="J4" s="593" t="s">
        <v>180</v>
      </c>
      <c r="K4" s="594"/>
      <c r="L4" s="595"/>
      <c r="M4" s="596"/>
      <c r="N4" s="597" t="s">
        <v>183</v>
      </c>
      <c r="O4" s="598"/>
      <c r="P4" s="599" t="s">
        <v>238</v>
      </c>
      <c r="Q4" s="600"/>
    </row>
    <row r="5" spans="1:17" x14ac:dyDescent="0.4">
      <c r="A5" s="601" t="s">
        <v>37</v>
      </c>
      <c r="B5" s="601" t="s">
        <v>111</v>
      </c>
      <c r="C5" s="602"/>
      <c r="D5" s="469"/>
      <c r="E5" s="536"/>
      <c r="F5" s="603"/>
      <c r="G5" s="604"/>
      <c r="H5" s="605"/>
      <c r="I5" s="606"/>
      <c r="J5" s="607"/>
      <c r="K5" s="608"/>
      <c r="L5" s="609"/>
      <c r="M5" s="610"/>
      <c r="N5" s="611"/>
      <c r="O5" s="612"/>
      <c r="P5" s="613"/>
      <c r="Q5" s="614"/>
    </row>
    <row r="6" spans="1:17" x14ac:dyDescent="0.4">
      <c r="A6" s="601"/>
      <c r="B6" s="601" t="s">
        <v>331</v>
      </c>
      <c r="C6" s="602" t="s">
        <v>136</v>
      </c>
      <c r="D6" s="469">
        <v>0.91</v>
      </c>
      <c r="E6" s="536">
        <v>455601</v>
      </c>
      <c r="F6" s="603"/>
      <c r="G6" s="604"/>
      <c r="H6" s="605"/>
      <c r="I6" s="606"/>
      <c r="J6" s="607"/>
      <c r="K6" s="608"/>
      <c r="L6" s="609"/>
      <c r="M6" s="610"/>
      <c r="N6" s="611"/>
      <c r="O6" s="612"/>
      <c r="P6" s="613"/>
      <c r="Q6" s="614"/>
    </row>
    <row r="7" spans="1:17" x14ac:dyDescent="0.4">
      <c r="A7" s="601"/>
      <c r="B7" s="601" t="s">
        <v>332</v>
      </c>
      <c r="C7" s="602" t="s">
        <v>112</v>
      </c>
      <c r="D7" s="469">
        <v>60.14</v>
      </c>
      <c r="E7" s="536">
        <v>216520</v>
      </c>
      <c r="F7" s="603"/>
      <c r="G7" s="604"/>
      <c r="H7" s="605"/>
      <c r="I7" s="606"/>
      <c r="J7" s="607"/>
      <c r="K7" s="608"/>
      <c r="L7" s="609"/>
      <c r="M7" s="610"/>
      <c r="N7" s="611"/>
      <c r="O7" s="612"/>
      <c r="P7" s="613"/>
      <c r="Q7" s="614"/>
    </row>
    <row r="8" spans="1:17" x14ac:dyDescent="0.4">
      <c r="A8" s="601"/>
      <c r="B8" s="601" t="s">
        <v>333</v>
      </c>
      <c r="C8" s="602" t="s">
        <v>113</v>
      </c>
      <c r="D8" s="469">
        <v>401.28</v>
      </c>
      <c r="E8" s="536">
        <v>186314</v>
      </c>
      <c r="F8" s="603"/>
      <c r="G8" s="604"/>
      <c r="H8" s="605"/>
      <c r="I8" s="606"/>
      <c r="J8" s="607"/>
      <c r="K8" s="608"/>
      <c r="L8" s="609"/>
      <c r="M8" s="610"/>
      <c r="N8" s="611"/>
      <c r="O8" s="612"/>
      <c r="P8" s="613"/>
      <c r="Q8" s="614"/>
    </row>
    <row r="9" spans="1:17" x14ac:dyDescent="0.4">
      <c r="A9" s="601"/>
      <c r="B9" s="601" t="s">
        <v>334</v>
      </c>
      <c r="C9" s="602" t="s">
        <v>120</v>
      </c>
      <c r="D9" s="469">
        <v>1179.45</v>
      </c>
      <c r="E9" s="536">
        <v>169570</v>
      </c>
      <c r="F9" s="603"/>
      <c r="G9" s="604"/>
      <c r="H9" s="605"/>
      <c r="I9" s="606"/>
      <c r="J9" s="607"/>
      <c r="K9" s="608"/>
      <c r="L9" s="609"/>
      <c r="M9" s="610"/>
      <c r="N9" s="611"/>
      <c r="O9" s="612"/>
      <c r="P9" s="613"/>
      <c r="Q9" s="614"/>
    </row>
    <row r="10" spans="1:17" x14ac:dyDescent="0.4">
      <c r="A10" s="601"/>
      <c r="B10" s="601" t="s">
        <v>335</v>
      </c>
      <c r="C10" s="602" t="s">
        <v>130</v>
      </c>
      <c r="D10" s="469">
        <v>504.52</v>
      </c>
      <c r="E10" s="536">
        <v>152356</v>
      </c>
      <c r="F10" s="603"/>
      <c r="G10" s="604"/>
      <c r="H10" s="605"/>
      <c r="I10" s="606"/>
      <c r="J10" s="607"/>
      <c r="K10" s="608"/>
      <c r="L10" s="609"/>
      <c r="M10" s="610"/>
      <c r="N10" s="611"/>
      <c r="O10" s="612"/>
      <c r="P10" s="613"/>
      <c r="Q10" s="614"/>
    </row>
    <row r="11" spans="1:17" x14ac:dyDescent="0.4">
      <c r="A11" s="601"/>
      <c r="B11" s="601" t="s">
        <v>336</v>
      </c>
      <c r="C11" s="602" t="s">
        <v>121</v>
      </c>
      <c r="D11" s="469">
        <v>691.36</v>
      </c>
      <c r="E11" s="536">
        <v>175428</v>
      </c>
      <c r="F11" s="603"/>
      <c r="G11" s="604"/>
      <c r="H11" s="605"/>
      <c r="I11" s="606"/>
      <c r="J11" s="607"/>
      <c r="K11" s="608"/>
      <c r="L11" s="609"/>
      <c r="M11" s="610"/>
      <c r="N11" s="611"/>
      <c r="O11" s="612"/>
      <c r="P11" s="613"/>
      <c r="Q11" s="614"/>
    </row>
    <row r="12" spans="1:17" x14ac:dyDescent="0.4">
      <c r="A12" s="601"/>
      <c r="B12" s="601" t="s">
        <v>337</v>
      </c>
      <c r="C12" s="602" t="s">
        <v>129</v>
      </c>
      <c r="D12" s="469">
        <v>852.7</v>
      </c>
      <c r="E12" s="536">
        <v>163606</v>
      </c>
      <c r="F12" s="603"/>
      <c r="G12" s="604"/>
      <c r="H12" s="605"/>
      <c r="I12" s="606"/>
      <c r="J12" s="607"/>
      <c r="K12" s="608"/>
      <c r="L12" s="609"/>
      <c r="M12" s="610"/>
      <c r="N12" s="611"/>
      <c r="O12" s="612"/>
      <c r="P12" s="613"/>
      <c r="Q12" s="614"/>
    </row>
    <row r="13" spans="1:17" x14ac:dyDescent="0.4">
      <c r="A13" s="601"/>
      <c r="B13" s="601" t="s">
        <v>338</v>
      </c>
      <c r="C13" s="602" t="s">
        <v>114</v>
      </c>
      <c r="D13" s="469">
        <v>101.34</v>
      </c>
      <c r="E13" s="536">
        <v>141764</v>
      </c>
      <c r="F13" s="603"/>
      <c r="G13" s="604"/>
      <c r="H13" s="605"/>
      <c r="I13" s="606"/>
      <c r="J13" s="607"/>
      <c r="K13" s="608"/>
      <c r="L13" s="609"/>
      <c r="M13" s="610"/>
      <c r="N13" s="611"/>
      <c r="O13" s="612"/>
      <c r="P13" s="613"/>
      <c r="Q13" s="614"/>
    </row>
    <row r="14" spans="1:17" x14ac:dyDescent="0.4">
      <c r="A14" s="601"/>
      <c r="B14" s="601" t="s">
        <v>339</v>
      </c>
      <c r="C14" s="602" t="s">
        <v>407</v>
      </c>
      <c r="D14" s="469">
        <v>23512.86</v>
      </c>
      <c r="E14" s="536">
        <v>95842</v>
      </c>
      <c r="F14" s="603"/>
      <c r="G14" s="604"/>
      <c r="H14" s="605"/>
      <c r="I14" s="606"/>
      <c r="J14" s="607"/>
      <c r="K14" s="608"/>
      <c r="L14" s="609"/>
      <c r="M14" s="610"/>
      <c r="N14" s="611"/>
      <c r="O14" s="612"/>
      <c r="P14" s="613"/>
      <c r="Q14" s="614"/>
    </row>
    <row r="15" spans="1:17" x14ac:dyDescent="0.4">
      <c r="A15" s="601"/>
      <c r="B15" s="601" t="s">
        <v>340</v>
      </c>
      <c r="C15" s="602" t="s">
        <v>115</v>
      </c>
      <c r="D15" s="469">
        <v>16784.740000000002</v>
      </c>
      <c r="E15" s="536">
        <v>99135</v>
      </c>
      <c r="F15" s="603"/>
      <c r="G15" s="604"/>
      <c r="H15" s="605"/>
      <c r="I15" s="606"/>
      <c r="J15" s="607"/>
      <c r="K15" s="608"/>
      <c r="L15" s="609"/>
      <c r="M15" s="610"/>
      <c r="N15" s="611"/>
      <c r="O15" s="612"/>
      <c r="P15" s="613"/>
      <c r="Q15" s="614"/>
    </row>
    <row r="16" spans="1:17" x14ac:dyDescent="0.4">
      <c r="A16" s="601"/>
      <c r="B16" s="601" t="s">
        <v>341</v>
      </c>
      <c r="C16" s="602" t="s">
        <v>116</v>
      </c>
      <c r="D16" s="469">
        <v>692.79</v>
      </c>
      <c r="E16" s="536">
        <v>99971</v>
      </c>
      <c r="F16" s="603"/>
      <c r="G16" s="604"/>
      <c r="H16" s="605"/>
      <c r="I16" s="606"/>
      <c r="J16" s="607"/>
      <c r="K16" s="608"/>
      <c r="L16" s="609"/>
      <c r="M16" s="610"/>
      <c r="N16" s="611"/>
      <c r="O16" s="612"/>
      <c r="P16" s="613"/>
      <c r="Q16" s="614"/>
    </row>
    <row r="17" spans="1:17" x14ac:dyDescent="0.4">
      <c r="A17" s="601"/>
      <c r="B17" s="601" t="s">
        <v>408</v>
      </c>
      <c r="C17" s="602" t="s">
        <v>409</v>
      </c>
      <c r="D17" s="469">
        <v>3340.21</v>
      </c>
      <c r="E17" s="536">
        <v>98617</v>
      </c>
      <c r="F17" s="603"/>
      <c r="G17" s="604"/>
      <c r="H17" s="605"/>
      <c r="I17" s="606"/>
      <c r="J17" s="607"/>
      <c r="K17" s="608"/>
      <c r="L17" s="609"/>
      <c r="M17" s="610"/>
      <c r="N17" s="611"/>
      <c r="O17" s="612"/>
      <c r="P17" s="613"/>
      <c r="Q17" s="614"/>
    </row>
    <row r="18" spans="1:17" x14ac:dyDescent="0.4">
      <c r="A18" s="601"/>
      <c r="B18" s="601" t="s">
        <v>440</v>
      </c>
      <c r="C18" s="602" t="s">
        <v>486</v>
      </c>
      <c r="D18" s="469">
        <v>1</v>
      </c>
      <c r="E18" s="536">
        <v>89924</v>
      </c>
      <c r="F18" s="603"/>
      <c r="G18" s="604"/>
      <c r="H18" s="605"/>
      <c r="I18" s="606"/>
      <c r="J18" s="607"/>
      <c r="K18" s="608"/>
      <c r="L18" s="609"/>
      <c r="M18" s="610"/>
      <c r="N18" s="611"/>
      <c r="O18" s="612"/>
      <c r="P18" s="613"/>
      <c r="Q18" s="614"/>
    </row>
    <row r="19" spans="1:17" x14ac:dyDescent="0.4">
      <c r="A19" s="601"/>
      <c r="B19" s="601" t="s">
        <v>342</v>
      </c>
      <c r="C19" s="602" t="s">
        <v>117</v>
      </c>
      <c r="D19" s="469">
        <v>711.39</v>
      </c>
      <c r="E19" s="536">
        <v>110102</v>
      </c>
      <c r="F19" s="603"/>
      <c r="G19" s="604"/>
      <c r="H19" s="605"/>
      <c r="I19" s="606"/>
      <c r="J19" s="607"/>
      <c r="K19" s="608"/>
      <c r="L19" s="609"/>
      <c r="M19" s="610"/>
      <c r="N19" s="611"/>
      <c r="O19" s="612"/>
      <c r="P19" s="613"/>
      <c r="Q19" s="614"/>
    </row>
    <row r="20" spans="1:17" x14ac:dyDescent="0.4">
      <c r="A20" s="601"/>
      <c r="B20" s="601" t="s">
        <v>343</v>
      </c>
      <c r="C20" s="602" t="s">
        <v>128</v>
      </c>
      <c r="D20" s="469">
        <v>598.03</v>
      </c>
      <c r="E20" s="536">
        <v>110030</v>
      </c>
      <c r="F20" s="603"/>
      <c r="G20" s="604"/>
      <c r="H20" s="605"/>
      <c r="I20" s="606"/>
      <c r="J20" s="607"/>
      <c r="K20" s="608"/>
      <c r="L20" s="609"/>
      <c r="M20" s="610"/>
      <c r="N20" s="611"/>
      <c r="O20" s="612"/>
      <c r="P20" s="613"/>
      <c r="Q20" s="614"/>
    </row>
    <row r="21" spans="1:17" x14ac:dyDescent="0.4">
      <c r="A21" s="601"/>
      <c r="B21" s="601" t="s">
        <v>344</v>
      </c>
      <c r="C21" s="602" t="s">
        <v>122</v>
      </c>
      <c r="D21" s="469">
        <v>2538.77</v>
      </c>
      <c r="E21" s="536">
        <v>98560</v>
      </c>
      <c r="F21" s="603"/>
      <c r="G21" s="604"/>
      <c r="H21" s="605"/>
      <c r="I21" s="606"/>
      <c r="J21" s="607"/>
      <c r="K21" s="608"/>
      <c r="L21" s="609"/>
      <c r="M21" s="610"/>
      <c r="N21" s="611"/>
      <c r="O21" s="612"/>
      <c r="P21" s="613"/>
      <c r="Q21" s="614"/>
    </row>
    <row r="22" spans="1:17" x14ac:dyDescent="0.4">
      <c r="A22" s="601"/>
      <c r="B22" s="601" t="s">
        <v>345</v>
      </c>
      <c r="C22" s="602" t="s">
        <v>123</v>
      </c>
      <c r="D22" s="469">
        <v>4.83</v>
      </c>
      <c r="E22" s="536">
        <v>106242</v>
      </c>
      <c r="F22" s="603"/>
      <c r="G22" s="604"/>
      <c r="H22" s="605"/>
      <c r="I22" s="606"/>
      <c r="J22" s="607"/>
      <c r="K22" s="608"/>
      <c r="L22" s="609"/>
      <c r="M22" s="610"/>
      <c r="N22" s="611"/>
      <c r="O22" s="612"/>
      <c r="P22" s="613"/>
      <c r="Q22" s="614"/>
    </row>
    <row r="23" spans="1:17" x14ac:dyDescent="0.4">
      <c r="A23" s="601"/>
      <c r="B23" s="601" t="s">
        <v>346</v>
      </c>
      <c r="C23" s="602" t="s">
        <v>124</v>
      </c>
      <c r="D23" s="469">
        <v>166.11</v>
      </c>
      <c r="E23" s="536">
        <v>96512</v>
      </c>
      <c r="F23" s="603"/>
      <c r="G23" s="604"/>
      <c r="H23" s="605"/>
      <c r="I23" s="606"/>
      <c r="J23" s="607"/>
      <c r="K23" s="608"/>
      <c r="L23" s="609"/>
      <c r="M23" s="610"/>
      <c r="N23" s="611"/>
      <c r="O23" s="612"/>
      <c r="P23" s="613"/>
      <c r="Q23" s="614"/>
    </row>
    <row r="24" spans="1:17" x14ac:dyDescent="0.4">
      <c r="A24" s="601"/>
      <c r="B24" s="601" t="s">
        <v>347</v>
      </c>
      <c r="C24" s="602" t="s">
        <v>235</v>
      </c>
      <c r="D24" s="469">
        <v>10.97</v>
      </c>
      <c r="E24" s="536">
        <v>94135</v>
      </c>
      <c r="F24" s="603"/>
      <c r="G24" s="604"/>
      <c r="H24" s="605"/>
      <c r="I24" s="606"/>
      <c r="J24" s="607"/>
      <c r="K24" s="608"/>
      <c r="L24" s="609"/>
      <c r="M24" s="610"/>
      <c r="N24" s="611"/>
      <c r="O24" s="612"/>
      <c r="P24" s="613"/>
      <c r="Q24" s="614"/>
    </row>
    <row r="25" spans="1:17" x14ac:dyDescent="0.4">
      <c r="A25" s="601"/>
      <c r="B25" s="601" t="s">
        <v>348</v>
      </c>
      <c r="C25" s="602" t="s">
        <v>125</v>
      </c>
      <c r="D25" s="469">
        <v>57.8</v>
      </c>
      <c r="E25" s="536">
        <v>99692</v>
      </c>
      <c r="F25" s="603"/>
      <c r="G25" s="604"/>
      <c r="H25" s="605"/>
      <c r="I25" s="606"/>
      <c r="J25" s="607"/>
      <c r="K25" s="608"/>
      <c r="L25" s="609"/>
      <c r="M25" s="610"/>
      <c r="N25" s="611"/>
      <c r="O25" s="612"/>
      <c r="P25" s="613"/>
      <c r="Q25" s="614"/>
    </row>
    <row r="26" spans="1:17" x14ac:dyDescent="0.4">
      <c r="A26" s="601"/>
      <c r="B26" s="601" t="s">
        <v>349</v>
      </c>
      <c r="C26" s="602" t="s">
        <v>126</v>
      </c>
      <c r="D26" s="469">
        <v>647.11</v>
      </c>
      <c r="E26" s="536">
        <v>89588</v>
      </c>
      <c r="F26" s="603"/>
      <c r="G26" s="604"/>
      <c r="H26" s="605"/>
      <c r="I26" s="606"/>
      <c r="J26" s="607"/>
      <c r="K26" s="608"/>
      <c r="L26" s="609"/>
      <c r="M26" s="610"/>
      <c r="N26" s="611"/>
      <c r="O26" s="612"/>
      <c r="P26" s="613"/>
      <c r="Q26" s="614"/>
    </row>
    <row r="27" spans="1:17" x14ac:dyDescent="0.4">
      <c r="A27" s="601"/>
      <c r="B27" s="601" t="s">
        <v>350</v>
      </c>
      <c r="C27" s="602" t="s">
        <v>127</v>
      </c>
      <c r="D27" s="469">
        <v>1.32</v>
      </c>
      <c r="E27" s="536">
        <v>92503</v>
      </c>
      <c r="F27" s="603"/>
      <c r="G27" s="604"/>
      <c r="H27" s="605"/>
      <c r="I27" s="606"/>
      <c r="J27" s="607"/>
      <c r="K27" s="608"/>
      <c r="L27" s="609"/>
      <c r="M27" s="610"/>
      <c r="N27" s="611"/>
      <c r="O27" s="612"/>
      <c r="P27" s="613"/>
      <c r="Q27" s="614"/>
    </row>
    <row r="28" spans="1:17" x14ac:dyDescent="0.4">
      <c r="A28" s="601"/>
      <c r="B28" s="601" t="s">
        <v>351</v>
      </c>
      <c r="C28" s="602" t="s">
        <v>427</v>
      </c>
      <c r="D28" s="469">
        <v>13.02</v>
      </c>
      <c r="E28" s="536">
        <v>103268</v>
      </c>
      <c r="F28" s="603"/>
      <c r="G28" s="604"/>
      <c r="H28" s="605"/>
      <c r="I28" s="606"/>
      <c r="J28" s="607"/>
      <c r="K28" s="608"/>
      <c r="L28" s="609"/>
      <c r="M28" s="610"/>
      <c r="N28" s="611"/>
      <c r="O28" s="612"/>
      <c r="P28" s="613"/>
      <c r="Q28" s="614"/>
    </row>
    <row r="29" spans="1:17" x14ac:dyDescent="0.4">
      <c r="A29" s="601"/>
      <c r="B29" s="601" t="s">
        <v>352</v>
      </c>
      <c r="C29" s="602" t="s">
        <v>118</v>
      </c>
      <c r="D29" s="469">
        <v>102.27</v>
      </c>
      <c r="E29" s="536">
        <v>112489</v>
      </c>
      <c r="F29" s="603"/>
      <c r="G29" s="604"/>
      <c r="H29" s="605"/>
      <c r="I29" s="606"/>
      <c r="J29" s="607"/>
      <c r="K29" s="608"/>
      <c r="L29" s="609"/>
      <c r="M29" s="610"/>
      <c r="N29" s="611"/>
      <c r="O29" s="612"/>
      <c r="P29" s="613"/>
      <c r="Q29" s="614"/>
    </row>
    <row r="30" spans="1:17" x14ac:dyDescent="0.4">
      <c r="A30" s="601"/>
      <c r="B30" s="601" t="s">
        <v>353</v>
      </c>
      <c r="C30" s="602" t="s">
        <v>119</v>
      </c>
      <c r="D30" s="469">
        <v>117.61</v>
      </c>
      <c r="E30" s="536">
        <v>149766</v>
      </c>
      <c r="F30" s="603"/>
      <c r="G30" s="604"/>
      <c r="H30" s="605"/>
      <c r="I30" s="606"/>
      <c r="J30" s="607"/>
      <c r="K30" s="608"/>
      <c r="L30" s="609"/>
      <c r="M30" s="610"/>
      <c r="N30" s="611"/>
      <c r="O30" s="612"/>
      <c r="P30" s="613"/>
      <c r="Q30" s="614"/>
    </row>
    <row r="31" spans="1:17" x14ac:dyDescent="0.4">
      <c r="A31" s="601"/>
      <c r="B31" s="601" t="s">
        <v>354</v>
      </c>
      <c r="C31" s="602" t="s">
        <v>236</v>
      </c>
      <c r="D31" s="469">
        <v>52.68</v>
      </c>
      <c r="E31" s="536">
        <v>112359</v>
      </c>
      <c r="F31" s="603"/>
      <c r="G31" s="604"/>
      <c r="H31" s="605"/>
      <c r="I31" s="606"/>
      <c r="J31" s="607"/>
      <c r="K31" s="608"/>
      <c r="L31" s="609"/>
      <c r="M31" s="610"/>
      <c r="N31" s="611"/>
      <c r="O31" s="612"/>
      <c r="P31" s="613"/>
      <c r="Q31" s="614"/>
    </row>
    <row r="32" spans="1:17" x14ac:dyDescent="0.4">
      <c r="A32" s="601"/>
      <c r="B32" s="601" t="s">
        <v>355</v>
      </c>
      <c r="C32" s="602" t="s">
        <v>169</v>
      </c>
      <c r="D32" s="469">
        <v>5.86</v>
      </c>
      <c r="E32" s="536">
        <v>68725</v>
      </c>
      <c r="F32" s="603"/>
      <c r="G32" s="604"/>
      <c r="H32" s="605"/>
      <c r="I32" s="606"/>
      <c r="J32" s="607"/>
      <c r="K32" s="608"/>
      <c r="L32" s="609"/>
      <c r="M32" s="610"/>
      <c r="N32" s="611"/>
      <c r="O32" s="612"/>
      <c r="P32" s="613"/>
      <c r="Q32" s="614"/>
    </row>
    <row r="33" spans="1:17" x14ac:dyDescent="0.4">
      <c r="A33" s="601"/>
      <c r="B33" s="601" t="s">
        <v>356</v>
      </c>
      <c r="C33" s="602" t="s">
        <v>170</v>
      </c>
      <c r="D33" s="469">
        <v>3.25</v>
      </c>
      <c r="E33" s="536">
        <v>103345</v>
      </c>
      <c r="F33" s="603"/>
      <c r="G33" s="604"/>
      <c r="H33" s="605"/>
      <c r="I33" s="606"/>
      <c r="J33" s="607"/>
      <c r="K33" s="608"/>
      <c r="L33" s="609"/>
      <c r="M33" s="610"/>
      <c r="N33" s="611"/>
      <c r="O33" s="612"/>
      <c r="P33" s="613"/>
      <c r="Q33" s="614"/>
    </row>
    <row r="34" spans="1:17" x14ac:dyDescent="0.4">
      <c r="A34" s="601"/>
      <c r="B34" s="601" t="s">
        <v>357</v>
      </c>
      <c r="C34" s="602" t="s">
        <v>237</v>
      </c>
      <c r="D34" s="469">
        <v>0.05</v>
      </c>
      <c r="E34" s="536">
        <v>105981</v>
      </c>
      <c r="F34" s="603"/>
      <c r="G34" s="604"/>
      <c r="H34" s="605"/>
      <c r="I34" s="606"/>
      <c r="J34" s="607"/>
      <c r="K34" s="608"/>
      <c r="L34" s="609"/>
      <c r="M34" s="610"/>
      <c r="N34" s="611"/>
      <c r="O34" s="612"/>
      <c r="P34" s="613"/>
      <c r="Q34" s="614"/>
    </row>
    <row r="35" spans="1:17" x14ac:dyDescent="0.4">
      <c r="A35" s="601"/>
      <c r="B35" s="601" t="s">
        <v>358</v>
      </c>
      <c r="C35" s="602" t="s">
        <v>89</v>
      </c>
      <c r="D35" s="469">
        <v>3140.48</v>
      </c>
      <c r="E35" s="536">
        <v>60557</v>
      </c>
      <c r="F35" s="603"/>
      <c r="G35" s="604"/>
      <c r="H35" s="605"/>
      <c r="I35" s="606"/>
      <c r="J35" s="607"/>
      <c r="K35" s="608"/>
      <c r="L35" s="609"/>
      <c r="M35" s="610"/>
      <c r="N35" s="611"/>
      <c r="O35" s="612"/>
      <c r="P35" s="613"/>
      <c r="Q35" s="614"/>
    </row>
    <row r="36" spans="1:17" x14ac:dyDescent="0.4">
      <c r="A36" s="601"/>
      <c r="B36" s="601" t="s">
        <v>361</v>
      </c>
      <c r="C36" s="602" t="s">
        <v>92</v>
      </c>
      <c r="D36" s="469">
        <v>4847.62</v>
      </c>
      <c r="E36" s="536">
        <v>67291</v>
      </c>
      <c r="F36" s="603"/>
      <c r="G36" s="604"/>
      <c r="H36" s="605"/>
      <c r="I36" s="606"/>
      <c r="J36" s="607"/>
      <c r="K36" s="608"/>
      <c r="L36" s="609"/>
      <c r="M36" s="610"/>
      <c r="N36" s="611"/>
      <c r="O36" s="612"/>
      <c r="P36" s="613"/>
      <c r="Q36" s="614"/>
    </row>
    <row r="37" spans="1:17" x14ac:dyDescent="0.4">
      <c r="A37" s="601"/>
      <c r="B37" s="601" t="s">
        <v>362</v>
      </c>
      <c r="C37" s="602" t="s">
        <v>93</v>
      </c>
      <c r="D37" s="469">
        <v>0</v>
      </c>
      <c r="E37" s="536">
        <v>0</v>
      </c>
      <c r="F37" s="603"/>
      <c r="G37" s="604"/>
      <c r="H37" s="605"/>
      <c r="I37" s="606"/>
      <c r="J37" s="607"/>
      <c r="K37" s="608"/>
      <c r="L37" s="609"/>
      <c r="M37" s="610"/>
      <c r="N37" s="611"/>
      <c r="O37" s="612"/>
      <c r="P37" s="613"/>
      <c r="Q37" s="614"/>
    </row>
    <row r="38" spans="1:17" x14ac:dyDescent="0.4">
      <c r="A38" s="601"/>
      <c r="B38" s="601" t="s">
        <v>363</v>
      </c>
      <c r="C38" s="602" t="s">
        <v>94</v>
      </c>
      <c r="D38" s="469">
        <v>772.03</v>
      </c>
      <c r="E38" s="536">
        <v>88234</v>
      </c>
      <c r="F38" s="603"/>
      <c r="G38" s="604"/>
      <c r="H38" s="605"/>
      <c r="I38" s="606"/>
      <c r="J38" s="607"/>
      <c r="K38" s="608"/>
      <c r="L38" s="609"/>
      <c r="M38" s="610"/>
      <c r="N38" s="611"/>
      <c r="O38" s="612"/>
      <c r="P38" s="613"/>
      <c r="Q38" s="614"/>
    </row>
    <row r="39" spans="1:17" x14ac:dyDescent="0.4">
      <c r="A39" s="601"/>
      <c r="B39" s="601" t="s">
        <v>364</v>
      </c>
      <c r="C39" s="602" t="s">
        <v>95</v>
      </c>
      <c r="D39" s="469">
        <v>331.98</v>
      </c>
      <c r="E39" s="536">
        <v>71338</v>
      </c>
      <c r="F39" s="603"/>
      <c r="G39" s="604"/>
      <c r="H39" s="605"/>
      <c r="I39" s="606"/>
      <c r="J39" s="607"/>
      <c r="K39" s="608"/>
      <c r="L39" s="609"/>
      <c r="M39" s="610"/>
      <c r="N39" s="611"/>
      <c r="O39" s="612"/>
      <c r="P39" s="613"/>
      <c r="Q39" s="614"/>
    </row>
    <row r="40" spans="1:17" x14ac:dyDescent="0.4">
      <c r="A40" s="601"/>
      <c r="B40" s="601" t="s">
        <v>365</v>
      </c>
      <c r="C40" s="602" t="s">
        <v>96</v>
      </c>
      <c r="D40" s="469">
        <v>317.95999999999998</v>
      </c>
      <c r="E40" s="536">
        <v>84497</v>
      </c>
      <c r="F40" s="603"/>
      <c r="G40" s="604"/>
      <c r="H40" s="605"/>
      <c r="I40" s="606"/>
      <c r="J40" s="607"/>
      <c r="K40" s="608"/>
      <c r="L40" s="609"/>
      <c r="M40" s="610"/>
      <c r="N40" s="611"/>
      <c r="O40" s="612"/>
      <c r="P40" s="613"/>
      <c r="Q40" s="614"/>
    </row>
    <row r="41" spans="1:17" x14ac:dyDescent="0.4">
      <c r="A41" s="601"/>
      <c r="B41" s="601" t="s">
        <v>366</v>
      </c>
      <c r="C41" s="602" t="s">
        <v>88</v>
      </c>
      <c r="D41" s="469">
        <v>192.78</v>
      </c>
      <c r="E41" s="536">
        <v>143901</v>
      </c>
      <c r="F41" s="603"/>
      <c r="G41" s="604"/>
      <c r="H41" s="605"/>
      <c r="I41" s="606"/>
      <c r="J41" s="607"/>
      <c r="K41" s="608"/>
      <c r="L41" s="609"/>
      <c r="M41" s="610"/>
      <c r="N41" s="611"/>
      <c r="O41" s="612"/>
      <c r="P41" s="613"/>
      <c r="Q41" s="614"/>
    </row>
    <row r="42" spans="1:17" x14ac:dyDescent="0.4">
      <c r="A42" s="601"/>
      <c r="B42" s="601"/>
      <c r="C42" s="602"/>
      <c r="D42" s="469"/>
      <c r="E42" s="536"/>
      <c r="F42" s="617">
        <f>SUM(D6:D33)</f>
        <v>53154.32</v>
      </c>
      <c r="G42" s="618">
        <f>(SUMPRODUCT(D6:D33,E6:E33))</f>
        <v>5469351664.7399979</v>
      </c>
      <c r="H42" s="605">
        <f>SUM(D6:D13)</f>
        <v>3791.7000000000007</v>
      </c>
      <c r="I42" s="606">
        <f>(SUMPRODUCT(D6:D13,E6:E13))</f>
        <v>640223279.28999996</v>
      </c>
      <c r="J42" s="607">
        <f>SUM(D14:D28,D32:D33)</f>
        <v>49090.060000000005</v>
      </c>
      <c r="K42" s="608">
        <f>(SUMPRODUCT(D14:D28,E14:E28))+(SUMPRODUCT(D32:D33,E32:E33))</f>
        <v>4794091084.039999</v>
      </c>
      <c r="L42" s="609">
        <f>SUM(D29:D31)</f>
        <v>272.56</v>
      </c>
      <c r="M42" s="610">
        <f>(SUMPRODUCT(D29:D31,E29:E31))</f>
        <v>35037301.409999996</v>
      </c>
      <c r="N42" s="611">
        <f>+H42+J42+L42</f>
        <v>53154.320000000007</v>
      </c>
      <c r="O42" s="612">
        <f>+I42+K42+M42</f>
        <v>5469351664.7399988</v>
      </c>
      <c r="P42" s="613">
        <f>SUM(D34:D41)</f>
        <v>9602.9</v>
      </c>
      <c r="Q42" s="614">
        <f>(SUMPRODUCT(D34:D41,E34:E41))</f>
        <v>662794528.99000001</v>
      </c>
    </row>
    <row r="43" spans="1:17" x14ac:dyDescent="0.4">
      <c r="A43" s="601" t="s">
        <v>306</v>
      </c>
      <c r="B43" s="601" t="s">
        <v>435</v>
      </c>
      <c r="C43" s="602"/>
      <c r="D43" s="469"/>
      <c r="E43" s="536"/>
      <c r="F43" s="603"/>
      <c r="G43" s="604"/>
      <c r="H43" s="605"/>
      <c r="I43" s="606"/>
      <c r="J43" s="607"/>
      <c r="K43" s="608"/>
      <c r="L43" s="609"/>
      <c r="M43" s="610"/>
      <c r="N43" s="611"/>
      <c r="O43" s="612"/>
      <c r="P43" s="613"/>
      <c r="Q43" s="614"/>
    </row>
    <row r="44" spans="1:17" x14ac:dyDescent="0.4">
      <c r="A44" s="601"/>
      <c r="B44" s="601" t="s">
        <v>332</v>
      </c>
      <c r="C44" s="602" t="s">
        <v>112</v>
      </c>
      <c r="D44" s="469">
        <v>0.15</v>
      </c>
      <c r="E44" s="536">
        <v>172860</v>
      </c>
      <c r="F44" s="603"/>
      <c r="G44" s="604"/>
      <c r="H44" s="605"/>
      <c r="I44" s="606"/>
      <c r="J44" s="607"/>
      <c r="K44" s="608"/>
      <c r="L44" s="609"/>
      <c r="M44" s="610"/>
      <c r="N44" s="611"/>
      <c r="O44" s="612"/>
      <c r="P44" s="613"/>
      <c r="Q44" s="614"/>
    </row>
    <row r="45" spans="1:17" x14ac:dyDescent="0.4">
      <c r="A45" s="601"/>
      <c r="B45" s="601" t="s">
        <v>333</v>
      </c>
      <c r="C45" s="602" t="s">
        <v>113</v>
      </c>
      <c r="D45" s="469">
        <v>13.36</v>
      </c>
      <c r="E45" s="536">
        <v>170752</v>
      </c>
      <c r="F45" s="603"/>
      <c r="G45" s="604"/>
      <c r="H45" s="605"/>
      <c r="I45" s="606"/>
      <c r="J45" s="607"/>
      <c r="K45" s="608"/>
      <c r="L45" s="609"/>
      <c r="M45" s="610"/>
      <c r="N45" s="611"/>
      <c r="O45" s="612"/>
      <c r="P45" s="613"/>
      <c r="Q45" s="614"/>
    </row>
    <row r="46" spans="1:17" x14ac:dyDescent="0.4">
      <c r="A46" s="601"/>
      <c r="B46" s="601" t="s">
        <v>334</v>
      </c>
      <c r="C46" s="602" t="s">
        <v>120</v>
      </c>
      <c r="D46" s="469">
        <v>18.95</v>
      </c>
      <c r="E46" s="536">
        <v>166496</v>
      </c>
      <c r="F46" s="603"/>
      <c r="G46" s="604"/>
      <c r="H46" s="605"/>
      <c r="I46" s="606"/>
      <c r="J46" s="607"/>
      <c r="K46" s="608"/>
      <c r="L46" s="609"/>
      <c r="M46" s="610"/>
      <c r="N46" s="611"/>
      <c r="O46" s="612"/>
      <c r="P46" s="613"/>
      <c r="Q46" s="614"/>
    </row>
    <row r="47" spans="1:17" x14ac:dyDescent="0.4">
      <c r="A47" s="601"/>
      <c r="B47" s="601" t="s">
        <v>335</v>
      </c>
      <c r="C47" s="602" t="s">
        <v>130</v>
      </c>
      <c r="D47" s="469">
        <v>3.73</v>
      </c>
      <c r="E47" s="536">
        <v>151069</v>
      </c>
      <c r="F47" s="603"/>
      <c r="G47" s="604"/>
      <c r="H47" s="605"/>
      <c r="I47" s="606"/>
      <c r="J47" s="607"/>
      <c r="K47" s="608"/>
      <c r="L47" s="609"/>
      <c r="M47" s="610"/>
      <c r="N47" s="611"/>
      <c r="O47" s="612"/>
      <c r="P47" s="613"/>
      <c r="Q47" s="614"/>
    </row>
    <row r="48" spans="1:17" x14ac:dyDescent="0.4">
      <c r="A48" s="601"/>
      <c r="B48" s="601" t="s">
        <v>336</v>
      </c>
      <c r="C48" s="602" t="s">
        <v>121</v>
      </c>
      <c r="D48" s="469">
        <v>40.11</v>
      </c>
      <c r="E48" s="536">
        <v>172497</v>
      </c>
      <c r="F48" s="603"/>
      <c r="G48" s="604"/>
      <c r="H48" s="605"/>
      <c r="I48" s="606"/>
      <c r="J48" s="607"/>
      <c r="K48" s="608"/>
      <c r="L48" s="609"/>
      <c r="M48" s="610"/>
      <c r="N48" s="611"/>
      <c r="O48" s="612"/>
      <c r="P48" s="613"/>
      <c r="Q48" s="614"/>
    </row>
    <row r="49" spans="1:17" x14ac:dyDescent="0.4">
      <c r="A49" s="601"/>
      <c r="B49" s="601" t="s">
        <v>337</v>
      </c>
      <c r="C49" s="602" t="s">
        <v>129</v>
      </c>
      <c r="D49" s="469">
        <v>9.27</v>
      </c>
      <c r="E49" s="536">
        <v>164390</v>
      </c>
      <c r="F49" s="603"/>
      <c r="G49" s="604"/>
      <c r="H49" s="605"/>
      <c r="I49" s="606"/>
      <c r="J49" s="607"/>
      <c r="K49" s="608"/>
      <c r="L49" s="609"/>
      <c r="M49" s="610"/>
      <c r="N49" s="611"/>
      <c r="O49" s="612"/>
      <c r="P49" s="613"/>
      <c r="Q49" s="614"/>
    </row>
    <row r="50" spans="1:17" x14ac:dyDescent="0.4">
      <c r="A50" s="601"/>
      <c r="B50" s="601" t="s">
        <v>338</v>
      </c>
      <c r="C50" s="602" t="s">
        <v>114</v>
      </c>
      <c r="D50" s="469">
        <v>10.38</v>
      </c>
      <c r="E50" s="536">
        <v>149256</v>
      </c>
      <c r="F50" s="603"/>
      <c r="G50" s="604"/>
      <c r="H50" s="605"/>
      <c r="I50" s="606"/>
      <c r="J50" s="607"/>
      <c r="K50" s="608"/>
      <c r="L50" s="609"/>
      <c r="M50" s="610"/>
      <c r="N50" s="611"/>
      <c r="O50" s="612"/>
      <c r="P50" s="613"/>
      <c r="Q50" s="614"/>
    </row>
    <row r="51" spans="1:17" x14ac:dyDescent="0.4">
      <c r="A51" s="601"/>
      <c r="B51" s="601" t="s">
        <v>339</v>
      </c>
      <c r="C51" s="602" t="s">
        <v>407</v>
      </c>
      <c r="D51" s="469">
        <v>297.56</v>
      </c>
      <c r="E51" s="536">
        <v>99498</v>
      </c>
      <c r="F51" s="603"/>
      <c r="G51" s="604"/>
      <c r="H51" s="605"/>
      <c r="I51" s="606"/>
      <c r="J51" s="607"/>
      <c r="K51" s="608"/>
      <c r="L51" s="609"/>
      <c r="M51" s="610"/>
      <c r="N51" s="611"/>
      <c r="O51" s="612"/>
      <c r="P51" s="613"/>
      <c r="Q51" s="614"/>
    </row>
    <row r="52" spans="1:17" x14ac:dyDescent="0.4">
      <c r="A52" s="601"/>
      <c r="B52" s="601" t="s">
        <v>340</v>
      </c>
      <c r="C52" s="602" t="s">
        <v>115</v>
      </c>
      <c r="D52" s="469">
        <v>709.36</v>
      </c>
      <c r="E52" s="536">
        <v>100903</v>
      </c>
      <c r="F52" s="603"/>
      <c r="G52" s="604"/>
      <c r="H52" s="605"/>
      <c r="I52" s="606"/>
      <c r="J52" s="607"/>
      <c r="K52" s="608"/>
      <c r="L52" s="609"/>
      <c r="M52" s="610"/>
      <c r="N52" s="611"/>
      <c r="O52" s="612"/>
      <c r="P52" s="613"/>
      <c r="Q52" s="614"/>
    </row>
    <row r="53" spans="1:17" x14ac:dyDescent="0.4">
      <c r="A53" s="601"/>
      <c r="B53" s="601" t="s">
        <v>341</v>
      </c>
      <c r="C53" s="602" t="s">
        <v>116</v>
      </c>
      <c r="D53" s="469">
        <v>139.29</v>
      </c>
      <c r="E53" s="536">
        <v>98500</v>
      </c>
      <c r="F53" s="603"/>
      <c r="G53" s="604"/>
      <c r="H53" s="605"/>
      <c r="I53" s="606"/>
      <c r="J53" s="607"/>
      <c r="K53" s="608"/>
      <c r="L53" s="609"/>
      <c r="M53" s="610"/>
      <c r="N53" s="611"/>
      <c r="O53" s="612"/>
      <c r="P53" s="613"/>
      <c r="Q53" s="614"/>
    </row>
    <row r="54" spans="1:17" x14ac:dyDescent="0.4">
      <c r="A54" s="601"/>
      <c r="B54" s="601" t="s">
        <v>408</v>
      </c>
      <c r="C54" s="602" t="s">
        <v>409</v>
      </c>
      <c r="D54" s="469">
        <v>15.38</v>
      </c>
      <c r="E54" s="536">
        <v>100760</v>
      </c>
      <c r="F54" s="603"/>
      <c r="G54" s="604"/>
      <c r="H54" s="605"/>
      <c r="I54" s="606"/>
      <c r="J54" s="607"/>
      <c r="K54" s="608"/>
      <c r="L54" s="609"/>
      <c r="M54" s="610"/>
      <c r="N54" s="611"/>
      <c r="O54" s="612"/>
      <c r="P54" s="613"/>
      <c r="Q54" s="614"/>
    </row>
    <row r="55" spans="1:17" x14ac:dyDescent="0.4">
      <c r="A55" s="601"/>
      <c r="B55" s="601" t="s">
        <v>342</v>
      </c>
      <c r="C55" s="602" t="s">
        <v>117</v>
      </c>
      <c r="D55" s="469">
        <v>29.59</v>
      </c>
      <c r="E55" s="536">
        <v>104755</v>
      </c>
      <c r="F55" s="603"/>
      <c r="G55" s="604"/>
      <c r="H55" s="605"/>
      <c r="I55" s="606"/>
      <c r="J55" s="607"/>
      <c r="K55" s="608"/>
      <c r="L55" s="609"/>
      <c r="M55" s="610"/>
      <c r="N55" s="611"/>
      <c r="O55" s="612"/>
      <c r="P55" s="613"/>
      <c r="Q55" s="614"/>
    </row>
    <row r="56" spans="1:17" x14ac:dyDescent="0.4">
      <c r="A56" s="601"/>
      <c r="B56" s="601" t="s">
        <v>343</v>
      </c>
      <c r="C56" s="602" t="s">
        <v>128</v>
      </c>
      <c r="D56" s="469">
        <v>2.27</v>
      </c>
      <c r="E56" s="536">
        <v>91474</v>
      </c>
      <c r="F56" s="603"/>
      <c r="G56" s="604"/>
      <c r="H56" s="605"/>
      <c r="I56" s="606"/>
      <c r="J56" s="607"/>
      <c r="K56" s="608"/>
      <c r="L56" s="609"/>
      <c r="M56" s="610"/>
      <c r="N56" s="611"/>
      <c r="O56" s="612"/>
      <c r="P56" s="613"/>
      <c r="Q56" s="614"/>
    </row>
    <row r="57" spans="1:17" x14ac:dyDescent="0.4">
      <c r="A57" s="601"/>
      <c r="B57" s="601" t="s">
        <v>344</v>
      </c>
      <c r="C57" s="602" t="s">
        <v>122</v>
      </c>
      <c r="D57" s="469">
        <v>75.31</v>
      </c>
      <c r="E57" s="536">
        <v>96203</v>
      </c>
      <c r="F57" s="603"/>
      <c r="G57" s="604"/>
      <c r="H57" s="605"/>
      <c r="I57" s="606"/>
      <c r="J57" s="607"/>
      <c r="K57" s="608"/>
      <c r="L57" s="609"/>
      <c r="M57" s="610"/>
      <c r="N57" s="611"/>
      <c r="O57" s="612"/>
      <c r="P57" s="613"/>
      <c r="Q57" s="614"/>
    </row>
    <row r="58" spans="1:17" x14ac:dyDescent="0.4">
      <c r="A58" s="601"/>
      <c r="B58" s="601" t="s">
        <v>346</v>
      </c>
      <c r="C58" s="602" t="s">
        <v>124</v>
      </c>
      <c r="D58" s="469">
        <v>2.65</v>
      </c>
      <c r="E58" s="536">
        <v>85315</v>
      </c>
      <c r="F58" s="603"/>
      <c r="G58" s="604"/>
      <c r="H58" s="605"/>
      <c r="I58" s="606"/>
      <c r="J58" s="607"/>
      <c r="K58" s="608"/>
      <c r="L58" s="609"/>
      <c r="M58" s="610"/>
      <c r="N58" s="611"/>
      <c r="O58" s="612"/>
      <c r="P58" s="613"/>
      <c r="Q58" s="614"/>
    </row>
    <row r="59" spans="1:17" x14ac:dyDescent="0.4">
      <c r="A59" s="601"/>
      <c r="B59" s="601" t="s">
        <v>347</v>
      </c>
      <c r="C59" s="602" t="s">
        <v>235</v>
      </c>
      <c r="D59" s="469">
        <v>0.12</v>
      </c>
      <c r="E59" s="536">
        <v>104726</v>
      </c>
      <c r="F59" s="603"/>
      <c r="G59" s="604"/>
      <c r="H59" s="605"/>
      <c r="I59" s="606"/>
      <c r="J59" s="607"/>
      <c r="K59" s="608"/>
      <c r="L59" s="609"/>
      <c r="M59" s="610"/>
      <c r="N59" s="611"/>
      <c r="O59" s="612"/>
      <c r="P59" s="613"/>
      <c r="Q59" s="614"/>
    </row>
    <row r="60" spans="1:17" x14ac:dyDescent="0.4">
      <c r="A60" s="601"/>
      <c r="B60" s="601" t="s">
        <v>349</v>
      </c>
      <c r="C60" s="602" t="s">
        <v>126</v>
      </c>
      <c r="D60" s="469">
        <v>2.6</v>
      </c>
      <c r="E60" s="536">
        <v>77345</v>
      </c>
      <c r="F60" s="603"/>
      <c r="G60" s="604"/>
      <c r="H60" s="605"/>
      <c r="I60" s="606"/>
      <c r="J60" s="607"/>
      <c r="K60" s="608"/>
      <c r="L60" s="609"/>
      <c r="M60" s="610"/>
      <c r="N60" s="611"/>
      <c r="O60" s="612"/>
      <c r="P60" s="613"/>
      <c r="Q60" s="614"/>
    </row>
    <row r="61" spans="1:17" x14ac:dyDescent="0.4">
      <c r="A61" s="601"/>
      <c r="B61" s="601" t="s">
        <v>351</v>
      </c>
      <c r="C61" s="602" t="s">
        <v>427</v>
      </c>
      <c r="D61" s="469">
        <v>0</v>
      </c>
      <c r="E61" s="536">
        <v>0</v>
      </c>
      <c r="F61" s="603"/>
      <c r="G61" s="604"/>
      <c r="H61" s="605"/>
      <c r="I61" s="606"/>
      <c r="J61" s="607"/>
      <c r="K61" s="608"/>
      <c r="L61" s="609"/>
      <c r="M61" s="610"/>
      <c r="N61" s="611"/>
      <c r="O61" s="612"/>
      <c r="P61" s="613"/>
      <c r="Q61" s="614"/>
    </row>
    <row r="62" spans="1:17" x14ac:dyDescent="0.4">
      <c r="A62" s="601"/>
      <c r="B62" s="601" t="s">
        <v>353</v>
      </c>
      <c r="C62" s="602" t="s">
        <v>119</v>
      </c>
      <c r="D62" s="469">
        <v>1</v>
      </c>
      <c r="E62" s="536">
        <v>84724</v>
      </c>
      <c r="F62" s="603"/>
      <c r="G62" s="604"/>
      <c r="H62" s="605"/>
      <c r="I62" s="606"/>
      <c r="J62" s="607"/>
      <c r="K62" s="608"/>
      <c r="L62" s="609"/>
      <c r="M62" s="610"/>
      <c r="N62" s="611"/>
      <c r="O62" s="612"/>
      <c r="P62" s="613"/>
      <c r="Q62" s="614"/>
    </row>
    <row r="63" spans="1:17" x14ac:dyDescent="0.4">
      <c r="A63" s="601"/>
      <c r="B63" s="601" t="s">
        <v>354</v>
      </c>
      <c r="C63" s="602" t="s">
        <v>236</v>
      </c>
      <c r="D63" s="469">
        <v>1</v>
      </c>
      <c r="E63" s="536">
        <v>121675</v>
      </c>
      <c r="F63" s="603"/>
      <c r="G63" s="604"/>
      <c r="H63" s="605"/>
      <c r="I63" s="606"/>
      <c r="J63" s="607"/>
      <c r="K63" s="608"/>
      <c r="L63" s="609"/>
      <c r="M63" s="610"/>
      <c r="N63" s="611"/>
      <c r="O63" s="612"/>
      <c r="P63" s="613"/>
      <c r="Q63" s="614"/>
    </row>
    <row r="64" spans="1:17" x14ac:dyDescent="0.4">
      <c r="A64" s="601"/>
      <c r="B64" s="601" t="s">
        <v>355</v>
      </c>
      <c r="C64" s="602" t="s">
        <v>169</v>
      </c>
      <c r="D64" s="469">
        <v>196.85</v>
      </c>
      <c r="E64" s="536">
        <v>67090</v>
      </c>
      <c r="F64" s="603"/>
      <c r="G64" s="604"/>
      <c r="H64" s="605"/>
      <c r="I64" s="606"/>
      <c r="J64" s="607"/>
      <c r="K64" s="608"/>
      <c r="L64" s="609"/>
      <c r="M64" s="610"/>
      <c r="N64" s="611"/>
      <c r="O64" s="612"/>
      <c r="P64" s="613"/>
      <c r="Q64" s="614"/>
    </row>
    <row r="65" spans="1:17" x14ac:dyDescent="0.4">
      <c r="A65" s="601"/>
      <c r="B65" s="601" t="s">
        <v>356</v>
      </c>
      <c r="C65" s="602" t="s">
        <v>170</v>
      </c>
      <c r="D65" s="469">
        <v>5</v>
      </c>
      <c r="E65" s="536">
        <v>73171</v>
      </c>
      <c r="F65" s="603"/>
      <c r="G65" s="604"/>
      <c r="H65" s="605"/>
      <c r="I65" s="606"/>
      <c r="J65" s="607"/>
      <c r="K65" s="608"/>
      <c r="L65" s="609"/>
      <c r="M65" s="610"/>
      <c r="N65" s="611"/>
      <c r="O65" s="612"/>
      <c r="P65" s="613"/>
      <c r="Q65" s="614"/>
    </row>
    <row r="66" spans="1:17" x14ac:dyDescent="0.4">
      <c r="A66" s="601"/>
      <c r="B66" s="601" t="s">
        <v>357</v>
      </c>
      <c r="C66" s="602" t="s">
        <v>237</v>
      </c>
      <c r="D66" s="469">
        <v>0</v>
      </c>
      <c r="E66" s="536">
        <v>0</v>
      </c>
      <c r="F66" s="603"/>
      <c r="G66" s="604"/>
      <c r="H66" s="605"/>
      <c r="I66" s="606"/>
      <c r="J66" s="607"/>
      <c r="K66" s="608"/>
      <c r="L66" s="609"/>
      <c r="M66" s="610"/>
      <c r="N66" s="611"/>
      <c r="O66" s="612"/>
      <c r="P66" s="613"/>
      <c r="Q66" s="614"/>
    </row>
    <row r="67" spans="1:17" x14ac:dyDescent="0.4">
      <c r="A67" s="601"/>
      <c r="B67" s="601" t="s">
        <v>358</v>
      </c>
      <c r="C67" s="602" t="s">
        <v>89</v>
      </c>
      <c r="D67" s="469">
        <v>80.12</v>
      </c>
      <c r="E67" s="536">
        <v>56047</v>
      </c>
      <c r="F67" s="603"/>
      <c r="G67" s="604"/>
      <c r="H67" s="605"/>
      <c r="I67" s="606"/>
      <c r="J67" s="607"/>
      <c r="K67" s="608"/>
      <c r="L67" s="609"/>
      <c r="M67" s="610"/>
      <c r="N67" s="611"/>
      <c r="O67" s="612"/>
      <c r="P67" s="613"/>
      <c r="Q67" s="614"/>
    </row>
    <row r="68" spans="1:17" x14ac:dyDescent="0.4">
      <c r="A68" s="601"/>
      <c r="B68" s="601" t="s">
        <v>361</v>
      </c>
      <c r="C68" s="602" t="s">
        <v>92</v>
      </c>
      <c r="D68" s="469">
        <v>173.86</v>
      </c>
      <c r="E68" s="536">
        <v>64997</v>
      </c>
      <c r="F68" s="603"/>
      <c r="G68" s="604"/>
      <c r="H68" s="605"/>
      <c r="I68" s="606"/>
      <c r="J68" s="607"/>
      <c r="K68" s="608"/>
      <c r="L68" s="609"/>
      <c r="M68" s="610"/>
      <c r="N68" s="611"/>
      <c r="O68" s="612"/>
      <c r="P68" s="613"/>
      <c r="Q68" s="614"/>
    </row>
    <row r="69" spans="1:17" x14ac:dyDescent="0.4">
      <c r="A69" s="601"/>
      <c r="B69" s="601" t="s">
        <v>363</v>
      </c>
      <c r="C69" s="602" t="s">
        <v>94</v>
      </c>
      <c r="D69" s="469">
        <v>32.19</v>
      </c>
      <c r="E69" s="536">
        <v>75234</v>
      </c>
      <c r="F69" s="603"/>
      <c r="G69" s="604"/>
      <c r="H69" s="605"/>
      <c r="I69" s="606"/>
      <c r="J69" s="607"/>
      <c r="K69" s="608"/>
      <c r="L69" s="609"/>
      <c r="M69" s="610"/>
      <c r="N69" s="611"/>
      <c r="O69" s="612"/>
      <c r="P69" s="613"/>
      <c r="Q69" s="614"/>
    </row>
    <row r="70" spans="1:17" x14ac:dyDescent="0.4">
      <c r="A70" s="601"/>
      <c r="B70" s="601" t="s">
        <v>364</v>
      </c>
      <c r="C70" s="602" t="s">
        <v>95</v>
      </c>
      <c r="D70" s="469">
        <v>3.28</v>
      </c>
      <c r="E70" s="536">
        <v>69562</v>
      </c>
      <c r="F70" s="603"/>
      <c r="G70" s="604"/>
      <c r="H70" s="605"/>
      <c r="I70" s="606"/>
      <c r="J70" s="607"/>
      <c r="K70" s="608"/>
      <c r="L70" s="609"/>
      <c r="M70" s="610"/>
      <c r="N70" s="611"/>
      <c r="O70" s="612"/>
      <c r="P70" s="613"/>
      <c r="Q70" s="614"/>
    </row>
    <row r="71" spans="1:17" x14ac:dyDescent="0.4">
      <c r="A71" s="601"/>
      <c r="B71" s="601" t="s">
        <v>365</v>
      </c>
      <c r="C71" s="602" t="s">
        <v>96</v>
      </c>
      <c r="D71" s="469">
        <v>9.9700000000000006</v>
      </c>
      <c r="E71" s="536">
        <v>86562</v>
      </c>
      <c r="F71" s="603"/>
      <c r="G71" s="604"/>
      <c r="H71" s="605"/>
      <c r="I71" s="606"/>
      <c r="J71" s="607"/>
      <c r="K71" s="608"/>
      <c r="L71" s="609"/>
      <c r="M71" s="610"/>
      <c r="N71" s="611"/>
      <c r="O71" s="612"/>
      <c r="P71" s="613"/>
      <c r="Q71" s="614"/>
    </row>
    <row r="72" spans="1:17" x14ac:dyDescent="0.4">
      <c r="A72" s="601"/>
      <c r="B72" s="601" t="s">
        <v>366</v>
      </c>
      <c r="C72" s="602" t="s">
        <v>88</v>
      </c>
      <c r="D72" s="469">
        <v>0.85</v>
      </c>
      <c r="E72" s="536">
        <v>126358</v>
      </c>
      <c r="F72" s="603"/>
      <c r="G72" s="604"/>
      <c r="H72" s="605"/>
      <c r="I72" s="606"/>
      <c r="J72" s="607"/>
      <c r="K72" s="608"/>
      <c r="L72" s="609"/>
      <c r="M72" s="610"/>
      <c r="N72" s="611"/>
      <c r="O72" s="612"/>
      <c r="P72" s="613"/>
      <c r="Q72" s="614"/>
    </row>
    <row r="73" spans="1:17" x14ac:dyDescent="0.4">
      <c r="A73" s="557"/>
      <c r="B73" s="557"/>
      <c r="C73" s="557"/>
      <c r="D73" s="615"/>
      <c r="E73" s="616"/>
      <c r="F73" s="617">
        <f>SUM(D44:D65)</f>
        <v>1573.9299999999996</v>
      </c>
      <c r="G73" s="618">
        <f>(SUMPRODUCT(D44:D65,E44:E65))</f>
        <v>157241784.03</v>
      </c>
      <c r="H73" s="619">
        <f>SUM(D44:D50)</f>
        <v>95.949999999999989</v>
      </c>
      <c r="I73" s="620">
        <f>(SUMPRODUCT(D44:D50,E44:E50))</f>
        <v>16017789.540000001</v>
      </c>
      <c r="J73" s="621">
        <f>SUM(D51:D61,D64:D65)</f>
        <v>1475.9799999999998</v>
      </c>
      <c r="K73" s="622">
        <f>(SUMPRODUCT(D51:D61,E51:E61))+(SUMPRODUCT(D64:D65,E64:E65))</f>
        <v>141017595.49000001</v>
      </c>
      <c r="L73" s="609">
        <f>SUM(D62:D63)</f>
        <v>2</v>
      </c>
      <c r="M73" s="610">
        <f>(SUMPRODUCT(D62:D63,E62:E63))</f>
        <v>206399</v>
      </c>
      <c r="N73" s="625">
        <f>+H73+J73+L73</f>
        <v>1573.9299999999998</v>
      </c>
      <c r="O73" s="626">
        <f>+I73+K73+M73</f>
        <v>157241784.03</v>
      </c>
      <c r="P73" s="627">
        <f>SUM(D67:D72)</f>
        <v>300.27000000000004</v>
      </c>
      <c r="Q73" s="628">
        <f>(SUMPRODUCT(D66:D72,E66:E72))</f>
        <v>19411237.320000004</v>
      </c>
    </row>
    <row r="74" spans="1:17" x14ac:dyDescent="0.4">
      <c r="A74" s="601" t="s">
        <v>397</v>
      </c>
      <c r="B74" s="601" t="s">
        <v>399</v>
      </c>
      <c r="C74" s="602"/>
      <c r="D74" s="469"/>
      <c r="E74" s="536"/>
      <c r="F74" s="603"/>
      <c r="G74" s="604"/>
      <c r="H74" s="605"/>
      <c r="I74" s="606"/>
      <c r="J74" s="607"/>
      <c r="K74" s="608"/>
      <c r="L74" s="609"/>
      <c r="M74" s="610"/>
      <c r="N74" s="611"/>
      <c r="O74" s="612"/>
      <c r="P74" s="613"/>
      <c r="Q74" s="614"/>
    </row>
    <row r="75" spans="1:17" x14ac:dyDescent="0.4">
      <c r="A75" s="601"/>
      <c r="B75" s="601" t="s">
        <v>333</v>
      </c>
      <c r="C75" s="602" t="s">
        <v>113</v>
      </c>
      <c r="D75" s="469">
        <v>0.23</v>
      </c>
      <c r="E75" s="536">
        <v>223970</v>
      </c>
      <c r="F75" s="603"/>
      <c r="G75" s="604"/>
      <c r="H75" s="605"/>
      <c r="I75" s="606"/>
      <c r="J75" s="607"/>
      <c r="K75" s="608"/>
      <c r="L75" s="609"/>
      <c r="M75" s="610"/>
      <c r="N75" s="611"/>
      <c r="O75" s="612"/>
      <c r="P75" s="613"/>
      <c r="Q75" s="614"/>
    </row>
    <row r="76" spans="1:17" x14ac:dyDescent="0.4">
      <c r="A76" s="601"/>
      <c r="B76" s="601" t="s">
        <v>336</v>
      </c>
      <c r="C76" s="602" t="s">
        <v>121</v>
      </c>
      <c r="D76" s="469">
        <v>5.47</v>
      </c>
      <c r="E76" s="536">
        <v>184653</v>
      </c>
      <c r="F76" s="603"/>
      <c r="G76" s="604"/>
      <c r="H76" s="605"/>
      <c r="I76" s="606"/>
      <c r="J76" s="607"/>
      <c r="K76" s="608"/>
      <c r="L76" s="609"/>
      <c r="M76" s="610"/>
      <c r="N76" s="611"/>
      <c r="O76" s="612"/>
      <c r="P76" s="613"/>
      <c r="Q76" s="614"/>
    </row>
    <row r="77" spans="1:17" x14ac:dyDescent="0.4">
      <c r="A77" s="601"/>
      <c r="B77" s="601" t="s">
        <v>337</v>
      </c>
      <c r="C77" s="602" t="s">
        <v>129</v>
      </c>
      <c r="D77" s="469">
        <v>0.33</v>
      </c>
      <c r="E77" s="536">
        <v>164482</v>
      </c>
      <c r="F77" s="603"/>
      <c r="G77" s="604"/>
      <c r="H77" s="605"/>
      <c r="I77" s="606"/>
      <c r="J77" s="607"/>
      <c r="K77" s="608"/>
      <c r="L77" s="609"/>
      <c r="M77" s="610"/>
      <c r="N77" s="611"/>
      <c r="O77" s="612"/>
      <c r="P77" s="613"/>
      <c r="Q77" s="614"/>
    </row>
    <row r="78" spans="1:17" x14ac:dyDescent="0.4">
      <c r="A78" s="601"/>
      <c r="B78" s="601" t="s">
        <v>338</v>
      </c>
      <c r="C78" s="602" t="s">
        <v>114</v>
      </c>
      <c r="D78" s="469">
        <v>1.25</v>
      </c>
      <c r="E78" s="536">
        <v>119586</v>
      </c>
      <c r="F78" s="603"/>
      <c r="G78" s="604"/>
      <c r="H78" s="605"/>
      <c r="I78" s="606"/>
      <c r="J78" s="607"/>
      <c r="K78" s="608"/>
      <c r="L78" s="609"/>
      <c r="M78" s="610"/>
      <c r="N78" s="611"/>
      <c r="O78" s="612"/>
      <c r="P78" s="613"/>
      <c r="Q78" s="614"/>
    </row>
    <row r="79" spans="1:17" x14ac:dyDescent="0.4">
      <c r="A79" s="601"/>
      <c r="B79" s="601" t="s">
        <v>340</v>
      </c>
      <c r="C79" s="602" t="s">
        <v>115</v>
      </c>
      <c r="D79" s="469">
        <v>49.77</v>
      </c>
      <c r="E79" s="536">
        <v>97779</v>
      </c>
      <c r="F79" s="603"/>
      <c r="G79" s="604"/>
      <c r="H79" s="605"/>
      <c r="I79" s="606"/>
      <c r="J79" s="607"/>
      <c r="K79" s="608"/>
      <c r="L79" s="609"/>
      <c r="M79" s="610"/>
      <c r="N79" s="611"/>
      <c r="O79" s="612"/>
      <c r="P79" s="613"/>
      <c r="Q79" s="614"/>
    </row>
    <row r="80" spans="1:17" x14ac:dyDescent="0.4">
      <c r="A80" s="601"/>
      <c r="B80" s="601" t="s">
        <v>341</v>
      </c>
      <c r="C80" s="602" t="s">
        <v>116</v>
      </c>
      <c r="D80" s="469">
        <v>4.12</v>
      </c>
      <c r="E80" s="536">
        <v>77170</v>
      </c>
      <c r="F80" s="603"/>
      <c r="G80" s="604"/>
      <c r="H80" s="605"/>
      <c r="I80" s="606"/>
      <c r="J80" s="607"/>
      <c r="K80" s="608"/>
      <c r="L80" s="609"/>
      <c r="M80" s="610"/>
      <c r="N80" s="611"/>
      <c r="O80" s="612"/>
      <c r="P80" s="613"/>
      <c r="Q80" s="614"/>
    </row>
    <row r="81" spans="1:17" x14ac:dyDescent="0.4">
      <c r="A81" s="601"/>
      <c r="B81" s="601" t="s">
        <v>342</v>
      </c>
      <c r="C81" s="602" t="s">
        <v>117</v>
      </c>
      <c r="D81" s="469">
        <v>0.99</v>
      </c>
      <c r="E81" s="536">
        <v>101499</v>
      </c>
      <c r="F81" s="603"/>
      <c r="G81" s="604"/>
      <c r="H81" s="605"/>
      <c r="I81" s="606"/>
      <c r="J81" s="607"/>
      <c r="K81" s="608"/>
      <c r="L81" s="609"/>
      <c r="M81" s="610"/>
      <c r="N81" s="611"/>
      <c r="O81" s="612"/>
      <c r="P81" s="613"/>
      <c r="Q81" s="614"/>
    </row>
    <row r="82" spans="1:17" x14ac:dyDescent="0.4">
      <c r="A82" s="601"/>
      <c r="B82" s="601" t="s">
        <v>344</v>
      </c>
      <c r="C82" s="602" t="s">
        <v>122</v>
      </c>
      <c r="D82" s="469">
        <v>4.34</v>
      </c>
      <c r="E82" s="536">
        <v>101423</v>
      </c>
      <c r="F82" s="603"/>
      <c r="G82" s="604"/>
      <c r="H82" s="605"/>
      <c r="I82" s="606"/>
      <c r="J82" s="607"/>
      <c r="K82" s="608"/>
      <c r="L82" s="609"/>
      <c r="M82" s="610"/>
      <c r="N82" s="611"/>
      <c r="O82" s="612"/>
      <c r="P82" s="613"/>
      <c r="Q82" s="614"/>
    </row>
    <row r="83" spans="1:17" x14ac:dyDescent="0.4">
      <c r="A83" s="601"/>
      <c r="B83" s="601" t="s">
        <v>346</v>
      </c>
      <c r="C83" s="602" t="s">
        <v>124</v>
      </c>
      <c r="D83" s="469">
        <v>2.57</v>
      </c>
      <c r="E83" s="536">
        <v>88725</v>
      </c>
      <c r="F83" s="603"/>
      <c r="G83" s="604"/>
      <c r="H83" s="605"/>
      <c r="I83" s="606"/>
      <c r="J83" s="607"/>
      <c r="K83" s="608"/>
      <c r="L83" s="609"/>
      <c r="M83" s="610"/>
      <c r="N83" s="611"/>
      <c r="O83" s="612"/>
      <c r="P83" s="613"/>
      <c r="Q83" s="614"/>
    </row>
    <row r="84" spans="1:17" x14ac:dyDescent="0.4">
      <c r="A84" s="601"/>
      <c r="B84" s="601" t="s">
        <v>355</v>
      </c>
      <c r="C84" s="602" t="s">
        <v>169</v>
      </c>
      <c r="D84" s="469">
        <v>6</v>
      </c>
      <c r="E84" s="536">
        <v>70470</v>
      </c>
      <c r="F84" s="603"/>
      <c r="G84" s="604"/>
      <c r="H84" s="605"/>
      <c r="I84" s="606"/>
      <c r="J84" s="607"/>
      <c r="K84" s="608"/>
      <c r="L84" s="609"/>
      <c r="M84" s="610"/>
      <c r="N84" s="611"/>
      <c r="O84" s="612"/>
      <c r="P84" s="613"/>
      <c r="Q84" s="614"/>
    </row>
    <row r="85" spans="1:17" x14ac:dyDescent="0.4">
      <c r="A85" s="601"/>
      <c r="B85" s="601" t="s">
        <v>356</v>
      </c>
      <c r="C85" s="602" t="s">
        <v>170</v>
      </c>
      <c r="D85" s="469">
        <v>2</v>
      </c>
      <c r="E85" s="536">
        <v>65189</v>
      </c>
      <c r="F85" s="603"/>
      <c r="G85" s="604"/>
      <c r="H85" s="605"/>
      <c r="I85" s="606"/>
      <c r="J85" s="607"/>
      <c r="K85" s="608"/>
      <c r="L85" s="609"/>
      <c r="M85" s="610"/>
      <c r="N85" s="611"/>
      <c r="O85" s="612"/>
      <c r="P85" s="613"/>
      <c r="Q85" s="614"/>
    </row>
    <row r="86" spans="1:17" x14ac:dyDescent="0.4">
      <c r="A86" s="601"/>
      <c r="B86" s="601" t="s">
        <v>358</v>
      </c>
      <c r="C86" s="602" t="s">
        <v>89</v>
      </c>
      <c r="D86" s="469">
        <v>13.69</v>
      </c>
      <c r="E86" s="536">
        <v>68099</v>
      </c>
      <c r="F86" s="603"/>
      <c r="G86" s="604"/>
      <c r="H86" s="605"/>
      <c r="I86" s="606"/>
      <c r="J86" s="607"/>
      <c r="K86" s="608"/>
      <c r="L86" s="609"/>
      <c r="M86" s="610"/>
      <c r="N86" s="611"/>
      <c r="O86" s="612"/>
      <c r="P86" s="613"/>
      <c r="Q86" s="614"/>
    </row>
    <row r="87" spans="1:17" x14ac:dyDescent="0.4">
      <c r="A87" s="601"/>
      <c r="B87" s="601" t="s">
        <v>361</v>
      </c>
      <c r="C87" s="602" t="s">
        <v>92</v>
      </c>
      <c r="D87" s="469">
        <v>11.57</v>
      </c>
      <c r="E87" s="536">
        <v>67811</v>
      </c>
      <c r="F87" s="603"/>
      <c r="G87" s="604"/>
      <c r="H87" s="605"/>
      <c r="I87" s="606"/>
      <c r="J87" s="607"/>
      <c r="K87" s="608"/>
      <c r="L87" s="609"/>
      <c r="M87" s="610"/>
      <c r="N87" s="611"/>
      <c r="O87" s="612"/>
      <c r="P87" s="613"/>
      <c r="Q87" s="614"/>
    </row>
    <row r="88" spans="1:17" x14ac:dyDescent="0.4">
      <c r="A88" s="601"/>
      <c r="B88" s="601" t="s">
        <v>363</v>
      </c>
      <c r="C88" s="602" t="s">
        <v>94</v>
      </c>
      <c r="D88" s="469">
        <v>0.7</v>
      </c>
      <c r="E88" s="536">
        <v>89807</v>
      </c>
      <c r="F88" s="603"/>
      <c r="G88" s="604"/>
      <c r="H88" s="605"/>
      <c r="I88" s="606"/>
      <c r="J88" s="607"/>
      <c r="K88" s="608"/>
      <c r="L88" s="609"/>
      <c r="M88" s="610"/>
      <c r="N88" s="611"/>
      <c r="O88" s="612"/>
      <c r="P88" s="613"/>
      <c r="Q88" s="614"/>
    </row>
    <row r="89" spans="1:17" x14ac:dyDescent="0.4">
      <c r="A89" s="601"/>
      <c r="B89" s="601" t="s">
        <v>364</v>
      </c>
      <c r="C89" s="602" t="s">
        <v>95</v>
      </c>
      <c r="D89" s="469">
        <v>0.75</v>
      </c>
      <c r="E89" s="536">
        <v>64340</v>
      </c>
      <c r="F89" s="603"/>
      <c r="G89" s="604"/>
      <c r="H89" s="605"/>
      <c r="I89" s="606"/>
      <c r="J89" s="607"/>
      <c r="K89" s="608"/>
      <c r="L89" s="609"/>
      <c r="M89" s="610"/>
      <c r="N89" s="611"/>
      <c r="O89" s="612"/>
      <c r="P89" s="613"/>
      <c r="Q89" s="614"/>
    </row>
    <row r="90" spans="1:17" x14ac:dyDescent="0.4">
      <c r="A90" s="601"/>
      <c r="B90" s="601" t="s">
        <v>365</v>
      </c>
      <c r="C90" s="602" t="s">
        <v>96</v>
      </c>
      <c r="D90" s="469">
        <v>7.2</v>
      </c>
      <c r="E90" s="536">
        <v>80644</v>
      </c>
      <c r="F90" s="603"/>
      <c r="G90" s="604"/>
      <c r="H90" s="605"/>
      <c r="I90" s="606"/>
      <c r="J90" s="607"/>
      <c r="K90" s="608"/>
      <c r="L90" s="609"/>
      <c r="M90" s="610"/>
      <c r="N90" s="611"/>
      <c r="O90" s="612"/>
      <c r="P90" s="613"/>
      <c r="Q90" s="614"/>
    </row>
    <row r="91" spans="1:17" x14ac:dyDescent="0.4">
      <c r="A91" s="557"/>
      <c r="B91" s="557"/>
      <c r="C91" s="557"/>
      <c r="D91" s="615"/>
      <c r="E91" s="616"/>
      <c r="F91" s="617">
        <f>SUM(D75:D85)</f>
        <v>77.069999999999993</v>
      </c>
      <c r="G91" s="618">
        <f>(SUMPRODUCT(D75:D85,E75:E85))</f>
        <v>7771608.8800000008</v>
      </c>
      <c r="H91" s="619">
        <f>SUM(D75:D78)</f>
        <v>7.28</v>
      </c>
      <c r="I91" s="620">
        <f>(SUMPRODUCT(D75:D78,E75:E78))</f>
        <v>1265326.57</v>
      </c>
      <c r="J91" s="621">
        <f>SUM(D79:D85)</f>
        <v>69.789999999999992</v>
      </c>
      <c r="K91" s="622">
        <f>(SUMPRODUCT(D79:D85,E79:E85))</f>
        <v>6506282.3100000005</v>
      </c>
      <c r="L91" s="623"/>
      <c r="M91" s="624"/>
      <c r="N91" s="625">
        <f>+H91+J91+L91</f>
        <v>77.069999999999993</v>
      </c>
      <c r="O91" s="626">
        <f>+I91+K91+M91</f>
        <v>7771608.8800000008</v>
      </c>
      <c r="P91" s="627">
        <f>SUM(D86:D90)</f>
        <v>33.909999999999997</v>
      </c>
      <c r="Q91" s="628">
        <f>(SUMPRODUCT(D86:D90,E86:E90))</f>
        <v>2408605.2800000003</v>
      </c>
    </row>
    <row r="92" spans="1:17" x14ac:dyDescent="0.4">
      <c r="A92" s="601" t="s">
        <v>496</v>
      </c>
      <c r="B92" s="601" t="s">
        <v>497</v>
      </c>
      <c r="C92" s="602"/>
      <c r="D92" s="469"/>
      <c r="E92" s="536"/>
      <c r="F92" s="603"/>
      <c r="G92" s="604"/>
      <c r="H92" s="605"/>
      <c r="I92" s="606"/>
      <c r="J92" s="607"/>
      <c r="K92" s="608"/>
      <c r="L92" s="609"/>
      <c r="M92" s="610"/>
      <c r="N92" s="611"/>
      <c r="O92" s="612"/>
      <c r="P92" s="613"/>
      <c r="Q92" s="614"/>
    </row>
    <row r="93" spans="1:17" x14ac:dyDescent="0.4">
      <c r="A93" s="601"/>
      <c r="B93" s="601" t="s">
        <v>333</v>
      </c>
      <c r="C93" s="602" t="s">
        <v>113</v>
      </c>
      <c r="D93" s="469">
        <v>1.1200000000000001</v>
      </c>
      <c r="E93" s="536">
        <v>209903</v>
      </c>
      <c r="F93" s="603"/>
      <c r="G93" s="604"/>
      <c r="H93" s="605"/>
      <c r="I93" s="606"/>
      <c r="J93" s="607"/>
      <c r="K93" s="608"/>
      <c r="L93" s="609"/>
      <c r="M93" s="610"/>
      <c r="N93" s="611"/>
      <c r="O93" s="612"/>
      <c r="P93" s="613"/>
      <c r="Q93" s="614"/>
    </row>
    <row r="94" spans="1:17" x14ac:dyDescent="0.4">
      <c r="A94" s="601"/>
      <c r="B94" s="601" t="s">
        <v>334</v>
      </c>
      <c r="C94" s="602" t="s">
        <v>120</v>
      </c>
      <c r="D94" s="469">
        <v>5.08</v>
      </c>
      <c r="E94" s="536">
        <v>156071</v>
      </c>
      <c r="F94" s="603"/>
      <c r="G94" s="604"/>
      <c r="H94" s="605"/>
      <c r="I94" s="606"/>
      <c r="J94" s="607"/>
      <c r="K94" s="608"/>
      <c r="L94" s="609"/>
      <c r="M94" s="610"/>
      <c r="N94" s="611"/>
      <c r="O94" s="612"/>
      <c r="P94" s="613"/>
      <c r="Q94" s="614"/>
    </row>
    <row r="95" spans="1:17" x14ac:dyDescent="0.4">
      <c r="A95" s="601"/>
      <c r="B95" s="601" t="s">
        <v>335</v>
      </c>
      <c r="C95" s="602" t="s">
        <v>130</v>
      </c>
      <c r="D95" s="469">
        <v>0.32</v>
      </c>
      <c r="E95" s="536">
        <v>141694</v>
      </c>
      <c r="F95" s="603"/>
      <c r="G95" s="604"/>
      <c r="H95" s="605"/>
      <c r="I95" s="606"/>
      <c r="J95" s="607"/>
      <c r="K95" s="608"/>
      <c r="L95" s="609"/>
      <c r="M95" s="610"/>
      <c r="N95" s="611"/>
      <c r="O95" s="612"/>
      <c r="P95" s="613"/>
      <c r="Q95" s="614"/>
    </row>
    <row r="96" spans="1:17" x14ac:dyDescent="0.4">
      <c r="A96" s="601"/>
      <c r="B96" s="601" t="s">
        <v>338</v>
      </c>
      <c r="C96" s="602" t="s">
        <v>114</v>
      </c>
      <c r="D96" s="469">
        <v>1.32</v>
      </c>
      <c r="E96" s="536">
        <v>145489</v>
      </c>
      <c r="F96" s="603"/>
      <c r="G96" s="604"/>
      <c r="H96" s="605"/>
      <c r="I96" s="606"/>
      <c r="J96" s="607"/>
      <c r="K96" s="608"/>
      <c r="L96" s="609"/>
      <c r="M96" s="610"/>
      <c r="N96" s="611"/>
      <c r="O96" s="612"/>
      <c r="P96" s="613"/>
      <c r="Q96" s="614"/>
    </row>
    <row r="97" spans="1:17" x14ac:dyDescent="0.4">
      <c r="A97" s="601"/>
      <c r="B97" s="601" t="s">
        <v>339</v>
      </c>
      <c r="C97" s="602" t="s">
        <v>407</v>
      </c>
      <c r="D97" s="469">
        <v>371.34</v>
      </c>
      <c r="E97" s="536">
        <v>88608</v>
      </c>
      <c r="F97" s="603"/>
      <c r="G97" s="604"/>
      <c r="H97" s="605"/>
      <c r="I97" s="606"/>
      <c r="J97" s="607"/>
      <c r="K97" s="608"/>
      <c r="L97" s="609"/>
      <c r="M97" s="610"/>
      <c r="N97" s="611"/>
      <c r="O97" s="612"/>
      <c r="P97" s="613"/>
      <c r="Q97" s="614"/>
    </row>
    <row r="98" spans="1:17" x14ac:dyDescent="0.4">
      <c r="A98" s="601"/>
      <c r="B98" s="601" t="s">
        <v>340</v>
      </c>
      <c r="C98" s="602" t="s">
        <v>115</v>
      </c>
      <c r="D98" s="469">
        <v>1</v>
      </c>
      <c r="E98" s="536">
        <v>80119</v>
      </c>
      <c r="F98" s="603"/>
      <c r="G98" s="604"/>
      <c r="H98" s="605"/>
      <c r="I98" s="606"/>
      <c r="J98" s="607"/>
      <c r="K98" s="608"/>
      <c r="L98" s="609"/>
      <c r="M98" s="610"/>
      <c r="N98" s="611"/>
      <c r="O98" s="612"/>
      <c r="P98" s="613"/>
      <c r="Q98" s="614"/>
    </row>
    <row r="99" spans="1:17" x14ac:dyDescent="0.4">
      <c r="A99" s="601"/>
      <c r="B99" s="601" t="s">
        <v>341</v>
      </c>
      <c r="C99" s="602" t="s">
        <v>116</v>
      </c>
      <c r="D99" s="469">
        <v>48.19</v>
      </c>
      <c r="E99" s="536">
        <v>84542</v>
      </c>
      <c r="F99" s="603"/>
      <c r="G99" s="604"/>
      <c r="H99" s="605"/>
      <c r="I99" s="606"/>
      <c r="J99" s="607"/>
      <c r="K99" s="608"/>
      <c r="L99" s="609"/>
      <c r="M99" s="610"/>
      <c r="N99" s="611"/>
      <c r="O99" s="612"/>
      <c r="P99" s="613"/>
      <c r="Q99" s="614"/>
    </row>
    <row r="100" spans="1:17" x14ac:dyDescent="0.4">
      <c r="A100" s="601"/>
      <c r="B100" s="601" t="s">
        <v>408</v>
      </c>
      <c r="C100" s="602" t="s">
        <v>409</v>
      </c>
      <c r="D100" s="469">
        <v>26.3</v>
      </c>
      <c r="E100" s="536">
        <v>101654</v>
      </c>
      <c r="F100" s="603"/>
      <c r="G100" s="604"/>
      <c r="H100" s="605"/>
      <c r="I100" s="606"/>
      <c r="J100" s="607"/>
      <c r="K100" s="608"/>
      <c r="L100" s="609"/>
      <c r="M100" s="610"/>
      <c r="N100" s="611"/>
      <c r="O100" s="612"/>
      <c r="P100" s="613"/>
      <c r="Q100" s="614"/>
    </row>
    <row r="101" spans="1:17" x14ac:dyDescent="0.4">
      <c r="A101" s="601"/>
      <c r="B101" s="601" t="s">
        <v>342</v>
      </c>
      <c r="C101" s="602" t="s">
        <v>117</v>
      </c>
      <c r="D101" s="469">
        <v>1.25</v>
      </c>
      <c r="E101" s="536">
        <v>106911</v>
      </c>
      <c r="F101" s="603"/>
      <c r="G101" s="604"/>
      <c r="H101" s="605"/>
      <c r="I101" s="606"/>
      <c r="J101" s="607"/>
      <c r="K101" s="608"/>
      <c r="L101" s="609"/>
      <c r="M101" s="610"/>
      <c r="N101" s="611"/>
      <c r="O101" s="612"/>
      <c r="P101" s="613"/>
      <c r="Q101" s="614"/>
    </row>
    <row r="102" spans="1:17" x14ac:dyDescent="0.4">
      <c r="A102" s="601"/>
      <c r="B102" s="601" t="s">
        <v>344</v>
      </c>
      <c r="C102" s="602" t="s">
        <v>122</v>
      </c>
      <c r="D102" s="469">
        <v>1.1000000000000001</v>
      </c>
      <c r="E102" s="536">
        <v>79891</v>
      </c>
      <c r="F102" s="603"/>
      <c r="G102" s="604"/>
      <c r="H102" s="605"/>
      <c r="I102" s="606"/>
      <c r="J102" s="607"/>
      <c r="K102" s="608"/>
      <c r="L102" s="609"/>
      <c r="M102" s="610"/>
      <c r="N102" s="611"/>
      <c r="O102" s="612"/>
      <c r="P102" s="613"/>
      <c r="Q102" s="614"/>
    </row>
    <row r="103" spans="1:17" x14ac:dyDescent="0.4">
      <c r="A103" s="601"/>
      <c r="B103" s="601" t="s">
        <v>346</v>
      </c>
      <c r="C103" s="602" t="s">
        <v>124</v>
      </c>
      <c r="D103" s="469">
        <v>0.5</v>
      </c>
      <c r="E103" s="536">
        <v>115816</v>
      </c>
      <c r="F103" s="603"/>
      <c r="G103" s="604"/>
      <c r="H103" s="605"/>
      <c r="I103" s="606"/>
      <c r="J103" s="607"/>
      <c r="K103" s="608"/>
      <c r="L103" s="609"/>
      <c r="M103" s="610"/>
      <c r="N103" s="611"/>
      <c r="O103" s="612"/>
      <c r="P103" s="613"/>
      <c r="Q103" s="614"/>
    </row>
    <row r="104" spans="1:17" x14ac:dyDescent="0.4">
      <c r="A104" s="601"/>
      <c r="B104" s="601" t="s">
        <v>347</v>
      </c>
      <c r="C104" s="602" t="s">
        <v>235</v>
      </c>
      <c r="D104" s="469">
        <v>0.5</v>
      </c>
      <c r="E104" s="536">
        <v>96948</v>
      </c>
      <c r="F104" s="603"/>
      <c r="G104" s="604"/>
      <c r="H104" s="605"/>
      <c r="I104" s="606"/>
      <c r="J104" s="607"/>
      <c r="K104" s="608"/>
      <c r="L104" s="609"/>
      <c r="M104" s="610"/>
      <c r="N104" s="611"/>
      <c r="O104" s="612"/>
      <c r="P104" s="613"/>
      <c r="Q104" s="614"/>
    </row>
    <row r="105" spans="1:17" x14ac:dyDescent="0.4">
      <c r="A105" s="601"/>
      <c r="B105" s="601" t="s">
        <v>348</v>
      </c>
      <c r="C105" s="602" t="s">
        <v>125</v>
      </c>
      <c r="D105" s="469">
        <v>0.14000000000000001</v>
      </c>
      <c r="E105" s="536">
        <v>105993</v>
      </c>
      <c r="F105" s="603"/>
      <c r="G105" s="604"/>
      <c r="H105" s="605"/>
      <c r="I105" s="606"/>
      <c r="J105" s="607"/>
      <c r="K105" s="608"/>
      <c r="L105" s="609"/>
      <c r="M105" s="610"/>
      <c r="N105" s="611"/>
      <c r="O105" s="612"/>
      <c r="P105" s="613"/>
      <c r="Q105" s="614"/>
    </row>
    <row r="106" spans="1:17" x14ac:dyDescent="0.4">
      <c r="A106" s="601"/>
      <c r="B106" s="601" t="s">
        <v>349</v>
      </c>
      <c r="C106" s="602" t="s">
        <v>126</v>
      </c>
      <c r="D106" s="469">
        <v>0.32</v>
      </c>
      <c r="E106" s="536">
        <v>66551</v>
      </c>
      <c r="F106" s="603"/>
      <c r="G106" s="604"/>
      <c r="H106" s="605"/>
      <c r="I106" s="606"/>
      <c r="J106" s="607"/>
      <c r="K106" s="608"/>
      <c r="L106" s="609"/>
      <c r="M106" s="610"/>
      <c r="N106" s="611"/>
      <c r="O106" s="612"/>
      <c r="P106" s="613"/>
      <c r="Q106" s="614"/>
    </row>
    <row r="107" spans="1:17" x14ac:dyDescent="0.4">
      <c r="A107" s="601"/>
      <c r="B107" s="601" t="s">
        <v>356</v>
      </c>
      <c r="C107" s="602" t="s">
        <v>170</v>
      </c>
      <c r="D107" s="469">
        <v>0.36</v>
      </c>
      <c r="E107" s="536">
        <v>131625</v>
      </c>
      <c r="F107" s="603"/>
      <c r="G107" s="604"/>
      <c r="H107" s="605"/>
      <c r="I107" s="606"/>
      <c r="J107" s="607"/>
      <c r="K107" s="608"/>
      <c r="L107" s="609"/>
      <c r="M107" s="610"/>
      <c r="N107" s="611"/>
      <c r="O107" s="612"/>
      <c r="P107" s="613"/>
      <c r="Q107" s="614"/>
    </row>
    <row r="108" spans="1:17" x14ac:dyDescent="0.4">
      <c r="A108" s="601"/>
      <c r="B108" s="601" t="s">
        <v>358</v>
      </c>
      <c r="C108" s="602" t="s">
        <v>89</v>
      </c>
      <c r="D108" s="469">
        <v>213.19</v>
      </c>
      <c r="E108" s="536">
        <v>52676</v>
      </c>
      <c r="F108" s="603"/>
      <c r="G108" s="604"/>
      <c r="H108" s="605"/>
      <c r="I108" s="606"/>
      <c r="J108" s="607"/>
      <c r="K108" s="608"/>
      <c r="L108" s="609"/>
      <c r="M108" s="610"/>
      <c r="N108" s="611"/>
      <c r="O108" s="612"/>
      <c r="P108" s="613"/>
      <c r="Q108" s="614"/>
    </row>
    <row r="109" spans="1:17" x14ac:dyDescent="0.4">
      <c r="A109" s="601"/>
      <c r="B109" s="601" t="s">
        <v>361</v>
      </c>
      <c r="C109" s="602" t="s">
        <v>92</v>
      </c>
      <c r="D109" s="469">
        <v>7.2</v>
      </c>
      <c r="E109" s="536">
        <v>62989</v>
      </c>
      <c r="F109" s="603"/>
      <c r="G109" s="604"/>
      <c r="H109" s="605"/>
      <c r="I109" s="606"/>
      <c r="J109" s="607"/>
      <c r="K109" s="608"/>
      <c r="L109" s="609"/>
      <c r="M109" s="610"/>
      <c r="N109" s="611"/>
      <c r="O109" s="612"/>
      <c r="P109" s="613"/>
      <c r="Q109" s="614"/>
    </row>
    <row r="110" spans="1:17" x14ac:dyDescent="0.4">
      <c r="A110" s="601"/>
      <c r="B110" s="601" t="s">
        <v>363</v>
      </c>
      <c r="C110" s="602" t="s">
        <v>94</v>
      </c>
      <c r="D110" s="469">
        <v>2.12</v>
      </c>
      <c r="E110" s="536">
        <v>48042</v>
      </c>
      <c r="F110" s="603"/>
      <c r="G110" s="604"/>
      <c r="H110" s="605"/>
      <c r="I110" s="606"/>
      <c r="J110" s="607"/>
      <c r="K110" s="608"/>
      <c r="L110" s="609"/>
      <c r="M110" s="610"/>
      <c r="N110" s="611"/>
      <c r="O110" s="612"/>
      <c r="P110" s="613"/>
      <c r="Q110" s="614"/>
    </row>
    <row r="111" spans="1:17" x14ac:dyDescent="0.4">
      <c r="A111" s="601"/>
      <c r="B111" s="601" t="s">
        <v>364</v>
      </c>
      <c r="C111" s="602" t="s">
        <v>95</v>
      </c>
      <c r="D111" s="469">
        <v>2.21</v>
      </c>
      <c r="E111" s="536">
        <v>54454</v>
      </c>
      <c r="F111" s="603"/>
      <c r="G111" s="604"/>
      <c r="H111" s="605"/>
      <c r="I111" s="606"/>
      <c r="J111" s="607"/>
      <c r="K111" s="608"/>
      <c r="L111" s="609"/>
      <c r="M111" s="610"/>
      <c r="N111" s="611"/>
      <c r="O111" s="612"/>
      <c r="P111" s="613"/>
      <c r="Q111" s="614"/>
    </row>
    <row r="112" spans="1:17" x14ac:dyDescent="0.4">
      <c r="A112" s="601"/>
      <c r="B112" s="601" t="s">
        <v>365</v>
      </c>
      <c r="C112" s="602" t="s">
        <v>96</v>
      </c>
      <c r="D112" s="469">
        <v>0.03</v>
      </c>
      <c r="E112" s="536">
        <v>54844</v>
      </c>
      <c r="F112" s="603"/>
      <c r="G112" s="604"/>
      <c r="H112" s="605"/>
      <c r="I112" s="606"/>
      <c r="J112" s="607"/>
      <c r="K112" s="608"/>
      <c r="L112" s="609"/>
      <c r="M112" s="610"/>
      <c r="N112" s="611"/>
      <c r="O112" s="612"/>
      <c r="P112" s="613"/>
      <c r="Q112" s="614"/>
    </row>
    <row r="113" spans="1:17" x14ac:dyDescent="0.4">
      <c r="A113" s="601"/>
      <c r="B113" s="601" t="s">
        <v>366</v>
      </c>
      <c r="C113" s="602" t="s">
        <v>88</v>
      </c>
      <c r="D113" s="469">
        <v>0.68</v>
      </c>
      <c r="E113" s="536">
        <v>130637</v>
      </c>
      <c r="F113" s="603"/>
      <c r="G113" s="604"/>
      <c r="H113" s="605"/>
      <c r="I113" s="606"/>
      <c r="J113" s="607"/>
      <c r="K113" s="608"/>
      <c r="L113" s="609"/>
      <c r="M113" s="610"/>
      <c r="N113" s="611"/>
      <c r="O113" s="612"/>
      <c r="P113" s="613"/>
      <c r="Q113" s="614"/>
    </row>
    <row r="114" spans="1:17" x14ac:dyDescent="0.4">
      <c r="A114" s="557"/>
      <c r="B114" s="557"/>
      <c r="C114" s="557"/>
      <c r="D114" s="615"/>
      <c r="E114" s="616"/>
      <c r="F114" s="617">
        <f>SUM(D93:D107)</f>
        <v>458.84</v>
      </c>
      <c r="G114" s="618">
        <f>(SUMPRODUCT(D93:D107,E93:E107))</f>
        <v>41408133.690000005</v>
      </c>
      <c r="H114" s="619">
        <f>SUM(D93:D96)</f>
        <v>7.8400000000000007</v>
      </c>
      <c r="I114" s="620">
        <f>(SUMPRODUCT(D93:D96,E93:E96))</f>
        <v>1265319.6000000001</v>
      </c>
      <c r="J114" s="621">
        <f>SUM(D97:D107)</f>
        <v>451</v>
      </c>
      <c r="K114" s="622">
        <f>(SUMPRODUCT(D97:D107,E97:E107))</f>
        <v>40142814.090000004</v>
      </c>
      <c r="L114" s="623"/>
      <c r="M114" s="624"/>
      <c r="N114" s="625">
        <f>+H114+J114+L114</f>
        <v>458.84</v>
      </c>
      <c r="O114" s="626">
        <f>+I114+K114+M114</f>
        <v>41408133.690000005</v>
      </c>
      <c r="P114" s="627">
        <f>SUM(D108:D113)</f>
        <v>225.43</v>
      </c>
      <c r="Q114" s="628">
        <f>(SUMPRODUCT(D108:D113,E108:E113))</f>
        <v>11996188.1</v>
      </c>
    </row>
    <row r="115" spans="1:17" x14ac:dyDescent="0.4">
      <c r="A115" s="601" t="s">
        <v>331</v>
      </c>
      <c r="B115" s="601" t="s">
        <v>491</v>
      </c>
      <c r="C115" s="602"/>
      <c r="D115" s="469"/>
      <c r="E115" s="536"/>
      <c r="F115" s="603"/>
      <c r="G115" s="604"/>
      <c r="H115" s="605"/>
      <c r="I115" s="606"/>
      <c r="J115" s="607"/>
      <c r="K115" s="608"/>
      <c r="L115" s="609"/>
      <c r="M115" s="610"/>
      <c r="N115" s="611"/>
      <c r="O115" s="612"/>
      <c r="P115" s="613"/>
      <c r="Q115" s="614"/>
    </row>
    <row r="116" spans="1:17" x14ac:dyDescent="0.4">
      <c r="A116" s="601"/>
      <c r="B116" s="601" t="s">
        <v>341</v>
      </c>
      <c r="C116" s="602" t="s">
        <v>116</v>
      </c>
      <c r="D116" s="469">
        <v>0.73</v>
      </c>
      <c r="E116" s="536">
        <v>127251</v>
      </c>
      <c r="F116" s="603"/>
      <c r="G116" s="604"/>
      <c r="H116" s="605"/>
      <c r="I116" s="606"/>
      <c r="J116" s="607"/>
      <c r="K116" s="608"/>
      <c r="L116" s="609"/>
      <c r="M116" s="610"/>
      <c r="N116" s="611"/>
      <c r="O116" s="612"/>
      <c r="P116" s="613"/>
      <c r="Q116" s="614"/>
    </row>
    <row r="117" spans="1:17" x14ac:dyDescent="0.4">
      <c r="A117" s="601"/>
      <c r="B117" s="601" t="s">
        <v>358</v>
      </c>
      <c r="C117" s="602" t="s">
        <v>89</v>
      </c>
      <c r="D117" s="469">
        <v>1.59</v>
      </c>
      <c r="E117" s="536">
        <v>66371</v>
      </c>
      <c r="F117" s="603"/>
      <c r="G117" s="604"/>
      <c r="H117" s="605"/>
      <c r="I117" s="606"/>
      <c r="J117" s="607"/>
      <c r="K117" s="608"/>
      <c r="L117" s="609"/>
      <c r="M117" s="610"/>
      <c r="N117" s="611"/>
      <c r="O117" s="612"/>
      <c r="P117" s="613"/>
      <c r="Q117" s="614"/>
    </row>
    <row r="118" spans="1:17" x14ac:dyDescent="0.4">
      <c r="A118" s="601"/>
      <c r="B118" s="601" t="s">
        <v>363</v>
      </c>
      <c r="C118" s="602" t="s">
        <v>94</v>
      </c>
      <c r="D118" s="469">
        <v>1.32</v>
      </c>
      <c r="E118" s="536">
        <v>100821</v>
      </c>
      <c r="F118" s="603"/>
      <c r="G118" s="604"/>
      <c r="H118" s="605"/>
      <c r="I118" s="606"/>
      <c r="J118" s="607"/>
      <c r="K118" s="608"/>
      <c r="L118" s="609"/>
      <c r="M118" s="610"/>
      <c r="N118" s="611"/>
      <c r="O118" s="612"/>
      <c r="P118" s="613"/>
      <c r="Q118" s="614"/>
    </row>
    <row r="119" spans="1:17" x14ac:dyDescent="0.4">
      <c r="A119" s="557"/>
      <c r="B119" s="557"/>
      <c r="C119" s="557"/>
      <c r="D119" s="615"/>
      <c r="E119" s="562"/>
      <c r="F119" s="617">
        <f>SUM(D116:D116)</f>
        <v>0.73</v>
      </c>
      <c r="G119" s="618">
        <f>(SUMPRODUCT(D116:D116,E116:E116))</f>
        <v>92893.23</v>
      </c>
      <c r="H119" s="619"/>
      <c r="I119" s="620"/>
      <c r="J119" s="621">
        <f>SUM(D116:D116)</f>
        <v>0.73</v>
      </c>
      <c r="K119" s="622">
        <f>(SUMPRODUCT(D116:D116,E116:E116))</f>
        <v>92893.23</v>
      </c>
      <c r="L119" s="623"/>
      <c r="M119" s="624"/>
      <c r="N119" s="625">
        <f>+H119+J119+L119</f>
        <v>0.73</v>
      </c>
      <c r="O119" s="626">
        <f>+I119+K119+M119</f>
        <v>92893.23</v>
      </c>
      <c r="P119" s="627">
        <f>SUM(D117:D118)</f>
        <v>2.91</v>
      </c>
      <c r="Q119" s="628">
        <f>(SUMPRODUCT(D117:D118,E117:E118))</f>
        <v>238613.61</v>
      </c>
    </row>
    <row r="120" spans="1:17" x14ac:dyDescent="0.4">
      <c r="A120" s="601" t="s">
        <v>332</v>
      </c>
      <c r="B120" s="601" t="s">
        <v>480</v>
      </c>
      <c r="C120" s="602"/>
      <c r="D120" s="469"/>
      <c r="E120" s="536"/>
      <c r="F120" s="603"/>
      <c r="G120" s="604"/>
      <c r="H120" s="605"/>
      <c r="I120" s="606"/>
      <c r="J120" s="607"/>
      <c r="K120" s="608"/>
      <c r="L120" s="609"/>
      <c r="M120" s="610"/>
      <c r="N120" s="611"/>
      <c r="O120" s="612"/>
      <c r="P120" s="613"/>
      <c r="Q120" s="614"/>
    </row>
    <row r="121" spans="1:17" x14ac:dyDescent="0.4">
      <c r="A121" s="601"/>
      <c r="B121" s="601" t="s">
        <v>364</v>
      </c>
      <c r="C121" s="602" t="s">
        <v>95</v>
      </c>
      <c r="D121" s="469">
        <v>2</v>
      </c>
      <c r="E121" s="536">
        <v>65957</v>
      </c>
      <c r="F121" s="603"/>
      <c r="G121" s="604"/>
      <c r="H121" s="605"/>
      <c r="I121" s="606"/>
      <c r="J121" s="607"/>
      <c r="K121" s="608"/>
      <c r="L121" s="609"/>
      <c r="M121" s="610"/>
      <c r="N121" s="611"/>
      <c r="O121" s="612"/>
      <c r="P121" s="613"/>
      <c r="Q121" s="614"/>
    </row>
    <row r="122" spans="1:17" x14ac:dyDescent="0.4">
      <c r="A122" s="557"/>
      <c r="B122" s="557"/>
      <c r="C122" s="557"/>
      <c r="D122" s="615"/>
      <c r="E122" s="616"/>
      <c r="F122" s="617"/>
      <c r="G122" s="618"/>
      <c r="H122" s="619"/>
      <c r="I122" s="620"/>
      <c r="J122" s="621"/>
      <c r="K122" s="622"/>
      <c r="L122" s="623"/>
      <c r="M122" s="624"/>
      <c r="N122" s="625">
        <f>+H122+J122+L122</f>
        <v>0</v>
      </c>
      <c r="O122" s="626">
        <f>+I122+K122+M122</f>
        <v>0</v>
      </c>
      <c r="P122" s="627">
        <f>SUM(D121:D121)</f>
        <v>2</v>
      </c>
      <c r="Q122" s="628">
        <f>(SUMPRODUCT(D121:D121,E121:E121))</f>
        <v>131914</v>
      </c>
    </row>
    <row r="123" spans="1:17" x14ac:dyDescent="0.4">
      <c r="A123" s="601" t="s">
        <v>333</v>
      </c>
      <c r="B123" s="601" t="s">
        <v>488</v>
      </c>
      <c r="C123" s="602"/>
      <c r="D123" s="469"/>
      <c r="E123" s="536"/>
      <c r="F123" s="603"/>
      <c r="G123" s="604"/>
      <c r="H123" s="605"/>
      <c r="I123" s="606"/>
      <c r="J123" s="607"/>
      <c r="K123" s="608"/>
      <c r="L123" s="609"/>
      <c r="M123" s="610"/>
      <c r="N123" s="611"/>
      <c r="O123" s="612"/>
      <c r="P123" s="613"/>
      <c r="Q123" s="614"/>
    </row>
    <row r="124" spans="1:17" x14ac:dyDescent="0.4">
      <c r="A124" s="601"/>
      <c r="B124" s="601" t="s">
        <v>333</v>
      </c>
      <c r="C124" s="602" t="s">
        <v>113</v>
      </c>
      <c r="D124" s="469">
        <v>0.91</v>
      </c>
      <c r="E124" s="536">
        <v>166216</v>
      </c>
      <c r="F124" s="603"/>
      <c r="G124" s="604"/>
      <c r="H124" s="605"/>
      <c r="I124" s="606"/>
      <c r="J124" s="607"/>
      <c r="K124" s="608"/>
      <c r="L124" s="609"/>
      <c r="M124" s="610"/>
      <c r="N124" s="611"/>
      <c r="O124" s="612"/>
      <c r="P124" s="613"/>
      <c r="Q124" s="614"/>
    </row>
    <row r="125" spans="1:17" x14ac:dyDescent="0.4">
      <c r="A125" s="601"/>
      <c r="B125" s="601" t="s">
        <v>334</v>
      </c>
      <c r="C125" s="602" t="s">
        <v>120</v>
      </c>
      <c r="D125" s="469">
        <v>0.1</v>
      </c>
      <c r="E125" s="536">
        <v>150777</v>
      </c>
      <c r="F125" s="603"/>
      <c r="G125" s="604"/>
      <c r="H125" s="605"/>
      <c r="I125" s="606"/>
      <c r="J125" s="607"/>
      <c r="K125" s="608"/>
      <c r="L125" s="609"/>
      <c r="M125" s="610"/>
      <c r="N125" s="611"/>
      <c r="O125" s="612"/>
      <c r="P125" s="613"/>
      <c r="Q125" s="614"/>
    </row>
    <row r="126" spans="1:17" x14ac:dyDescent="0.4">
      <c r="A126" s="601"/>
      <c r="B126" s="601" t="s">
        <v>335</v>
      </c>
      <c r="C126" s="602" t="s">
        <v>130</v>
      </c>
      <c r="D126" s="469">
        <v>0.92</v>
      </c>
      <c r="E126" s="536">
        <v>152429</v>
      </c>
      <c r="F126" s="603"/>
      <c r="G126" s="604"/>
      <c r="H126" s="605"/>
      <c r="I126" s="606"/>
      <c r="J126" s="607"/>
      <c r="K126" s="608"/>
      <c r="L126" s="609"/>
      <c r="M126" s="610"/>
      <c r="N126" s="611"/>
      <c r="O126" s="612"/>
      <c r="P126" s="613"/>
      <c r="Q126" s="614"/>
    </row>
    <row r="127" spans="1:17" x14ac:dyDescent="0.4">
      <c r="A127" s="601"/>
      <c r="B127" s="601" t="s">
        <v>337</v>
      </c>
      <c r="C127" s="602" t="s">
        <v>129</v>
      </c>
      <c r="D127" s="469">
        <v>0.08</v>
      </c>
      <c r="E127" s="536">
        <v>164795</v>
      </c>
      <c r="F127" s="603"/>
      <c r="G127" s="604"/>
      <c r="H127" s="605"/>
      <c r="I127" s="606"/>
      <c r="J127" s="607"/>
      <c r="K127" s="608"/>
      <c r="L127" s="609"/>
      <c r="M127" s="610"/>
      <c r="N127" s="611"/>
      <c r="O127" s="612"/>
      <c r="P127" s="613"/>
      <c r="Q127" s="614"/>
    </row>
    <row r="128" spans="1:17" x14ac:dyDescent="0.4">
      <c r="A128" s="601"/>
      <c r="B128" s="601" t="s">
        <v>339</v>
      </c>
      <c r="C128" s="602" t="s">
        <v>407</v>
      </c>
      <c r="D128" s="469">
        <v>2.93</v>
      </c>
      <c r="E128" s="536">
        <v>92938</v>
      </c>
      <c r="F128" s="603"/>
      <c r="G128" s="604"/>
      <c r="H128" s="605"/>
      <c r="I128" s="606"/>
      <c r="J128" s="607"/>
      <c r="K128" s="608"/>
      <c r="L128" s="609"/>
      <c r="M128" s="610"/>
      <c r="N128" s="611"/>
      <c r="O128" s="612"/>
      <c r="P128" s="613"/>
      <c r="Q128" s="614"/>
    </row>
    <row r="129" spans="1:17" x14ac:dyDescent="0.4">
      <c r="A129" s="601"/>
      <c r="B129" s="601" t="s">
        <v>340</v>
      </c>
      <c r="C129" s="602" t="s">
        <v>115</v>
      </c>
      <c r="D129" s="469">
        <v>3.07</v>
      </c>
      <c r="E129" s="536">
        <v>108215</v>
      </c>
      <c r="F129" s="603"/>
      <c r="G129" s="604"/>
      <c r="H129" s="605"/>
      <c r="I129" s="606"/>
      <c r="J129" s="607"/>
      <c r="K129" s="608"/>
      <c r="L129" s="609"/>
      <c r="M129" s="610"/>
      <c r="N129" s="611"/>
      <c r="O129" s="612"/>
      <c r="P129" s="613"/>
      <c r="Q129" s="614"/>
    </row>
    <row r="130" spans="1:17" x14ac:dyDescent="0.4">
      <c r="A130" s="601"/>
      <c r="B130" s="601" t="s">
        <v>341</v>
      </c>
      <c r="C130" s="602" t="s">
        <v>116</v>
      </c>
      <c r="D130" s="469">
        <v>1</v>
      </c>
      <c r="E130" s="536">
        <v>75172</v>
      </c>
      <c r="F130" s="603"/>
      <c r="G130" s="604"/>
      <c r="H130" s="605"/>
      <c r="I130" s="606"/>
      <c r="J130" s="607"/>
      <c r="K130" s="608"/>
      <c r="L130" s="609"/>
      <c r="M130" s="610"/>
      <c r="N130" s="611"/>
      <c r="O130" s="612"/>
      <c r="P130" s="613"/>
      <c r="Q130" s="614"/>
    </row>
    <row r="131" spans="1:17" x14ac:dyDescent="0.4">
      <c r="A131" s="601"/>
      <c r="B131" s="601" t="s">
        <v>358</v>
      </c>
      <c r="C131" s="602" t="s">
        <v>89</v>
      </c>
      <c r="D131" s="469">
        <v>0.21</v>
      </c>
      <c r="E131" s="536">
        <v>71850</v>
      </c>
      <c r="F131" s="603"/>
      <c r="G131" s="604"/>
      <c r="H131" s="605"/>
      <c r="I131" s="606"/>
      <c r="J131" s="607"/>
      <c r="K131" s="608"/>
      <c r="L131" s="609"/>
      <c r="M131" s="610"/>
      <c r="N131" s="611"/>
      <c r="O131" s="612"/>
      <c r="P131" s="613"/>
      <c r="Q131" s="614"/>
    </row>
    <row r="132" spans="1:17" x14ac:dyDescent="0.4">
      <c r="A132" s="601"/>
      <c r="B132" s="601" t="s">
        <v>361</v>
      </c>
      <c r="C132" s="602" t="s">
        <v>92</v>
      </c>
      <c r="D132" s="469">
        <v>0.36</v>
      </c>
      <c r="E132" s="536">
        <v>46330</v>
      </c>
      <c r="F132" s="603"/>
      <c r="G132" s="604"/>
      <c r="H132" s="605"/>
      <c r="I132" s="606"/>
      <c r="J132" s="607"/>
      <c r="K132" s="608"/>
      <c r="L132" s="609"/>
      <c r="M132" s="610"/>
      <c r="N132" s="611"/>
      <c r="O132" s="612"/>
      <c r="P132" s="613"/>
      <c r="Q132" s="614"/>
    </row>
    <row r="133" spans="1:17" x14ac:dyDescent="0.4">
      <c r="A133" s="601"/>
      <c r="B133" s="601" t="s">
        <v>366</v>
      </c>
      <c r="C133" s="602" t="s">
        <v>88</v>
      </c>
      <c r="D133" s="469">
        <v>0.32</v>
      </c>
      <c r="E133" s="536">
        <v>92473</v>
      </c>
      <c r="F133" s="603"/>
      <c r="G133" s="604"/>
      <c r="H133" s="605"/>
      <c r="I133" s="606"/>
      <c r="J133" s="607"/>
      <c r="K133" s="608"/>
      <c r="L133" s="609"/>
      <c r="M133" s="610"/>
      <c r="N133" s="611"/>
      <c r="O133" s="612"/>
      <c r="P133" s="613"/>
      <c r="Q133" s="614"/>
    </row>
    <row r="134" spans="1:17" x14ac:dyDescent="0.4">
      <c r="A134" s="557"/>
      <c r="B134" s="557"/>
      <c r="C134" s="557"/>
      <c r="D134" s="615"/>
      <c r="E134" s="616"/>
      <c r="F134" s="617">
        <f>SUM(D124:D130)</f>
        <v>9.01</v>
      </c>
      <c r="G134" s="618">
        <f>(SUMPRODUCT(D124:D130,E124:E130))</f>
        <v>999452.92999999993</v>
      </c>
      <c r="H134" s="619">
        <f>SUM(D124:D127)</f>
        <v>2.0100000000000002</v>
      </c>
      <c r="I134" s="620">
        <f>(SUMPRODUCT(D124:D127,E124:E127))</f>
        <v>319752.53999999998</v>
      </c>
      <c r="J134" s="621">
        <f>SUM(D128:D130)</f>
        <v>7</v>
      </c>
      <c r="K134" s="622">
        <f>(SUMPRODUCT(D128:D130,E128:E130))</f>
        <v>679700.39</v>
      </c>
      <c r="L134" s="623"/>
      <c r="M134" s="624"/>
      <c r="N134" s="625">
        <f>+H134+J134+L134</f>
        <v>9.01</v>
      </c>
      <c r="O134" s="626">
        <f>+I134+K134+M134</f>
        <v>999452.92999999993</v>
      </c>
      <c r="P134" s="627">
        <f>SUM(D131:D133)</f>
        <v>0.8899999999999999</v>
      </c>
      <c r="Q134" s="628">
        <f>(SUMPRODUCT(D131:D133,E131:E133))</f>
        <v>61358.66</v>
      </c>
    </row>
    <row r="135" spans="1:17" x14ac:dyDescent="0.4">
      <c r="A135" s="601" t="s">
        <v>481</v>
      </c>
      <c r="B135" s="601" t="s">
        <v>482</v>
      </c>
      <c r="C135" s="602"/>
      <c r="D135" s="469"/>
      <c r="E135" s="536"/>
      <c r="F135" s="603"/>
      <c r="G135" s="604"/>
      <c r="H135" s="605"/>
      <c r="I135" s="606"/>
      <c r="J135" s="607"/>
      <c r="K135" s="608"/>
      <c r="L135" s="609"/>
      <c r="M135" s="610"/>
      <c r="N135" s="611"/>
      <c r="O135" s="612"/>
      <c r="P135" s="613"/>
      <c r="Q135" s="614"/>
    </row>
    <row r="136" spans="1:17" x14ac:dyDescent="0.4">
      <c r="A136" s="601"/>
      <c r="B136" s="601" t="s">
        <v>340</v>
      </c>
      <c r="C136" s="602" t="s">
        <v>115</v>
      </c>
      <c r="D136" s="469">
        <v>0.5</v>
      </c>
      <c r="E136" s="536">
        <v>89234</v>
      </c>
      <c r="F136" s="603"/>
      <c r="G136" s="604"/>
      <c r="H136" s="605"/>
      <c r="I136" s="606"/>
      <c r="J136" s="607"/>
      <c r="K136" s="608"/>
      <c r="L136" s="609"/>
      <c r="M136" s="610"/>
      <c r="N136" s="611"/>
      <c r="O136" s="612"/>
      <c r="P136" s="613"/>
      <c r="Q136" s="614"/>
    </row>
    <row r="137" spans="1:17" x14ac:dyDescent="0.4">
      <c r="A137" s="601"/>
      <c r="B137" s="601" t="s">
        <v>342</v>
      </c>
      <c r="C137" s="602" t="s">
        <v>117</v>
      </c>
      <c r="D137" s="469">
        <v>1</v>
      </c>
      <c r="E137" s="536">
        <v>104383</v>
      </c>
      <c r="F137" s="603"/>
      <c r="G137" s="604"/>
      <c r="H137" s="605"/>
      <c r="I137" s="606"/>
      <c r="J137" s="607"/>
      <c r="K137" s="608"/>
      <c r="L137" s="609"/>
      <c r="M137" s="610"/>
      <c r="N137" s="611"/>
      <c r="O137" s="612"/>
      <c r="P137" s="613"/>
      <c r="Q137" s="614"/>
    </row>
    <row r="138" spans="1:17" x14ac:dyDescent="0.4">
      <c r="A138" s="601"/>
      <c r="B138" s="601" t="s">
        <v>358</v>
      </c>
      <c r="C138" s="602" t="s">
        <v>89</v>
      </c>
      <c r="D138" s="469">
        <v>0.74</v>
      </c>
      <c r="E138" s="536">
        <v>64322</v>
      </c>
      <c r="F138" s="603"/>
      <c r="G138" s="604"/>
      <c r="H138" s="605"/>
      <c r="I138" s="606"/>
      <c r="J138" s="607"/>
      <c r="K138" s="608"/>
      <c r="L138" s="609"/>
      <c r="M138" s="610"/>
      <c r="N138" s="611"/>
      <c r="O138" s="612"/>
      <c r="P138" s="613"/>
      <c r="Q138" s="614"/>
    </row>
    <row r="139" spans="1:17" x14ac:dyDescent="0.4">
      <c r="A139" s="557"/>
      <c r="B139" s="557"/>
      <c r="C139" s="557"/>
      <c r="D139" s="615"/>
      <c r="E139" s="616"/>
      <c r="F139" s="617">
        <f>SUM(D136:D137)</f>
        <v>1.5</v>
      </c>
      <c r="G139" s="618">
        <f>(SUMPRODUCT(D136:D137,E136:E137))</f>
        <v>149000</v>
      </c>
      <c r="H139" s="619"/>
      <c r="I139" s="620"/>
      <c r="J139" s="621">
        <f>SUM(D136:D137)</f>
        <v>1.5</v>
      </c>
      <c r="K139" s="622">
        <f>(SUMPRODUCT(D136:D137,E136:E137))</f>
        <v>149000</v>
      </c>
      <c r="L139" s="623"/>
      <c r="M139" s="624"/>
      <c r="N139" s="625">
        <f>+H139+J139+L139</f>
        <v>1.5</v>
      </c>
      <c r="O139" s="626">
        <f>+I139+K139+M139</f>
        <v>149000</v>
      </c>
      <c r="P139" s="627">
        <f>SUM(D138:D138)</f>
        <v>0.74</v>
      </c>
      <c r="Q139" s="628">
        <f>(SUMPRODUCT(D138:D138,E138:E138))</f>
        <v>47598.28</v>
      </c>
    </row>
    <row r="140" spans="1:17" x14ac:dyDescent="0.4">
      <c r="A140" s="601" t="s">
        <v>436</v>
      </c>
      <c r="B140" s="601" t="s">
        <v>492</v>
      </c>
      <c r="C140" s="602"/>
      <c r="D140" s="469"/>
      <c r="E140" s="536"/>
      <c r="F140" s="603"/>
      <c r="G140" s="604"/>
      <c r="H140" s="605"/>
      <c r="I140" s="606"/>
      <c r="J140" s="607"/>
      <c r="K140" s="608"/>
      <c r="L140" s="609"/>
      <c r="M140" s="610"/>
      <c r="N140" s="611"/>
      <c r="O140" s="612"/>
      <c r="P140" s="613"/>
      <c r="Q140" s="614"/>
    </row>
    <row r="141" spans="1:17" x14ac:dyDescent="0.4">
      <c r="A141" s="601"/>
      <c r="B141" s="601" t="s">
        <v>358</v>
      </c>
      <c r="C141" s="602" t="s">
        <v>89</v>
      </c>
      <c r="D141" s="469">
        <v>1.65</v>
      </c>
      <c r="E141" s="536">
        <v>65780</v>
      </c>
      <c r="F141" s="603"/>
      <c r="G141" s="604"/>
      <c r="H141" s="605"/>
      <c r="I141" s="606"/>
      <c r="J141" s="607"/>
      <c r="K141" s="608"/>
      <c r="L141" s="609"/>
      <c r="M141" s="610"/>
      <c r="N141" s="611"/>
      <c r="O141" s="612"/>
      <c r="P141" s="613"/>
      <c r="Q141" s="614"/>
    </row>
    <row r="142" spans="1:17" x14ac:dyDescent="0.4">
      <c r="A142" s="601"/>
      <c r="B142" s="601" t="s">
        <v>361</v>
      </c>
      <c r="C142" s="602" t="s">
        <v>92</v>
      </c>
      <c r="D142" s="469">
        <v>0.4</v>
      </c>
      <c r="E142" s="536">
        <v>44703</v>
      </c>
      <c r="F142" s="603"/>
      <c r="G142" s="604"/>
      <c r="H142" s="605"/>
      <c r="I142" s="606"/>
      <c r="J142" s="607"/>
      <c r="K142" s="608"/>
      <c r="L142" s="609"/>
      <c r="M142" s="610"/>
      <c r="N142" s="611"/>
      <c r="O142" s="612"/>
      <c r="P142" s="613"/>
      <c r="Q142" s="614"/>
    </row>
    <row r="143" spans="1:17" x14ac:dyDescent="0.4">
      <c r="A143" s="601"/>
      <c r="B143" s="601" t="s">
        <v>363</v>
      </c>
      <c r="C143" s="602" t="s">
        <v>94</v>
      </c>
      <c r="D143" s="469">
        <v>1.06</v>
      </c>
      <c r="E143" s="536">
        <v>147564</v>
      </c>
      <c r="F143" s="603"/>
      <c r="G143" s="604"/>
      <c r="H143" s="605"/>
      <c r="I143" s="606"/>
      <c r="J143" s="607"/>
      <c r="K143" s="608"/>
      <c r="L143" s="609"/>
      <c r="M143" s="610"/>
      <c r="N143" s="611"/>
      <c r="O143" s="612"/>
      <c r="P143" s="613"/>
      <c r="Q143" s="614"/>
    </row>
    <row r="144" spans="1:17" x14ac:dyDescent="0.4">
      <c r="A144" s="557"/>
      <c r="B144" s="557"/>
      <c r="C144" s="557"/>
      <c r="D144" s="615"/>
      <c r="E144" s="562"/>
      <c r="F144" s="617"/>
      <c r="G144" s="618"/>
      <c r="H144" s="619"/>
      <c r="I144" s="620"/>
      <c r="J144" s="621"/>
      <c r="K144" s="622"/>
      <c r="L144" s="623"/>
      <c r="M144" s="624"/>
      <c r="N144" s="625">
        <f>+H144+J144+L144</f>
        <v>0</v>
      </c>
      <c r="O144" s="626">
        <f>+I144+K144+M144</f>
        <v>0</v>
      </c>
      <c r="P144" s="627">
        <f>SUM(D141:D143)</f>
        <v>3.11</v>
      </c>
      <c r="Q144" s="628">
        <f>(SUMPRODUCT(D141:D143,E141:E143))</f>
        <v>282836.03999999998</v>
      </c>
    </row>
    <row r="145" spans="1:17" x14ac:dyDescent="0.4">
      <c r="A145" s="601" t="s">
        <v>334</v>
      </c>
      <c r="B145" s="601" t="s">
        <v>246</v>
      </c>
      <c r="C145" s="602"/>
      <c r="D145" s="469"/>
      <c r="E145" s="536"/>
      <c r="F145" s="603"/>
      <c r="G145" s="604"/>
      <c r="H145" s="605"/>
      <c r="I145" s="606"/>
      <c r="J145" s="607"/>
      <c r="K145" s="608"/>
      <c r="L145" s="609"/>
      <c r="M145" s="610"/>
      <c r="N145" s="611"/>
      <c r="O145" s="612"/>
      <c r="P145" s="613"/>
      <c r="Q145" s="614"/>
    </row>
    <row r="146" spans="1:17" x14ac:dyDescent="0.4">
      <c r="A146" s="601"/>
      <c r="B146" s="601" t="s">
        <v>332</v>
      </c>
      <c r="C146" s="602" t="s">
        <v>112</v>
      </c>
      <c r="D146" s="469">
        <v>3.26</v>
      </c>
      <c r="E146" s="536">
        <v>205331</v>
      </c>
      <c r="F146" s="603"/>
      <c r="G146" s="604"/>
      <c r="H146" s="605"/>
      <c r="I146" s="606"/>
      <c r="J146" s="607"/>
      <c r="K146" s="608"/>
      <c r="L146" s="609"/>
      <c r="M146" s="610"/>
      <c r="N146" s="611"/>
      <c r="O146" s="612"/>
      <c r="P146" s="613"/>
      <c r="Q146" s="614"/>
    </row>
    <row r="147" spans="1:17" x14ac:dyDescent="0.4">
      <c r="A147" s="601"/>
      <c r="B147" s="601" t="s">
        <v>333</v>
      </c>
      <c r="C147" s="602" t="s">
        <v>113</v>
      </c>
      <c r="D147" s="469">
        <v>259.36</v>
      </c>
      <c r="E147" s="536">
        <v>169196</v>
      </c>
      <c r="F147" s="603"/>
      <c r="G147" s="604"/>
      <c r="H147" s="605"/>
      <c r="I147" s="606"/>
      <c r="J147" s="607"/>
      <c r="K147" s="608"/>
      <c r="L147" s="609"/>
      <c r="M147" s="610"/>
      <c r="N147" s="611"/>
      <c r="O147" s="612"/>
      <c r="P147" s="613"/>
      <c r="Q147" s="614"/>
    </row>
    <row r="148" spans="1:17" x14ac:dyDescent="0.4">
      <c r="A148" s="601"/>
      <c r="B148" s="601" t="s">
        <v>334</v>
      </c>
      <c r="C148" s="602" t="s">
        <v>120</v>
      </c>
      <c r="D148" s="469">
        <v>4.2</v>
      </c>
      <c r="E148" s="536">
        <v>149539</v>
      </c>
      <c r="F148" s="603"/>
      <c r="G148" s="604"/>
      <c r="H148" s="605"/>
      <c r="I148" s="606"/>
      <c r="J148" s="607"/>
      <c r="K148" s="608"/>
      <c r="L148" s="609"/>
      <c r="M148" s="610"/>
      <c r="N148" s="611"/>
      <c r="O148" s="612"/>
      <c r="P148" s="613"/>
      <c r="Q148" s="614"/>
    </row>
    <row r="149" spans="1:17" x14ac:dyDescent="0.4">
      <c r="A149" s="601"/>
      <c r="B149" s="601" t="s">
        <v>335</v>
      </c>
      <c r="C149" s="602" t="s">
        <v>130</v>
      </c>
      <c r="D149" s="469">
        <v>1.7</v>
      </c>
      <c r="E149" s="536">
        <v>163769</v>
      </c>
      <c r="F149" s="603"/>
      <c r="G149" s="604"/>
      <c r="H149" s="605"/>
      <c r="I149" s="606"/>
      <c r="J149" s="607"/>
      <c r="K149" s="608"/>
      <c r="L149" s="609"/>
      <c r="M149" s="610"/>
      <c r="N149" s="611"/>
      <c r="O149" s="612"/>
      <c r="P149" s="613"/>
      <c r="Q149" s="614"/>
    </row>
    <row r="150" spans="1:17" x14ac:dyDescent="0.4">
      <c r="A150" s="601"/>
      <c r="B150" s="601" t="s">
        <v>336</v>
      </c>
      <c r="C150" s="602" t="s">
        <v>121</v>
      </c>
      <c r="D150" s="469">
        <v>1.3</v>
      </c>
      <c r="E150" s="536">
        <v>191925</v>
      </c>
      <c r="F150" s="603"/>
      <c r="G150" s="604"/>
      <c r="H150" s="605"/>
      <c r="I150" s="606"/>
      <c r="J150" s="607"/>
      <c r="K150" s="608"/>
      <c r="L150" s="609"/>
      <c r="M150" s="610"/>
      <c r="N150" s="611"/>
      <c r="O150" s="612"/>
      <c r="P150" s="613"/>
      <c r="Q150" s="614"/>
    </row>
    <row r="151" spans="1:17" x14ac:dyDescent="0.4">
      <c r="A151" s="601"/>
      <c r="B151" s="601" t="s">
        <v>337</v>
      </c>
      <c r="C151" s="602" t="s">
        <v>129</v>
      </c>
      <c r="D151" s="469">
        <v>0.35</v>
      </c>
      <c r="E151" s="536">
        <v>140340</v>
      </c>
      <c r="F151" s="603"/>
      <c r="G151" s="604"/>
      <c r="H151" s="605"/>
      <c r="I151" s="606"/>
      <c r="J151" s="607"/>
      <c r="K151" s="608"/>
      <c r="L151" s="609"/>
      <c r="M151" s="610"/>
      <c r="N151" s="611"/>
      <c r="O151" s="612"/>
      <c r="P151" s="613"/>
      <c r="Q151" s="614"/>
    </row>
    <row r="152" spans="1:17" x14ac:dyDescent="0.4">
      <c r="A152" s="601"/>
      <c r="B152" s="601" t="s">
        <v>338</v>
      </c>
      <c r="C152" s="602" t="s">
        <v>114</v>
      </c>
      <c r="D152" s="469">
        <v>27.85</v>
      </c>
      <c r="E152" s="536">
        <v>142092</v>
      </c>
      <c r="F152" s="603"/>
      <c r="G152" s="604"/>
      <c r="H152" s="605"/>
      <c r="I152" s="606"/>
      <c r="J152" s="607"/>
      <c r="K152" s="608"/>
      <c r="L152" s="609"/>
      <c r="M152" s="610"/>
      <c r="N152" s="611"/>
      <c r="O152" s="612"/>
      <c r="P152" s="613"/>
      <c r="Q152" s="614"/>
    </row>
    <row r="153" spans="1:17" x14ac:dyDescent="0.4">
      <c r="A153" s="601"/>
      <c r="B153" s="601" t="s">
        <v>339</v>
      </c>
      <c r="C153" s="602" t="s">
        <v>407</v>
      </c>
      <c r="D153" s="469">
        <v>774.65</v>
      </c>
      <c r="E153" s="536">
        <v>87438</v>
      </c>
      <c r="F153" s="603"/>
      <c r="G153" s="604"/>
      <c r="H153" s="605"/>
      <c r="I153" s="606"/>
      <c r="J153" s="607"/>
      <c r="K153" s="608"/>
      <c r="L153" s="609"/>
      <c r="M153" s="610"/>
      <c r="N153" s="611"/>
      <c r="O153" s="612"/>
      <c r="P153" s="613"/>
      <c r="Q153" s="614"/>
    </row>
    <row r="154" spans="1:17" x14ac:dyDescent="0.4">
      <c r="A154" s="601"/>
      <c r="B154" s="601" t="s">
        <v>340</v>
      </c>
      <c r="C154" s="602" t="s">
        <v>115</v>
      </c>
      <c r="D154" s="469">
        <v>774.72</v>
      </c>
      <c r="E154" s="536">
        <v>91734</v>
      </c>
      <c r="F154" s="603"/>
      <c r="G154" s="604"/>
      <c r="H154" s="605"/>
      <c r="I154" s="606"/>
      <c r="J154" s="607"/>
      <c r="K154" s="608"/>
      <c r="L154" s="609"/>
      <c r="M154" s="610"/>
      <c r="N154" s="611"/>
      <c r="O154" s="612"/>
      <c r="P154" s="613"/>
      <c r="Q154" s="614"/>
    </row>
    <row r="155" spans="1:17" x14ac:dyDescent="0.4">
      <c r="A155" s="601"/>
      <c r="B155" s="601" t="s">
        <v>341</v>
      </c>
      <c r="C155" s="602" t="s">
        <v>116</v>
      </c>
      <c r="D155" s="469">
        <v>5273.07</v>
      </c>
      <c r="E155" s="536">
        <v>91695</v>
      </c>
      <c r="F155" s="603"/>
      <c r="G155" s="604"/>
      <c r="H155" s="605"/>
      <c r="I155" s="606"/>
      <c r="J155" s="607"/>
      <c r="K155" s="608"/>
      <c r="L155" s="609"/>
      <c r="M155" s="610"/>
      <c r="N155" s="611"/>
      <c r="O155" s="612"/>
      <c r="P155" s="613"/>
      <c r="Q155" s="614"/>
    </row>
    <row r="156" spans="1:17" x14ac:dyDescent="0.4">
      <c r="A156" s="601"/>
      <c r="B156" s="601" t="s">
        <v>408</v>
      </c>
      <c r="C156" s="602" t="s">
        <v>409</v>
      </c>
      <c r="D156" s="469">
        <v>70.17</v>
      </c>
      <c r="E156" s="536">
        <v>87919</v>
      </c>
      <c r="F156" s="603"/>
      <c r="G156" s="604"/>
      <c r="H156" s="605"/>
      <c r="I156" s="606"/>
      <c r="J156" s="607"/>
      <c r="K156" s="608"/>
      <c r="L156" s="609"/>
      <c r="M156" s="610"/>
      <c r="N156" s="611"/>
      <c r="O156" s="612"/>
      <c r="P156" s="613"/>
      <c r="Q156" s="614"/>
    </row>
    <row r="157" spans="1:17" x14ac:dyDescent="0.4">
      <c r="A157" s="601"/>
      <c r="B157" s="601" t="s">
        <v>440</v>
      </c>
      <c r="C157" s="602" t="s">
        <v>486</v>
      </c>
      <c r="D157" s="469">
        <v>18.100000000000001</v>
      </c>
      <c r="E157" s="536">
        <v>97861</v>
      </c>
      <c r="F157" s="603"/>
      <c r="G157" s="604"/>
      <c r="H157" s="605"/>
      <c r="I157" s="606"/>
      <c r="J157" s="607"/>
      <c r="K157" s="608"/>
      <c r="L157" s="609"/>
      <c r="M157" s="610"/>
      <c r="N157" s="611"/>
      <c r="O157" s="612"/>
      <c r="P157" s="613"/>
      <c r="Q157" s="614"/>
    </row>
    <row r="158" spans="1:17" x14ac:dyDescent="0.4">
      <c r="A158" s="601"/>
      <c r="B158" s="601" t="s">
        <v>342</v>
      </c>
      <c r="C158" s="602" t="s">
        <v>117</v>
      </c>
      <c r="D158" s="469">
        <v>250.57</v>
      </c>
      <c r="E158" s="536">
        <v>102531</v>
      </c>
      <c r="F158" s="603"/>
      <c r="G158" s="604"/>
      <c r="H158" s="605"/>
      <c r="I158" s="606"/>
      <c r="J158" s="607"/>
      <c r="K158" s="608"/>
      <c r="L158" s="609"/>
      <c r="M158" s="610"/>
      <c r="N158" s="611"/>
      <c r="O158" s="612"/>
      <c r="P158" s="613"/>
      <c r="Q158" s="614"/>
    </row>
    <row r="159" spans="1:17" x14ac:dyDescent="0.4">
      <c r="A159" s="601"/>
      <c r="B159" s="601" t="s">
        <v>344</v>
      </c>
      <c r="C159" s="602" t="s">
        <v>122</v>
      </c>
      <c r="D159" s="469">
        <v>19.239999999999998</v>
      </c>
      <c r="E159" s="536">
        <v>91677</v>
      </c>
      <c r="F159" s="603"/>
      <c r="G159" s="604"/>
      <c r="H159" s="605"/>
      <c r="I159" s="606"/>
      <c r="J159" s="607"/>
      <c r="K159" s="608"/>
      <c r="L159" s="609"/>
      <c r="M159" s="610"/>
      <c r="N159" s="611"/>
      <c r="O159" s="612"/>
      <c r="P159" s="613"/>
      <c r="Q159" s="614"/>
    </row>
    <row r="160" spans="1:17" x14ac:dyDescent="0.4">
      <c r="A160" s="601"/>
      <c r="B160" s="601" t="s">
        <v>345</v>
      </c>
      <c r="C160" s="602" t="s">
        <v>123</v>
      </c>
      <c r="D160" s="469">
        <v>585.76</v>
      </c>
      <c r="E160" s="536">
        <v>98944</v>
      </c>
      <c r="F160" s="603"/>
      <c r="G160" s="604"/>
      <c r="H160" s="605"/>
      <c r="I160" s="606"/>
      <c r="J160" s="607"/>
      <c r="K160" s="608"/>
      <c r="L160" s="609"/>
      <c r="M160" s="610"/>
      <c r="N160" s="611"/>
      <c r="O160" s="612"/>
      <c r="P160" s="613"/>
      <c r="Q160" s="614"/>
    </row>
    <row r="161" spans="1:17" x14ac:dyDescent="0.4">
      <c r="A161" s="601"/>
      <c r="B161" s="601" t="s">
        <v>346</v>
      </c>
      <c r="C161" s="602" t="s">
        <v>124</v>
      </c>
      <c r="D161" s="469">
        <v>26.63</v>
      </c>
      <c r="E161" s="536">
        <v>95367</v>
      </c>
      <c r="F161" s="603"/>
      <c r="G161" s="604"/>
      <c r="H161" s="605"/>
      <c r="I161" s="606"/>
      <c r="J161" s="607"/>
      <c r="K161" s="608"/>
      <c r="L161" s="609"/>
      <c r="M161" s="610"/>
      <c r="N161" s="611"/>
      <c r="O161" s="612"/>
      <c r="P161" s="613"/>
      <c r="Q161" s="614"/>
    </row>
    <row r="162" spans="1:17" x14ac:dyDescent="0.4">
      <c r="A162" s="601"/>
      <c r="B162" s="601" t="s">
        <v>347</v>
      </c>
      <c r="C162" s="602" t="s">
        <v>235</v>
      </c>
      <c r="D162" s="469">
        <v>1571.49</v>
      </c>
      <c r="E162" s="536">
        <v>99300</v>
      </c>
      <c r="F162" s="603"/>
      <c r="G162" s="604"/>
      <c r="H162" s="605"/>
      <c r="I162" s="606"/>
      <c r="J162" s="607"/>
      <c r="K162" s="608"/>
      <c r="L162" s="609"/>
      <c r="M162" s="610"/>
      <c r="N162" s="611"/>
      <c r="O162" s="612"/>
      <c r="P162" s="613"/>
      <c r="Q162" s="614"/>
    </row>
    <row r="163" spans="1:17" x14ac:dyDescent="0.4">
      <c r="A163" s="601"/>
      <c r="B163" s="601" t="s">
        <v>348</v>
      </c>
      <c r="C163" s="602" t="s">
        <v>125</v>
      </c>
      <c r="D163" s="469">
        <v>958.91</v>
      </c>
      <c r="E163" s="536">
        <v>99756</v>
      </c>
      <c r="F163" s="603"/>
      <c r="G163" s="604"/>
      <c r="H163" s="605"/>
      <c r="I163" s="606"/>
      <c r="J163" s="607"/>
      <c r="K163" s="608"/>
      <c r="L163" s="609"/>
      <c r="M163" s="610"/>
      <c r="N163" s="611"/>
      <c r="O163" s="612"/>
      <c r="P163" s="613"/>
      <c r="Q163" s="614"/>
    </row>
    <row r="164" spans="1:17" x14ac:dyDescent="0.4">
      <c r="A164" s="601"/>
      <c r="B164" s="601" t="s">
        <v>349</v>
      </c>
      <c r="C164" s="602" t="s">
        <v>126</v>
      </c>
      <c r="D164" s="469">
        <v>19.440000000000001</v>
      </c>
      <c r="E164" s="536">
        <v>83225</v>
      </c>
      <c r="F164" s="603"/>
      <c r="G164" s="604"/>
      <c r="H164" s="605"/>
      <c r="I164" s="606"/>
      <c r="J164" s="607"/>
      <c r="K164" s="608"/>
      <c r="L164" s="609"/>
      <c r="M164" s="610"/>
      <c r="N164" s="611"/>
      <c r="O164" s="612"/>
      <c r="P164" s="613"/>
      <c r="Q164" s="614"/>
    </row>
    <row r="165" spans="1:17" x14ac:dyDescent="0.4">
      <c r="A165" s="601"/>
      <c r="B165" s="601" t="s">
        <v>350</v>
      </c>
      <c r="C165" s="602" t="s">
        <v>127</v>
      </c>
      <c r="D165" s="469">
        <v>214.07</v>
      </c>
      <c r="E165" s="536">
        <v>104564</v>
      </c>
      <c r="F165" s="603"/>
      <c r="G165" s="604"/>
      <c r="H165" s="605"/>
      <c r="I165" s="606"/>
      <c r="J165" s="607"/>
      <c r="K165" s="608"/>
      <c r="L165" s="609"/>
      <c r="M165" s="610"/>
      <c r="N165" s="611"/>
      <c r="O165" s="612"/>
      <c r="P165" s="613"/>
      <c r="Q165" s="614"/>
    </row>
    <row r="166" spans="1:17" x14ac:dyDescent="0.4">
      <c r="A166" s="601"/>
      <c r="B166" s="601" t="s">
        <v>351</v>
      </c>
      <c r="C166" s="602" t="s">
        <v>427</v>
      </c>
      <c r="D166" s="469">
        <v>51.97</v>
      </c>
      <c r="E166" s="536">
        <v>87925</v>
      </c>
      <c r="F166" s="603"/>
      <c r="G166" s="604"/>
      <c r="H166" s="605"/>
      <c r="I166" s="606"/>
      <c r="J166" s="607"/>
      <c r="K166" s="608"/>
      <c r="L166" s="609"/>
      <c r="M166" s="610"/>
      <c r="N166" s="611"/>
      <c r="O166" s="612"/>
      <c r="P166" s="613"/>
      <c r="Q166" s="614"/>
    </row>
    <row r="167" spans="1:17" x14ac:dyDescent="0.4">
      <c r="A167" s="601"/>
      <c r="B167" s="601" t="s">
        <v>353</v>
      </c>
      <c r="C167" s="602" t="s">
        <v>119</v>
      </c>
      <c r="D167" s="469">
        <v>11.4</v>
      </c>
      <c r="E167" s="536">
        <v>83316</v>
      </c>
      <c r="F167" s="603"/>
      <c r="G167" s="604"/>
      <c r="H167" s="605"/>
      <c r="I167" s="606"/>
      <c r="J167" s="607"/>
      <c r="K167" s="608"/>
      <c r="L167" s="609"/>
      <c r="M167" s="610"/>
      <c r="N167" s="611"/>
      <c r="O167" s="612"/>
      <c r="P167" s="613"/>
      <c r="Q167" s="614"/>
    </row>
    <row r="168" spans="1:17" x14ac:dyDescent="0.4">
      <c r="A168" s="601"/>
      <c r="B168" s="601" t="s">
        <v>354</v>
      </c>
      <c r="C168" s="602" t="s">
        <v>236</v>
      </c>
      <c r="D168" s="469">
        <v>2.67</v>
      </c>
      <c r="E168" s="536">
        <v>87919</v>
      </c>
      <c r="F168" s="603"/>
      <c r="G168" s="604"/>
      <c r="H168" s="605"/>
      <c r="I168" s="606"/>
      <c r="J168" s="607"/>
      <c r="K168" s="608"/>
      <c r="L168" s="609"/>
      <c r="M168" s="610"/>
      <c r="N168" s="611"/>
      <c r="O168" s="612"/>
      <c r="P168" s="613"/>
      <c r="Q168" s="614"/>
    </row>
    <row r="169" spans="1:17" x14ac:dyDescent="0.4">
      <c r="A169" s="601"/>
      <c r="B169" s="601" t="s">
        <v>355</v>
      </c>
      <c r="C169" s="602" t="s">
        <v>169</v>
      </c>
      <c r="D169" s="469">
        <v>23.36</v>
      </c>
      <c r="E169" s="536">
        <v>67957</v>
      </c>
      <c r="F169" s="603"/>
      <c r="G169" s="604"/>
      <c r="H169" s="605"/>
      <c r="I169" s="606"/>
      <c r="J169" s="607"/>
      <c r="K169" s="608"/>
      <c r="L169" s="609"/>
      <c r="M169" s="610"/>
      <c r="N169" s="611"/>
      <c r="O169" s="612"/>
      <c r="P169" s="613"/>
      <c r="Q169" s="614"/>
    </row>
    <row r="170" spans="1:17" x14ac:dyDescent="0.4">
      <c r="A170" s="601"/>
      <c r="B170" s="601" t="s">
        <v>356</v>
      </c>
      <c r="C170" s="602" t="s">
        <v>170</v>
      </c>
      <c r="D170" s="469">
        <v>147.21</v>
      </c>
      <c r="E170" s="536">
        <v>110179</v>
      </c>
      <c r="F170" s="603"/>
      <c r="G170" s="604"/>
      <c r="H170" s="605"/>
      <c r="I170" s="606"/>
      <c r="J170" s="607"/>
      <c r="K170" s="608"/>
      <c r="L170" s="609"/>
      <c r="M170" s="610"/>
      <c r="N170" s="611"/>
      <c r="O170" s="612"/>
      <c r="P170" s="613"/>
      <c r="Q170" s="614"/>
    </row>
    <row r="171" spans="1:17" x14ac:dyDescent="0.4">
      <c r="A171" s="601"/>
      <c r="B171" s="601" t="s">
        <v>357</v>
      </c>
      <c r="C171" s="602" t="s">
        <v>237</v>
      </c>
      <c r="D171" s="469">
        <v>0.26</v>
      </c>
      <c r="E171" s="536">
        <v>66199</v>
      </c>
      <c r="F171" s="603"/>
      <c r="G171" s="604"/>
      <c r="H171" s="605"/>
      <c r="I171" s="606"/>
      <c r="J171" s="607"/>
      <c r="K171" s="608"/>
      <c r="L171" s="609"/>
      <c r="M171" s="610"/>
      <c r="N171" s="611"/>
      <c r="O171" s="612"/>
      <c r="P171" s="613"/>
      <c r="Q171" s="614"/>
    </row>
    <row r="172" spans="1:17" x14ac:dyDescent="0.4">
      <c r="A172" s="601"/>
      <c r="B172" s="601" t="s">
        <v>358</v>
      </c>
      <c r="C172" s="602" t="s">
        <v>89</v>
      </c>
      <c r="D172" s="469">
        <v>9178.5300000000007</v>
      </c>
      <c r="E172" s="536">
        <v>58453</v>
      </c>
      <c r="F172" s="603"/>
      <c r="G172" s="604"/>
      <c r="H172" s="605"/>
      <c r="I172" s="606"/>
      <c r="J172" s="607"/>
      <c r="K172" s="608"/>
      <c r="L172" s="609"/>
      <c r="M172" s="610"/>
      <c r="N172" s="611"/>
      <c r="O172" s="612"/>
      <c r="P172" s="613"/>
      <c r="Q172" s="614"/>
    </row>
    <row r="173" spans="1:17" x14ac:dyDescent="0.4">
      <c r="A173" s="601"/>
      <c r="B173" s="601" t="s">
        <v>361</v>
      </c>
      <c r="C173" s="602" t="s">
        <v>92</v>
      </c>
      <c r="D173" s="469">
        <v>319.48</v>
      </c>
      <c r="E173" s="536">
        <v>69451</v>
      </c>
      <c r="F173" s="603"/>
      <c r="G173" s="604"/>
      <c r="H173" s="605"/>
      <c r="I173" s="606"/>
      <c r="J173" s="607"/>
      <c r="K173" s="608"/>
      <c r="L173" s="609"/>
      <c r="M173" s="610"/>
      <c r="N173" s="611"/>
      <c r="O173" s="612"/>
      <c r="P173" s="613"/>
      <c r="Q173" s="614"/>
    </row>
    <row r="174" spans="1:17" x14ac:dyDescent="0.4">
      <c r="A174" s="601"/>
      <c r="B174" s="601" t="s">
        <v>363</v>
      </c>
      <c r="C174" s="602" t="s">
        <v>94</v>
      </c>
      <c r="D174" s="469">
        <v>235.3</v>
      </c>
      <c r="E174" s="536">
        <v>83599</v>
      </c>
      <c r="F174" s="603"/>
      <c r="G174" s="604"/>
      <c r="H174" s="605"/>
      <c r="I174" s="606"/>
      <c r="J174" s="607"/>
      <c r="K174" s="608"/>
      <c r="L174" s="609"/>
      <c r="M174" s="610"/>
      <c r="N174" s="611"/>
      <c r="O174" s="612"/>
      <c r="P174" s="613"/>
      <c r="Q174" s="614"/>
    </row>
    <row r="175" spans="1:17" x14ac:dyDescent="0.4">
      <c r="A175" s="601"/>
      <c r="B175" s="601" t="s">
        <v>364</v>
      </c>
      <c r="C175" s="602" t="s">
        <v>95</v>
      </c>
      <c r="D175" s="469">
        <v>23.73</v>
      </c>
      <c r="E175" s="536">
        <v>74976</v>
      </c>
      <c r="F175" s="603"/>
      <c r="G175" s="604"/>
      <c r="H175" s="605"/>
      <c r="I175" s="606"/>
      <c r="J175" s="607"/>
      <c r="K175" s="608"/>
      <c r="L175" s="609"/>
      <c r="M175" s="610"/>
      <c r="N175" s="611"/>
      <c r="O175" s="612"/>
      <c r="P175" s="613"/>
      <c r="Q175" s="614"/>
    </row>
    <row r="176" spans="1:17" x14ac:dyDescent="0.4">
      <c r="A176" s="601"/>
      <c r="B176" s="601" t="s">
        <v>365</v>
      </c>
      <c r="C176" s="602" t="s">
        <v>96</v>
      </c>
      <c r="D176" s="469">
        <v>58.72</v>
      </c>
      <c r="E176" s="536">
        <v>87015</v>
      </c>
      <c r="F176" s="603"/>
      <c r="G176" s="604"/>
      <c r="H176" s="605"/>
      <c r="I176" s="606"/>
      <c r="J176" s="607"/>
      <c r="K176" s="608"/>
      <c r="L176" s="609"/>
      <c r="M176" s="610"/>
      <c r="N176" s="611"/>
      <c r="O176" s="612"/>
      <c r="P176" s="613"/>
      <c r="Q176" s="614"/>
    </row>
    <row r="177" spans="1:17" x14ac:dyDescent="0.4">
      <c r="A177" s="601"/>
      <c r="B177" s="601" t="s">
        <v>366</v>
      </c>
      <c r="C177" s="602" t="s">
        <v>88</v>
      </c>
      <c r="D177" s="469">
        <v>10.5</v>
      </c>
      <c r="E177" s="536">
        <v>126102</v>
      </c>
      <c r="F177" s="603"/>
      <c r="G177" s="604"/>
      <c r="H177" s="605"/>
      <c r="I177" s="606"/>
      <c r="J177" s="607"/>
      <c r="K177" s="608"/>
      <c r="L177" s="609"/>
      <c r="M177" s="610"/>
      <c r="N177" s="611"/>
      <c r="O177" s="612"/>
      <c r="P177" s="613"/>
      <c r="Q177" s="614"/>
    </row>
    <row r="178" spans="1:17" x14ac:dyDescent="0.4">
      <c r="A178" s="557"/>
      <c r="B178" s="629"/>
      <c r="C178" s="629"/>
      <c r="D178" s="615"/>
      <c r="E178" s="562"/>
      <c r="F178" s="617">
        <f>SUM(D146:D170)</f>
        <v>11091.449999999999</v>
      </c>
      <c r="G178" s="618">
        <f>(SUMPRODUCT(D146:D170,E146:E170))</f>
        <v>1067192079.3100002</v>
      </c>
      <c r="H178" s="619">
        <f>SUM(D146:D152)</f>
        <v>298.02000000000004</v>
      </c>
      <c r="I178" s="620">
        <f>(SUMPRODUCT(D146:D152,E146:E152))</f>
        <v>49714408.420000002</v>
      </c>
      <c r="J178" s="621">
        <f>SUM(D153:D166,D169:D170)</f>
        <v>10779.359999999999</v>
      </c>
      <c r="K178" s="622">
        <f>(SUMPRODUCT(D153:D166,E153:E166))+(SUMPRODUCT(D169:D170,E169:E170))</f>
        <v>1016293124.7600001</v>
      </c>
      <c r="L178" s="623">
        <f>SUM(D167:D168)</f>
        <v>14.07</v>
      </c>
      <c r="M178" s="624">
        <f>(SUMPRODUCT(D167:D168,E167:E168))</f>
        <v>1184546.1299999999</v>
      </c>
      <c r="N178" s="625">
        <f>+H178+J178+L178</f>
        <v>11091.449999999999</v>
      </c>
      <c r="O178" s="626">
        <f>+I178+K178+M178</f>
        <v>1067192079.3100001</v>
      </c>
      <c r="P178" s="627">
        <f>SUM(D171:D177)</f>
        <v>9826.5199999999986</v>
      </c>
      <c r="Q178" s="628">
        <f>(SUMPRODUCT(D171:D177,E171:E177))</f>
        <v>586601648.29000008</v>
      </c>
    </row>
    <row r="179" spans="1:17" x14ac:dyDescent="0.4">
      <c r="A179" s="601" t="s">
        <v>335</v>
      </c>
      <c r="B179" s="601" t="s">
        <v>387</v>
      </c>
      <c r="C179" s="602"/>
      <c r="D179" s="469"/>
      <c r="E179" s="536"/>
      <c r="F179" s="603"/>
      <c r="G179" s="604"/>
      <c r="H179" s="605"/>
      <c r="I179" s="606"/>
      <c r="J179" s="607"/>
      <c r="K179" s="608"/>
      <c r="L179" s="609"/>
      <c r="M179" s="610"/>
      <c r="N179" s="611"/>
      <c r="O179" s="612"/>
      <c r="P179" s="613"/>
      <c r="Q179" s="614"/>
    </row>
    <row r="180" spans="1:17" x14ac:dyDescent="0.4">
      <c r="A180" s="601"/>
      <c r="B180" s="601" t="s">
        <v>341</v>
      </c>
      <c r="C180" s="602" t="s">
        <v>116</v>
      </c>
      <c r="D180" s="469">
        <v>2</v>
      </c>
      <c r="E180" s="536">
        <v>91216</v>
      </c>
      <c r="F180" s="603"/>
      <c r="G180" s="604"/>
      <c r="H180" s="605"/>
      <c r="I180" s="606"/>
      <c r="J180" s="607"/>
      <c r="K180" s="608"/>
      <c r="L180" s="609"/>
      <c r="M180" s="610"/>
      <c r="N180" s="611"/>
      <c r="O180" s="612"/>
      <c r="P180" s="613"/>
      <c r="Q180" s="614"/>
    </row>
    <row r="181" spans="1:17" x14ac:dyDescent="0.4">
      <c r="A181" s="601"/>
      <c r="B181" s="601" t="s">
        <v>345</v>
      </c>
      <c r="C181" s="602" t="s">
        <v>123</v>
      </c>
      <c r="D181" s="469">
        <v>0.6</v>
      </c>
      <c r="E181" s="536">
        <v>87673</v>
      </c>
      <c r="F181" s="603"/>
      <c r="G181" s="604"/>
      <c r="H181" s="605"/>
      <c r="I181" s="606"/>
      <c r="J181" s="607"/>
      <c r="K181" s="608"/>
      <c r="L181" s="609"/>
      <c r="M181" s="610"/>
      <c r="N181" s="611"/>
      <c r="O181" s="612"/>
      <c r="P181" s="613"/>
      <c r="Q181" s="614"/>
    </row>
    <row r="182" spans="1:17" x14ac:dyDescent="0.4">
      <c r="A182" s="601"/>
      <c r="B182" s="601" t="s">
        <v>347</v>
      </c>
      <c r="C182" s="602" t="s">
        <v>235</v>
      </c>
      <c r="D182" s="469">
        <v>1.8</v>
      </c>
      <c r="E182" s="536">
        <v>112002</v>
      </c>
      <c r="F182" s="603"/>
      <c r="G182" s="604"/>
      <c r="H182" s="605"/>
      <c r="I182" s="606"/>
      <c r="J182" s="607"/>
      <c r="K182" s="608"/>
      <c r="L182" s="609"/>
      <c r="M182" s="610"/>
      <c r="N182" s="611"/>
      <c r="O182" s="612"/>
      <c r="P182" s="613"/>
      <c r="Q182" s="614"/>
    </row>
    <row r="183" spans="1:17" x14ac:dyDescent="0.4">
      <c r="A183" s="601"/>
      <c r="B183" s="601" t="s">
        <v>350</v>
      </c>
      <c r="C183" s="602" t="s">
        <v>127</v>
      </c>
      <c r="D183" s="469">
        <v>1</v>
      </c>
      <c r="E183" s="536">
        <v>112002</v>
      </c>
      <c r="F183" s="603"/>
      <c r="G183" s="604"/>
      <c r="H183" s="605"/>
      <c r="I183" s="606"/>
      <c r="J183" s="607"/>
      <c r="K183" s="608"/>
      <c r="L183" s="609"/>
      <c r="M183" s="610"/>
      <c r="N183" s="611"/>
      <c r="O183" s="612"/>
      <c r="P183" s="613"/>
      <c r="Q183" s="614"/>
    </row>
    <row r="184" spans="1:17" x14ac:dyDescent="0.4">
      <c r="A184" s="601"/>
      <c r="B184" s="601" t="s">
        <v>358</v>
      </c>
      <c r="C184" s="602" t="s">
        <v>89</v>
      </c>
      <c r="D184" s="469">
        <v>2.0299999999999998</v>
      </c>
      <c r="E184" s="536">
        <v>47064</v>
      </c>
      <c r="F184" s="603"/>
      <c r="G184" s="604"/>
      <c r="H184" s="605"/>
      <c r="I184" s="606"/>
      <c r="J184" s="607"/>
      <c r="K184" s="608"/>
      <c r="L184" s="609"/>
      <c r="M184" s="610"/>
      <c r="N184" s="611"/>
      <c r="O184" s="612"/>
      <c r="P184" s="613"/>
      <c r="Q184" s="614"/>
    </row>
    <row r="185" spans="1:17" x14ac:dyDescent="0.4">
      <c r="A185" s="601"/>
      <c r="B185" s="601" t="s">
        <v>361</v>
      </c>
      <c r="C185" s="602" t="s">
        <v>92</v>
      </c>
      <c r="D185" s="469">
        <v>0.16</v>
      </c>
      <c r="E185" s="536">
        <v>66663</v>
      </c>
      <c r="F185" s="603"/>
      <c r="G185" s="604"/>
      <c r="H185" s="605"/>
      <c r="I185" s="606"/>
      <c r="J185" s="607"/>
      <c r="K185" s="608"/>
      <c r="L185" s="609"/>
      <c r="M185" s="610"/>
      <c r="N185" s="611"/>
      <c r="O185" s="612"/>
      <c r="P185" s="613"/>
      <c r="Q185" s="614"/>
    </row>
    <row r="186" spans="1:17" x14ac:dyDescent="0.4">
      <c r="A186" s="601"/>
      <c r="B186" s="601" t="s">
        <v>363</v>
      </c>
      <c r="C186" s="602" t="s">
        <v>94</v>
      </c>
      <c r="D186" s="469">
        <v>1.93</v>
      </c>
      <c r="E186" s="536">
        <v>79237</v>
      </c>
      <c r="F186" s="603"/>
      <c r="G186" s="604"/>
      <c r="H186" s="605"/>
      <c r="I186" s="606"/>
      <c r="J186" s="607"/>
      <c r="K186" s="608"/>
      <c r="L186" s="609"/>
      <c r="M186" s="610"/>
      <c r="N186" s="611"/>
      <c r="O186" s="612"/>
      <c r="P186" s="613"/>
      <c r="Q186" s="614"/>
    </row>
    <row r="187" spans="1:17" x14ac:dyDescent="0.4">
      <c r="A187" s="601"/>
      <c r="B187" s="601" t="s">
        <v>366</v>
      </c>
      <c r="C187" s="602" t="s">
        <v>88</v>
      </c>
      <c r="D187" s="469">
        <v>0.16</v>
      </c>
      <c r="E187" s="536">
        <v>108426</v>
      </c>
      <c r="F187" s="603"/>
      <c r="G187" s="604"/>
      <c r="H187" s="605"/>
      <c r="I187" s="606"/>
      <c r="J187" s="607"/>
      <c r="K187" s="608"/>
      <c r="L187" s="609"/>
      <c r="M187" s="610"/>
      <c r="N187" s="611"/>
      <c r="O187" s="612"/>
      <c r="P187" s="613"/>
      <c r="Q187" s="614"/>
    </row>
    <row r="188" spans="1:17" x14ac:dyDescent="0.4">
      <c r="A188" s="557"/>
      <c r="B188" s="629"/>
      <c r="C188" s="629"/>
      <c r="D188" s="615"/>
      <c r="E188" s="562"/>
      <c r="F188" s="617">
        <f>SUM(D180:D183)</f>
        <v>5.4</v>
      </c>
      <c r="G188" s="618">
        <f>(SUMPRODUCT(D180:D183,E180:E183))</f>
        <v>548641.4</v>
      </c>
      <c r="H188" s="619"/>
      <c r="I188" s="620"/>
      <c r="J188" s="621">
        <f>SUM(D180:D183)</f>
        <v>5.4</v>
      </c>
      <c r="K188" s="622">
        <f>(SUMPRODUCT(D180:D183,E180:E183))</f>
        <v>548641.4</v>
      </c>
      <c r="L188" s="623"/>
      <c r="M188" s="624"/>
      <c r="N188" s="625">
        <f>+H188+J188+L188</f>
        <v>5.4</v>
      </c>
      <c r="O188" s="626">
        <f>+I188+K188+M188</f>
        <v>548641.4</v>
      </c>
      <c r="P188" s="627">
        <f>SUM(D184:D187)</f>
        <v>4.28</v>
      </c>
      <c r="Q188" s="628">
        <f>(SUMPRODUCT(D184:D187,E184:E187))</f>
        <v>276481.56999999995</v>
      </c>
    </row>
    <row r="189" spans="1:17" x14ac:dyDescent="0.4">
      <c r="A189" s="601" t="s">
        <v>336</v>
      </c>
      <c r="B189" s="601" t="s">
        <v>489</v>
      </c>
      <c r="C189" s="602"/>
      <c r="D189" s="469"/>
      <c r="E189" s="536"/>
      <c r="F189" s="603"/>
      <c r="G189" s="604"/>
      <c r="H189" s="605"/>
      <c r="I189" s="606"/>
      <c r="J189" s="607"/>
      <c r="K189" s="608"/>
      <c r="L189" s="609"/>
      <c r="M189" s="610"/>
      <c r="N189" s="611"/>
      <c r="O189" s="612"/>
      <c r="P189" s="613"/>
      <c r="Q189" s="614"/>
    </row>
    <row r="190" spans="1:17" x14ac:dyDescent="0.4">
      <c r="A190" s="601"/>
      <c r="B190" s="601" t="s">
        <v>356</v>
      </c>
      <c r="C190" s="602" t="s">
        <v>170</v>
      </c>
      <c r="D190" s="469">
        <v>6</v>
      </c>
      <c r="E190" s="536">
        <v>75331</v>
      </c>
      <c r="F190" s="603"/>
      <c r="G190" s="604"/>
      <c r="H190" s="605"/>
      <c r="I190" s="606"/>
      <c r="J190" s="607"/>
      <c r="K190" s="608"/>
      <c r="L190" s="609"/>
      <c r="M190" s="610"/>
      <c r="N190" s="611"/>
      <c r="O190" s="612"/>
      <c r="P190" s="613"/>
      <c r="Q190" s="614"/>
    </row>
    <row r="191" spans="1:17" x14ac:dyDescent="0.4">
      <c r="A191" s="601"/>
      <c r="B191" s="601" t="s">
        <v>358</v>
      </c>
      <c r="C191" s="602" t="s">
        <v>89</v>
      </c>
      <c r="D191" s="469">
        <v>0.15</v>
      </c>
      <c r="E191" s="536">
        <v>64584</v>
      </c>
      <c r="F191" s="603"/>
      <c r="G191" s="604"/>
      <c r="H191" s="605"/>
      <c r="I191" s="606"/>
      <c r="J191" s="607"/>
      <c r="K191" s="608"/>
      <c r="L191" s="609"/>
      <c r="M191" s="610"/>
      <c r="N191" s="611"/>
      <c r="O191" s="612"/>
      <c r="P191" s="613"/>
      <c r="Q191" s="614"/>
    </row>
    <row r="192" spans="1:17" x14ac:dyDescent="0.4">
      <c r="A192" s="601"/>
      <c r="B192" s="601" t="s">
        <v>361</v>
      </c>
      <c r="C192" s="602" t="s">
        <v>92</v>
      </c>
      <c r="D192" s="469">
        <v>0.85</v>
      </c>
      <c r="E192" s="536">
        <v>67837</v>
      </c>
      <c r="F192" s="603"/>
      <c r="G192" s="604"/>
      <c r="H192" s="605"/>
      <c r="I192" s="606"/>
      <c r="J192" s="607"/>
      <c r="K192" s="608"/>
      <c r="L192" s="609"/>
      <c r="M192" s="610"/>
      <c r="N192" s="611"/>
      <c r="O192" s="612"/>
      <c r="P192" s="613"/>
      <c r="Q192" s="614"/>
    </row>
    <row r="193" spans="1:17" x14ac:dyDescent="0.4">
      <c r="A193" s="557"/>
      <c r="B193" s="557"/>
      <c r="C193" s="557"/>
      <c r="D193" s="615"/>
      <c r="E193" s="562"/>
      <c r="F193" s="617">
        <f>SUM(D190:D190)</f>
        <v>6</v>
      </c>
      <c r="G193" s="618">
        <f>(SUMPRODUCT(D190:D190,E190:E190))</f>
        <v>451986</v>
      </c>
      <c r="H193" s="619"/>
      <c r="I193" s="620"/>
      <c r="J193" s="621">
        <f>SUM(D190:D190)</f>
        <v>6</v>
      </c>
      <c r="K193" s="622">
        <f>(SUMPRODUCT(D190:D190,E190:E190))</f>
        <v>451986</v>
      </c>
      <c r="L193" s="623"/>
      <c r="M193" s="624"/>
      <c r="N193" s="625">
        <f>+H193+J193+L193</f>
        <v>6</v>
      </c>
      <c r="O193" s="626">
        <f>+I193+K193+M193</f>
        <v>451986</v>
      </c>
      <c r="P193" s="627">
        <f>SUM(D191:D192)</f>
        <v>1</v>
      </c>
      <c r="Q193" s="628">
        <f>(SUMPRODUCT(D191:D192,E191:E192))</f>
        <v>67349.05</v>
      </c>
    </row>
    <row r="194" spans="1:17" x14ac:dyDescent="0.4">
      <c r="A194" s="601" t="s">
        <v>337</v>
      </c>
      <c r="B194" s="601" t="s">
        <v>247</v>
      </c>
      <c r="C194" s="602"/>
      <c r="D194" s="469"/>
      <c r="E194" s="536"/>
      <c r="F194" s="603"/>
      <c r="G194" s="604"/>
      <c r="H194" s="605"/>
      <c r="I194" s="606"/>
      <c r="J194" s="607"/>
      <c r="K194" s="608"/>
      <c r="L194" s="609"/>
      <c r="M194" s="610"/>
      <c r="N194" s="611"/>
      <c r="O194" s="612"/>
      <c r="P194" s="613"/>
      <c r="Q194" s="614"/>
    </row>
    <row r="195" spans="1:17" x14ac:dyDescent="0.4">
      <c r="A195" s="601"/>
      <c r="B195" s="601" t="s">
        <v>333</v>
      </c>
      <c r="C195" s="602" t="s">
        <v>113</v>
      </c>
      <c r="D195" s="469">
        <v>19.350000000000001</v>
      </c>
      <c r="E195" s="536">
        <v>171213</v>
      </c>
      <c r="F195" s="603"/>
      <c r="G195" s="604"/>
      <c r="H195" s="605"/>
      <c r="I195" s="606"/>
      <c r="J195" s="607"/>
      <c r="K195" s="608"/>
      <c r="L195" s="609"/>
      <c r="M195" s="610"/>
      <c r="N195" s="611"/>
      <c r="O195" s="612"/>
      <c r="P195" s="613"/>
      <c r="Q195" s="614"/>
    </row>
    <row r="196" spans="1:17" x14ac:dyDescent="0.4">
      <c r="A196" s="601"/>
      <c r="B196" s="601" t="s">
        <v>338</v>
      </c>
      <c r="C196" s="602" t="s">
        <v>114</v>
      </c>
      <c r="D196" s="469">
        <v>0.2</v>
      </c>
      <c r="E196" s="536">
        <v>134025</v>
      </c>
      <c r="F196" s="603"/>
      <c r="G196" s="604"/>
      <c r="H196" s="605"/>
      <c r="I196" s="606"/>
      <c r="J196" s="607"/>
      <c r="K196" s="608"/>
      <c r="L196" s="609"/>
      <c r="M196" s="610"/>
      <c r="N196" s="611"/>
      <c r="O196" s="612"/>
      <c r="P196" s="613"/>
      <c r="Q196" s="614"/>
    </row>
    <row r="197" spans="1:17" x14ac:dyDescent="0.4">
      <c r="A197" s="601"/>
      <c r="B197" s="601" t="s">
        <v>339</v>
      </c>
      <c r="C197" s="602" t="s">
        <v>407</v>
      </c>
      <c r="D197" s="469">
        <v>40.479999999999997</v>
      </c>
      <c r="E197" s="536">
        <v>86810</v>
      </c>
      <c r="F197" s="603"/>
      <c r="G197" s="604"/>
      <c r="H197" s="605"/>
      <c r="I197" s="606"/>
      <c r="J197" s="607"/>
      <c r="K197" s="608"/>
      <c r="L197" s="609"/>
      <c r="M197" s="610"/>
      <c r="N197" s="611"/>
      <c r="O197" s="612"/>
      <c r="P197" s="613"/>
      <c r="Q197" s="614"/>
    </row>
    <row r="198" spans="1:17" x14ac:dyDescent="0.4">
      <c r="A198" s="601"/>
      <c r="B198" s="601" t="s">
        <v>340</v>
      </c>
      <c r="C198" s="602" t="s">
        <v>115</v>
      </c>
      <c r="D198" s="469">
        <v>167.5</v>
      </c>
      <c r="E198" s="536">
        <v>93590</v>
      </c>
      <c r="F198" s="603"/>
      <c r="G198" s="604"/>
      <c r="H198" s="605"/>
      <c r="I198" s="606"/>
      <c r="J198" s="607"/>
      <c r="K198" s="608"/>
      <c r="L198" s="609"/>
      <c r="M198" s="610"/>
      <c r="N198" s="611"/>
      <c r="O198" s="612"/>
      <c r="P198" s="613"/>
      <c r="Q198" s="614"/>
    </row>
    <row r="199" spans="1:17" x14ac:dyDescent="0.4">
      <c r="A199" s="601"/>
      <c r="B199" s="601" t="s">
        <v>341</v>
      </c>
      <c r="C199" s="602" t="s">
        <v>116</v>
      </c>
      <c r="D199" s="469">
        <v>506.44</v>
      </c>
      <c r="E199" s="536">
        <v>94485</v>
      </c>
      <c r="F199" s="603"/>
      <c r="G199" s="604"/>
      <c r="H199" s="605"/>
      <c r="I199" s="606"/>
      <c r="J199" s="607"/>
      <c r="K199" s="608"/>
      <c r="L199" s="609"/>
      <c r="M199" s="610"/>
      <c r="N199" s="611"/>
      <c r="O199" s="612"/>
      <c r="P199" s="613"/>
      <c r="Q199" s="614"/>
    </row>
    <row r="200" spans="1:17" x14ac:dyDescent="0.4">
      <c r="A200" s="601"/>
      <c r="B200" s="601" t="s">
        <v>408</v>
      </c>
      <c r="C200" s="602" t="s">
        <v>409</v>
      </c>
      <c r="D200" s="469">
        <v>1</v>
      </c>
      <c r="E200" s="536">
        <v>93519</v>
      </c>
      <c r="F200" s="603"/>
      <c r="G200" s="604"/>
      <c r="H200" s="605"/>
      <c r="I200" s="606"/>
      <c r="J200" s="607"/>
      <c r="K200" s="608"/>
      <c r="L200" s="609"/>
      <c r="M200" s="610"/>
      <c r="N200" s="611"/>
      <c r="O200" s="612"/>
      <c r="P200" s="613"/>
      <c r="Q200" s="614"/>
    </row>
    <row r="201" spans="1:17" x14ac:dyDescent="0.4">
      <c r="A201" s="601"/>
      <c r="B201" s="601" t="s">
        <v>440</v>
      </c>
      <c r="C201" s="602" t="s">
        <v>486</v>
      </c>
      <c r="D201" s="469">
        <v>2.8</v>
      </c>
      <c r="E201" s="536">
        <v>111034</v>
      </c>
      <c r="F201" s="603"/>
      <c r="G201" s="604"/>
      <c r="H201" s="605"/>
      <c r="I201" s="606"/>
      <c r="J201" s="607"/>
      <c r="K201" s="608"/>
      <c r="L201" s="609"/>
      <c r="M201" s="610"/>
      <c r="N201" s="611"/>
      <c r="O201" s="612"/>
      <c r="P201" s="613"/>
      <c r="Q201" s="614"/>
    </row>
    <row r="202" spans="1:17" x14ac:dyDescent="0.4">
      <c r="A202" s="601"/>
      <c r="B202" s="601" t="s">
        <v>342</v>
      </c>
      <c r="C202" s="602" t="s">
        <v>117</v>
      </c>
      <c r="D202" s="469">
        <v>52.09</v>
      </c>
      <c r="E202" s="536">
        <v>102340</v>
      </c>
      <c r="F202" s="603"/>
      <c r="G202" s="604"/>
      <c r="H202" s="605"/>
      <c r="I202" s="606"/>
      <c r="J202" s="607"/>
      <c r="K202" s="608"/>
      <c r="L202" s="609"/>
      <c r="M202" s="610"/>
      <c r="N202" s="611"/>
      <c r="O202" s="612"/>
      <c r="P202" s="613"/>
      <c r="Q202" s="614"/>
    </row>
    <row r="203" spans="1:17" x14ac:dyDescent="0.4">
      <c r="A203" s="601"/>
      <c r="B203" s="601" t="s">
        <v>344</v>
      </c>
      <c r="C203" s="602" t="s">
        <v>122</v>
      </c>
      <c r="D203" s="469">
        <v>2.1</v>
      </c>
      <c r="E203" s="536">
        <v>98580</v>
      </c>
      <c r="F203" s="603"/>
      <c r="G203" s="604"/>
      <c r="H203" s="605"/>
      <c r="I203" s="606"/>
      <c r="J203" s="607"/>
      <c r="K203" s="608"/>
      <c r="L203" s="609"/>
      <c r="M203" s="610"/>
      <c r="N203" s="611"/>
      <c r="O203" s="612"/>
      <c r="P203" s="613"/>
      <c r="Q203" s="614"/>
    </row>
    <row r="204" spans="1:17" x14ac:dyDescent="0.4">
      <c r="A204" s="601"/>
      <c r="B204" s="601" t="s">
        <v>345</v>
      </c>
      <c r="C204" s="602" t="s">
        <v>123</v>
      </c>
      <c r="D204" s="469">
        <v>62.49</v>
      </c>
      <c r="E204" s="536">
        <v>99096</v>
      </c>
      <c r="F204" s="603"/>
      <c r="G204" s="604"/>
      <c r="H204" s="605"/>
      <c r="I204" s="606"/>
      <c r="J204" s="607"/>
      <c r="K204" s="608"/>
      <c r="L204" s="609"/>
      <c r="M204" s="610"/>
      <c r="N204" s="611"/>
      <c r="O204" s="612"/>
      <c r="P204" s="613"/>
      <c r="Q204" s="614"/>
    </row>
    <row r="205" spans="1:17" x14ac:dyDescent="0.4">
      <c r="A205" s="601"/>
      <c r="B205" s="601" t="s">
        <v>346</v>
      </c>
      <c r="C205" s="602" t="s">
        <v>124</v>
      </c>
      <c r="D205" s="469">
        <v>11.6</v>
      </c>
      <c r="E205" s="536">
        <v>94081</v>
      </c>
      <c r="F205" s="603"/>
      <c r="G205" s="604"/>
      <c r="H205" s="605"/>
      <c r="I205" s="606"/>
      <c r="J205" s="607"/>
      <c r="K205" s="608"/>
      <c r="L205" s="609"/>
      <c r="M205" s="610"/>
      <c r="N205" s="611"/>
      <c r="O205" s="612"/>
      <c r="P205" s="613"/>
      <c r="Q205" s="614"/>
    </row>
    <row r="206" spans="1:17" x14ac:dyDescent="0.4">
      <c r="A206" s="601"/>
      <c r="B206" s="601" t="s">
        <v>347</v>
      </c>
      <c r="C206" s="602" t="s">
        <v>235</v>
      </c>
      <c r="D206" s="469">
        <v>57.77</v>
      </c>
      <c r="E206" s="536">
        <v>104064</v>
      </c>
      <c r="F206" s="603"/>
      <c r="G206" s="604"/>
      <c r="H206" s="605"/>
      <c r="I206" s="606"/>
      <c r="J206" s="607"/>
      <c r="K206" s="608"/>
      <c r="L206" s="609"/>
      <c r="M206" s="610"/>
      <c r="N206" s="611"/>
      <c r="O206" s="612"/>
      <c r="P206" s="613"/>
      <c r="Q206" s="614"/>
    </row>
    <row r="207" spans="1:17" x14ac:dyDescent="0.4">
      <c r="A207" s="601"/>
      <c r="B207" s="601" t="s">
        <v>348</v>
      </c>
      <c r="C207" s="602" t="s">
        <v>125</v>
      </c>
      <c r="D207" s="469">
        <v>142.91</v>
      </c>
      <c r="E207" s="536">
        <v>106055</v>
      </c>
      <c r="F207" s="603"/>
      <c r="G207" s="604"/>
      <c r="H207" s="605"/>
      <c r="I207" s="606"/>
      <c r="J207" s="607"/>
      <c r="K207" s="608"/>
      <c r="L207" s="609"/>
      <c r="M207" s="610"/>
      <c r="N207" s="611"/>
      <c r="O207" s="612"/>
      <c r="P207" s="613"/>
      <c r="Q207" s="614"/>
    </row>
    <row r="208" spans="1:17" x14ac:dyDescent="0.4">
      <c r="A208" s="601"/>
      <c r="B208" s="601" t="s">
        <v>350</v>
      </c>
      <c r="C208" s="602" t="s">
        <v>127</v>
      </c>
      <c r="D208" s="469">
        <v>7.21</v>
      </c>
      <c r="E208" s="536">
        <v>102933</v>
      </c>
      <c r="F208" s="603"/>
      <c r="G208" s="604"/>
      <c r="H208" s="605"/>
      <c r="I208" s="606"/>
      <c r="J208" s="607"/>
      <c r="K208" s="608"/>
      <c r="L208" s="609"/>
      <c r="M208" s="610"/>
      <c r="N208" s="611"/>
      <c r="O208" s="612"/>
      <c r="P208" s="613"/>
      <c r="Q208" s="614"/>
    </row>
    <row r="209" spans="1:17" x14ac:dyDescent="0.4">
      <c r="A209" s="601"/>
      <c r="B209" s="601" t="s">
        <v>351</v>
      </c>
      <c r="C209" s="602" t="s">
        <v>427</v>
      </c>
      <c r="D209" s="469">
        <v>1</v>
      </c>
      <c r="E209" s="536">
        <v>112954</v>
      </c>
      <c r="F209" s="603"/>
      <c r="G209" s="604"/>
      <c r="H209" s="605"/>
      <c r="I209" s="606"/>
      <c r="J209" s="607"/>
      <c r="K209" s="608"/>
      <c r="L209" s="609"/>
      <c r="M209" s="610"/>
      <c r="N209" s="611"/>
      <c r="O209" s="612"/>
      <c r="P209" s="613"/>
      <c r="Q209" s="614"/>
    </row>
    <row r="210" spans="1:17" x14ac:dyDescent="0.4">
      <c r="A210" s="601"/>
      <c r="B210" s="601" t="s">
        <v>354</v>
      </c>
      <c r="C210" s="602" t="s">
        <v>236</v>
      </c>
      <c r="D210" s="469">
        <v>0.12</v>
      </c>
      <c r="E210" s="536">
        <v>64455</v>
      </c>
      <c r="F210" s="603"/>
      <c r="G210" s="604"/>
      <c r="H210" s="605"/>
      <c r="I210" s="606"/>
      <c r="J210" s="607"/>
      <c r="K210" s="608"/>
      <c r="L210" s="609"/>
      <c r="M210" s="610"/>
      <c r="N210" s="611"/>
      <c r="O210" s="612"/>
      <c r="P210" s="613"/>
      <c r="Q210" s="614"/>
    </row>
    <row r="211" spans="1:17" x14ac:dyDescent="0.4">
      <c r="A211" s="601"/>
      <c r="B211" s="601" t="s">
        <v>356</v>
      </c>
      <c r="C211" s="602" t="s">
        <v>170</v>
      </c>
      <c r="D211" s="469">
        <v>12.8</v>
      </c>
      <c r="E211" s="536">
        <v>82628</v>
      </c>
      <c r="F211" s="603"/>
      <c r="G211" s="604"/>
      <c r="H211" s="605"/>
      <c r="I211" s="606"/>
      <c r="J211" s="607"/>
      <c r="K211" s="608"/>
      <c r="L211" s="609"/>
      <c r="M211" s="610"/>
      <c r="N211" s="611"/>
      <c r="O211" s="612"/>
      <c r="P211" s="613"/>
      <c r="Q211" s="614"/>
    </row>
    <row r="212" spans="1:17" x14ac:dyDescent="0.4">
      <c r="A212" s="601"/>
      <c r="B212" s="601" t="s">
        <v>358</v>
      </c>
      <c r="C212" s="602" t="s">
        <v>89</v>
      </c>
      <c r="D212" s="469">
        <v>706.53</v>
      </c>
      <c r="E212" s="536">
        <v>55757</v>
      </c>
      <c r="F212" s="603"/>
      <c r="G212" s="604"/>
      <c r="H212" s="605"/>
      <c r="I212" s="606"/>
      <c r="J212" s="607"/>
      <c r="K212" s="608"/>
      <c r="L212" s="609"/>
      <c r="M212" s="610"/>
      <c r="N212" s="611"/>
      <c r="O212" s="612"/>
      <c r="P212" s="613"/>
      <c r="Q212" s="614"/>
    </row>
    <row r="213" spans="1:17" x14ac:dyDescent="0.4">
      <c r="A213" s="601"/>
      <c r="B213" s="601" t="s">
        <v>361</v>
      </c>
      <c r="C213" s="602" t="s">
        <v>92</v>
      </c>
      <c r="D213" s="469">
        <v>18.12</v>
      </c>
      <c r="E213" s="536">
        <v>70672</v>
      </c>
      <c r="F213" s="603"/>
      <c r="G213" s="604"/>
      <c r="H213" s="605"/>
      <c r="I213" s="606"/>
      <c r="J213" s="607"/>
      <c r="K213" s="608"/>
      <c r="L213" s="609"/>
      <c r="M213" s="610"/>
      <c r="N213" s="611"/>
      <c r="O213" s="612"/>
      <c r="P213" s="613"/>
      <c r="Q213" s="614"/>
    </row>
    <row r="214" spans="1:17" x14ac:dyDescent="0.4">
      <c r="A214" s="601"/>
      <c r="B214" s="601" t="s">
        <v>363</v>
      </c>
      <c r="C214" s="602" t="s">
        <v>94</v>
      </c>
      <c r="D214" s="469">
        <v>25.82</v>
      </c>
      <c r="E214" s="536">
        <v>70480</v>
      </c>
      <c r="F214" s="603"/>
      <c r="G214" s="604"/>
      <c r="H214" s="605"/>
      <c r="I214" s="606"/>
      <c r="J214" s="607"/>
      <c r="K214" s="608"/>
      <c r="L214" s="609"/>
      <c r="M214" s="610"/>
      <c r="N214" s="611"/>
      <c r="O214" s="612"/>
      <c r="P214" s="613"/>
      <c r="Q214" s="614"/>
    </row>
    <row r="215" spans="1:17" x14ac:dyDescent="0.4">
      <c r="A215" s="601"/>
      <c r="B215" s="601" t="s">
        <v>365</v>
      </c>
      <c r="C215" s="602" t="s">
        <v>96</v>
      </c>
      <c r="D215" s="469">
        <v>0.55000000000000004</v>
      </c>
      <c r="E215" s="536">
        <v>66764</v>
      </c>
      <c r="F215" s="603"/>
      <c r="G215" s="604"/>
      <c r="H215" s="605"/>
      <c r="I215" s="606"/>
      <c r="J215" s="607"/>
      <c r="K215" s="608"/>
      <c r="L215" s="609"/>
      <c r="M215" s="610"/>
      <c r="N215" s="611"/>
      <c r="O215" s="612"/>
      <c r="P215" s="613"/>
      <c r="Q215" s="614"/>
    </row>
    <row r="216" spans="1:17" x14ac:dyDescent="0.4">
      <c r="A216" s="557"/>
      <c r="B216" s="557"/>
      <c r="C216" s="557"/>
      <c r="D216" s="615"/>
      <c r="E216" s="630"/>
      <c r="F216" s="617">
        <f>SUM(D195:D211)</f>
        <v>1087.8599999999999</v>
      </c>
      <c r="G216" s="618">
        <f>(SUMPRODUCT(D195:D211,E195:E211))</f>
        <v>106695896.45</v>
      </c>
      <c r="H216" s="619">
        <f>SUM(D195:D196)</f>
        <v>19.55</v>
      </c>
      <c r="I216" s="620">
        <f>(SUMPRODUCT(D195:D196,E195:E196))</f>
        <v>3339776.5500000003</v>
      </c>
      <c r="J216" s="621">
        <f>SUM(D197:D209,D211:D211)</f>
        <v>1068.19</v>
      </c>
      <c r="K216" s="622">
        <f>(SUMPRODUCT(D197:D209,E197:E209))+(SUMPRODUCT(D211:D211,E211:E211))</f>
        <v>103348385.30000001</v>
      </c>
      <c r="L216" s="623">
        <f>SUM(D210:D210)</f>
        <v>0.12</v>
      </c>
      <c r="M216" s="624">
        <f>(SUMPRODUCT(D210:D210,E210:E210))</f>
        <v>7734.5999999999995</v>
      </c>
      <c r="N216" s="625">
        <f>+H216+J216+L216</f>
        <v>1087.8599999999999</v>
      </c>
      <c r="O216" s="626">
        <f>+I216+K216+M216</f>
        <v>106695896.45</v>
      </c>
      <c r="P216" s="627">
        <f>SUM(D212:D215)</f>
        <v>751.02</v>
      </c>
      <c r="Q216" s="628">
        <f>(SUMPRODUCT(D212:D215,E212:E215))</f>
        <v>42531083.650000006</v>
      </c>
    </row>
    <row r="217" spans="1:17" x14ac:dyDescent="0.4">
      <c r="A217" s="601" t="s">
        <v>338</v>
      </c>
      <c r="B217" s="601" t="s">
        <v>495</v>
      </c>
      <c r="C217" s="602"/>
      <c r="D217" s="469"/>
      <c r="E217" s="536"/>
      <c r="F217" s="603"/>
      <c r="G217" s="604"/>
      <c r="H217" s="605"/>
      <c r="I217" s="606"/>
      <c r="J217" s="607"/>
      <c r="K217" s="608"/>
      <c r="L217" s="609"/>
      <c r="M217" s="610"/>
      <c r="N217" s="611"/>
      <c r="O217" s="612"/>
      <c r="P217" s="613"/>
      <c r="Q217" s="614"/>
    </row>
    <row r="218" spans="1:17" x14ac:dyDescent="0.4">
      <c r="A218" s="601"/>
      <c r="B218" s="601" t="s">
        <v>333</v>
      </c>
      <c r="C218" s="602" t="s">
        <v>113</v>
      </c>
      <c r="D218" s="469">
        <v>0.2</v>
      </c>
      <c r="E218" s="536">
        <v>153492</v>
      </c>
      <c r="F218" s="603"/>
      <c r="G218" s="604"/>
      <c r="H218" s="605"/>
      <c r="I218" s="606"/>
      <c r="J218" s="607"/>
      <c r="K218" s="608"/>
      <c r="L218" s="609"/>
      <c r="M218" s="610"/>
      <c r="N218" s="611"/>
      <c r="O218" s="612"/>
      <c r="P218" s="613"/>
      <c r="Q218" s="614"/>
    </row>
    <row r="219" spans="1:17" x14ac:dyDescent="0.4">
      <c r="A219" s="557"/>
      <c r="B219" s="557"/>
      <c r="C219" s="557"/>
      <c r="D219" s="615"/>
      <c r="E219" s="562"/>
      <c r="F219" s="617">
        <f>SUM(D218:D218)</f>
        <v>0.2</v>
      </c>
      <c r="G219" s="618">
        <f>(SUMPRODUCT(D218:D218,E218:E218))</f>
        <v>30698.400000000001</v>
      </c>
      <c r="H219" s="619">
        <f>SUM(D218:D218)</f>
        <v>0.2</v>
      </c>
      <c r="I219" s="620">
        <f>(SUMPRODUCT(D218:D218,E218:E218))</f>
        <v>30698.400000000001</v>
      </c>
      <c r="J219" s="621"/>
      <c r="K219" s="622"/>
      <c r="L219" s="623"/>
      <c r="M219" s="624"/>
      <c r="N219" s="625">
        <f>+H219+J219+L219</f>
        <v>0.2</v>
      </c>
      <c r="O219" s="626">
        <f>+I219+K219+M219</f>
        <v>30698.400000000001</v>
      </c>
      <c r="P219" s="627"/>
      <c r="Q219" s="628"/>
    </row>
    <row r="220" spans="1:17" x14ac:dyDescent="0.4">
      <c r="A220" s="601" t="s">
        <v>437</v>
      </c>
      <c r="B220" s="601" t="s">
        <v>248</v>
      </c>
      <c r="C220" s="602"/>
      <c r="D220" s="469"/>
      <c r="E220" s="536"/>
      <c r="F220" s="603"/>
      <c r="G220" s="604"/>
      <c r="H220" s="605"/>
      <c r="I220" s="606"/>
      <c r="J220" s="607"/>
      <c r="K220" s="608"/>
      <c r="L220" s="609"/>
      <c r="M220" s="610"/>
      <c r="N220" s="611"/>
      <c r="O220" s="612"/>
      <c r="P220" s="613"/>
      <c r="Q220" s="614"/>
    </row>
    <row r="221" spans="1:17" x14ac:dyDescent="0.4">
      <c r="A221" s="601"/>
      <c r="B221" s="601" t="s">
        <v>333</v>
      </c>
      <c r="C221" s="602" t="s">
        <v>113</v>
      </c>
      <c r="D221" s="469">
        <v>0.51</v>
      </c>
      <c r="E221" s="536">
        <v>111793</v>
      </c>
      <c r="F221" s="603"/>
      <c r="G221" s="604"/>
      <c r="H221" s="605"/>
      <c r="I221" s="606"/>
      <c r="J221" s="607"/>
      <c r="K221" s="608"/>
      <c r="L221" s="609"/>
      <c r="M221" s="610"/>
      <c r="N221" s="611"/>
      <c r="O221" s="612"/>
      <c r="P221" s="613"/>
      <c r="Q221" s="614"/>
    </row>
    <row r="222" spans="1:17" x14ac:dyDescent="0.4">
      <c r="A222" s="601"/>
      <c r="B222" s="601" t="s">
        <v>334</v>
      </c>
      <c r="C222" s="602" t="s">
        <v>120</v>
      </c>
      <c r="D222" s="469">
        <v>0.5</v>
      </c>
      <c r="E222" s="536">
        <v>198084</v>
      </c>
      <c r="F222" s="603"/>
      <c r="G222" s="604"/>
      <c r="H222" s="605"/>
      <c r="I222" s="606"/>
      <c r="J222" s="607"/>
      <c r="K222" s="608"/>
      <c r="L222" s="609"/>
      <c r="M222" s="610"/>
      <c r="N222" s="611"/>
      <c r="O222" s="612"/>
      <c r="P222" s="613"/>
      <c r="Q222" s="614"/>
    </row>
    <row r="223" spans="1:17" x14ac:dyDescent="0.4">
      <c r="A223" s="601"/>
      <c r="B223" s="601" t="s">
        <v>336</v>
      </c>
      <c r="C223" s="602" t="s">
        <v>121</v>
      </c>
      <c r="D223" s="469">
        <v>0.6</v>
      </c>
      <c r="E223" s="536">
        <v>205388</v>
      </c>
      <c r="F223" s="603"/>
      <c r="G223" s="604"/>
      <c r="H223" s="605"/>
      <c r="I223" s="606"/>
      <c r="J223" s="607"/>
      <c r="K223" s="608"/>
      <c r="L223" s="609"/>
      <c r="M223" s="610"/>
      <c r="N223" s="611"/>
      <c r="O223" s="612"/>
      <c r="P223" s="613"/>
      <c r="Q223" s="614"/>
    </row>
    <row r="224" spans="1:17" x14ac:dyDescent="0.4">
      <c r="A224" s="601"/>
      <c r="B224" s="601" t="s">
        <v>340</v>
      </c>
      <c r="C224" s="602" t="s">
        <v>115</v>
      </c>
      <c r="D224" s="469">
        <v>6.25</v>
      </c>
      <c r="E224" s="536">
        <v>84555</v>
      </c>
      <c r="F224" s="603"/>
      <c r="G224" s="604"/>
      <c r="H224" s="605"/>
      <c r="I224" s="606"/>
      <c r="J224" s="607"/>
      <c r="K224" s="608"/>
      <c r="L224" s="609"/>
      <c r="M224" s="610"/>
      <c r="N224" s="611"/>
      <c r="O224" s="612"/>
      <c r="P224" s="613"/>
      <c r="Q224" s="614"/>
    </row>
    <row r="225" spans="1:17" x14ac:dyDescent="0.4">
      <c r="A225" s="601"/>
      <c r="B225" s="601" t="s">
        <v>341</v>
      </c>
      <c r="C225" s="602" t="s">
        <v>116</v>
      </c>
      <c r="D225" s="469">
        <v>5.98</v>
      </c>
      <c r="E225" s="536">
        <v>90885</v>
      </c>
      <c r="F225" s="603"/>
      <c r="G225" s="604"/>
      <c r="H225" s="605"/>
      <c r="I225" s="606"/>
      <c r="J225" s="607"/>
      <c r="K225" s="608"/>
      <c r="L225" s="609"/>
      <c r="M225" s="610"/>
      <c r="N225" s="611"/>
      <c r="O225" s="612"/>
      <c r="P225" s="613"/>
      <c r="Q225" s="614"/>
    </row>
    <row r="226" spans="1:17" x14ac:dyDescent="0.4">
      <c r="A226" s="601"/>
      <c r="B226" s="601" t="s">
        <v>408</v>
      </c>
      <c r="C226" s="602" t="s">
        <v>409</v>
      </c>
      <c r="D226" s="469">
        <v>1</v>
      </c>
      <c r="E226" s="536">
        <v>162868</v>
      </c>
      <c r="F226" s="603"/>
      <c r="G226" s="604"/>
      <c r="H226" s="605"/>
      <c r="I226" s="606"/>
      <c r="J226" s="607"/>
      <c r="K226" s="608"/>
      <c r="L226" s="609"/>
      <c r="M226" s="610"/>
      <c r="N226" s="611"/>
      <c r="O226" s="612"/>
      <c r="P226" s="613"/>
      <c r="Q226" s="614"/>
    </row>
    <row r="227" spans="1:17" x14ac:dyDescent="0.4">
      <c r="A227" s="601"/>
      <c r="B227" s="601" t="s">
        <v>345</v>
      </c>
      <c r="C227" s="602" t="s">
        <v>123</v>
      </c>
      <c r="D227" s="469">
        <v>0.08</v>
      </c>
      <c r="E227" s="536">
        <v>84163</v>
      </c>
      <c r="F227" s="603"/>
      <c r="G227" s="604"/>
      <c r="H227" s="605"/>
      <c r="I227" s="606"/>
      <c r="J227" s="607"/>
      <c r="K227" s="608"/>
      <c r="L227" s="609"/>
      <c r="M227" s="610"/>
      <c r="N227" s="611"/>
      <c r="O227" s="612"/>
      <c r="P227" s="613"/>
      <c r="Q227" s="614"/>
    </row>
    <row r="228" spans="1:17" x14ac:dyDescent="0.4">
      <c r="A228" s="601"/>
      <c r="B228" s="601" t="s">
        <v>346</v>
      </c>
      <c r="C228" s="602" t="s">
        <v>124</v>
      </c>
      <c r="D228" s="469">
        <v>0.43</v>
      </c>
      <c r="E228" s="536">
        <v>86607</v>
      </c>
      <c r="F228" s="603"/>
      <c r="G228" s="604"/>
      <c r="H228" s="605"/>
      <c r="I228" s="606"/>
      <c r="J228" s="607"/>
      <c r="K228" s="608"/>
      <c r="L228" s="609"/>
      <c r="M228" s="610"/>
      <c r="N228" s="611"/>
      <c r="O228" s="612"/>
      <c r="P228" s="613"/>
      <c r="Q228" s="614"/>
    </row>
    <row r="229" spans="1:17" x14ac:dyDescent="0.4">
      <c r="A229" s="601"/>
      <c r="B229" s="601" t="s">
        <v>347</v>
      </c>
      <c r="C229" s="602" t="s">
        <v>235</v>
      </c>
      <c r="D229" s="469">
        <v>0.13</v>
      </c>
      <c r="E229" s="536">
        <v>91870</v>
      </c>
      <c r="F229" s="603"/>
      <c r="G229" s="604"/>
      <c r="H229" s="605"/>
      <c r="I229" s="606"/>
      <c r="J229" s="607"/>
      <c r="K229" s="608"/>
      <c r="L229" s="609"/>
      <c r="M229" s="610"/>
      <c r="N229" s="611"/>
      <c r="O229" s="612"/>
      <c r="P229" s="613"/>
      <c r="Q229" s="614"/>
    </row>
    <row r="230" spans="1:17" x14ac:dyDescent="0.4">
      <c r="A230" s="601"/>
      <c r="B230" s="601" t="s">
        <v>348</v>
      </c>
      <c r="C230" s="602" t="s">
        <v>125</v>
      </c>
      <c r="D230" s="469">
        <v>0.98</v>
      </c>
      <c r="E230" s="536">
        <v>113708</v>
      </c>
      <c r="F230" s="603"/>
      <c r="G230" s="604"/>
      <c r="H230" s="605"/>
      <c r="I230" s="606"/>
      <c r="J230" s="607"/>
      <c r="K230" s="608"/>
      <c r="L230" s="609"/>
      <c r="M230" s="610"/>
      <c r="N230" s="611"/>
      <c r="O230" s="612"/>
      <c r="P230" s="613"/>
      <c r="Q230" s="614"/>
    </row>
    <row r="231" spans="1:17" x14ac:dyDescent="0.4">
      <c r="A231" s="601"/>
      <c r="B231" s="601" t="s">
        <v>358</v>
      </c>
      <c r="C231" s="602" t="s">
        <v>89</v>
      </c>
      <c r="D231" s="469">
        <v>1.1000000000000001</v>
      </c>
      <c r="E231" s="536">
        <v>47244</v>
      </c>
      <c r="F231" s="603"/>
      <c r="G231" s="604"/>
      <c r="H231" s="605"/>
      <c r="I231" s="606"/>
      <c r="J231" s="607"/>
      <c r="K231" s="608"/>
      <c r="L231" s="609"/>
      <c r="M231" s="610"/>
      <c r="N231" s="611"/>
      <c r="O231" s="612"/>
      <c r="P231" s="613"/>
      <c r="Q231" s="614"/>
    </row>
    <row r="232" spans="1:17" x14ac:dyDescent="0.4">
      <c r="A232" s="601"/>
      <c r="B232" s="601" t="s">
        <v>361</v>
      </c>
      <c r="C232" s="602" t="s">
        <v>92</v>
      </c>
      <c r="D232" s="469">
        <v>3.14</v>
      </c>
      <c r="E232" s="536">
        <v>67239</v>
      </c>
      <c r="F232" s="603"/>
      <c r="G232" s="604"/>
      <c r="H232" s="605"/>
      <c r="I232" s="606"/>
      <c r="J232" s="607"/>
      <c r="K232" s="608"/>
      <c r="L232" s="609"/>
      <c r="M232" s="610"/>
      <c r="N232" s="611"/>
      <c r="O232" s="612"/>
      <c r="P232" s="613"/>
      <c r="Q232" s="614"/>
    </row>
    <row r="233" spans="1:17" x14ac:dyDescent="0.4">
      <c r="A233" s="601"/>
      <c r="B233" s="601" t="s">
        <v>365</v>
      </c>
      <c r="C233" s="602" t="s">
        <v>96</v>
      </c>
      <c r="D233" s="469">
        <v>2.4500000000000002</v>
      </c>
      <c r="E233" s="536">
        <v>74807</v>
      </c>
      <c r="F233" s="603"/>
      <c r="G233" s="604"/>
      <c r="H233" s="605"/>
      <c r="I233" s="606"/>
      <c r="J233" s="607"/>
      <c r="K233" s="608"/>
      <c r="L233" s="609"/>
      <c r="M233" s="610"/>
      <c r="N233" s="611"/>
      <c r="O233" s="612"/>
      <c r="P233" s="613"/>
      <c r="Q233" s="614"/>
    </row>
    <row r="234" spans="1:17" x14ac:dyDescent="0.4">
      <c r="A234" s="557"/>
      <c r="B234" s="557"/>
      <c r="C234" s="557"/>
      <c r="D234" s="615"/>
      <c r="E234" s="562"/>
      <c r="F234" s="617">
        <f>SUM(D221:D230)</f>
        <v>16.46</v>
      </c>
      <c r="G234" s="618">
        <f>(SUMPRODUCT(D221:D230,E221:E230))</f>
        <v>1681469.2700000003</v>
      </c>
      <c r="H234" s="619">
        <f>SUM(D221:D223)</f>
        <v>1.6099999999999999</v>
      </c>
      <c r="I234" s="620">
        <f>(SUMPRODUCT(D221:D223,E221:E223))</f>
        <v>279289.23</v>
      </c>
      <c r="J234" s="621">
        <f>SUM(D224:D230)</f>
        <v>14.850000000000001</v>
      </c>
      <c r="K234" s="622">
        <f>(SUMPRODUCT(D224:D230,E224:E230))</f>
        <v>1402180.0400000003</v>
      </c>
      <c r="L234" s="623"/>
      <c r="M234" s="624"/>
      <c r="N234" s="625">
        <f>+H234+J234+L234</f>
        <v>16.46</v>
      </c>
      <c r="O234" s="626">
        <f>+I234+K234+M234</f>
        <v>1681469.2700000003</v>
      </c>
      <c r="P234" s="627">
        <f>SUM(D231:D233)</f>
        <v>6.69</v>
      </c>
      <c r="Q234" s="628">
        <f>(SUMPRODUCT(D231:D233,E231:E233))</f>
        <v>446376.01000000007</v>
      </c>
    </row>
    <row r="235" spans="1:17" x14ac:dyDescent="0.4">
      <c r="A235" s="601" t="s">
        <v>438</v>
      </c>
      <c r="B235" s="601" t="s">
        <v>249</v>
      </c>
      <c r="C235" s="602"/>
      <c r="D235" s="469"/>
      <c r="E235" s="536"/>
      <c r="F235" s="603"/>
      <c r="G235" s="604"/>
      <c r="H235" s="605"/>
      <c r="I235" s="606"/>
      <c r="J235" s="607"/>
      <c r="K235" s="608"/>
      <c r="L235" s="609"/>
      <c r="M235" s="610"/>
      <c r="N235" s="611"/>
      <c r="O235" s="612"/>
      <c r="P235" s="613"/>
      <c r="Q235" s="614"/>
    </row>
    <row r="236" spans="1:17" x14ac:dyDescent="0.4">
      <c r="A236" s="601"/>
      <c r="B236" s="601" t="s">
        <v>339</v>
      </c>
      <c r="C236" s="602" t="s">
        <v>407</v>
      </c>
      <c r="D236" s="469">
        <v>0.75</v>
      </c>
      <c r="E236" s="536">
        <v>104443</v>
      </c>
      <c r="F236" s="603"/>
      <c r="G236" s="604"/>
      <c r="H236" s="605"/>
      <c r="I236" s="606"/>
      <c r="J236" s="607"/>
      <c r="K236" s="608"/>
      <c r="L236" s="609"/>
      <c r="M236" s="610"/>
      <c r="N236" s="611"/>
      <c r="O236" s="612"/>
      <c r="P236" s="613"/>
      <c r="Q236" s="614"/>
    </row>
    <row r="237" spans="1:17" x14ac:dyDescent="0.4">
      <c r="A237" s="601"/>
      <c r="B237" s="601" t="s">
        <v>340</v>
      </c>
      <c r="C237" s="602" t="s">
        <v>115</v>
      </c>
      <c r="D237" s="469">
        <v>0.17</v>
      </c>
      <c r="E237" s="536">
        <v>76646</v>
      </c>
      <c r="F237" s="603"/>
      <c r="G237" s="604"/>
      <c r="H237" s="605"/>
      <c r="I237" s="606"/>
      <c r="J237" s="607"/>
      <c r="K237" s="608"/>
      <c r="L237" s="609"/>
      <c r="M237" s="610"/>
      <c r="N237" s="611"/>
      <c r="O237" s="612"/>
      <c r="P237" s="613"/>
      <c r="Q237" s="614"/>
    </row>
    <row r="238" spans="1:17" x14ac:dyDescent="0.4">
      <c r="A238" s="601"/>
      <c r="B238" s="601" t="s">
        <v>341</v>
      </c>
      <c r="C238" s="602" t="s">
        <v>116</v>
      </c>
      <c r="D238" s="469">
        <v>4.12</v>
      </c>
      <c r="E238" s="536">
        <v>110128</v>
      </c>
      <c r="F238" s="603"/>
      <c r="G238" s="604"/>
      <c r="H238" s="605"/>
      <c r="I238" s="606"/>
      <c r="J238" s="607"/>
      <c r="K238" s="608"/>
      <c r="L238" s="609"/>
      <c r="M238" s="610"/>
      <c r="N238" s="611"/>
      <c r="O238" s="612"/>
      <c r="P238" s="613"/>
      <c r="Q238" s="614"/>
    </row>
    <row r="239" spans="1:17" x14ac:dyDescent="0.4">
      <c r="A239" s="601"/>
      <c r="B239" s="601" t="s">
        <v>342</v>
      </c>
      <c r="C239" s="602" t="s">
        <v>117</v>
      </c>
      <c r="D239" s="469">
        <v>0.2</v>
      </c>
      <c r="E239" s="536">
        <v>91950</v>
      </c>
      <c r="F239" s="603"/>
      <c r="G239" s="604"/>
      <c r="H239" s="605"/>
      <c r="I239" s="606"/>
      <c r="J239" s="607"/>
      <c r="K239" s="608"/>
      <c r="L239" s="609"/>
      <c r="M239" s="610"/>
      <c r="N239" s="611"/>
      <c r="O239" s="612"/>
      <c r="P239" s="613"/>
      <c r="Q239" s="614"/>
    </row>
    <row r="240" spans="1:17" x14ac:dyDescent="0.4">
      <c r="A240" s="601"/>
      <c r="B240" s="601" t="s">
        <v>347</v>
      </c>
      <c r="C240" s="602" t="s">
        <v>235</v>
      </c>
      <c r="D240" s="469">
        <v>1</v>
      </c>
      <c r="E240" s="536">
        <v>102057</v>
      </c>
      <c r="F240" s="603"/>
      <c r="G240" s="604"/>
      <c r="H240" s="605"/>
      <c r="I240" s="606"/>
      <c r="J240" s="607"/>
      <c r="K240" s="608"/>
      <c r="L240" s="609"/>
      <c r="M240" s="610"/>
      <c r="N240" s="611"/>
      <c r="O240" s="612"/>
      <c r="P240" s="613"/>
      <c r="Q240" s="614"/>
    </row>
    <row r="241" spans="1:17" x14ac:dyDescent="0.4">
      <c r="A241" s="601"/>
      <c r="B241" s="601" t="s">
        <v>358</v>
      </c>
      <c r="C241" s="602" t="s">
        <v>89</v>
      </c>
      <c r="D241" s="469">
        <v>9.1999999999999993</v>
      </c>
      <c r="E241" s="536">
        <v>55808</v>
      </c>
      <c r="F241" s="603"/>
      <c r="G241" s="604"/>
      <c r="H241" s="605"/>
      <c r="I241" s="606"/>
      <c r="J241" s="607"/>
      <c r="K241" s="608"/>
      <c r="L241" s="609"/>
      <c r="M241" s="610"/>
      <c r="N241" s="611"/>
      <c r="O241" s="612"/>
      <c r="P241" s="613"/>
      <c r="Q241" s="614"/>
    </row>
    <row r="242" spans="1:17" x14ac:dyDescent="0.4">
      <c r="A242" s="601"/>
      <c r="B242" s="601" t="s">
        <v>363</v>
      </c>
      <c r="C242" s="602" t="s">
        <v>94</v>
      </c>
      <c r="D242" s="469">
        <v>0.6</v>
      </c>
      <c r="E242" s="536">
        <v>77012</v>
      </c>
      <c r="F242" s="603"/>
      <c r="G242" s="604"/>
      <c r="H242" s="605"/>
      <c r="I242" s="606"/>
      <c r="J242" s="607"/>
      <c r="K242" s="608"/>
      <c r="L242" s="609"/>
      <c r="M242" s="610"/>
      <c r="N242" s="611"/>
      <c r="O242" s="612"/>
      <c r="P242" s="613"/>
      <c r="Q242" s="614"/>
    </row>
    <row r="243" spans="1:17" x14ac:dyDescent="0.4">
      <c r="A243" s="601"/>
      <c r="B243" s="601" t="s">
        <v>366</v>
      </c>
      <c r="C243" s="602" t="s">
        <v>88</v>
      </c>
      <c r="D243" s="469">
        <v>0.25</v>
      </c>
      <c r="E243" s="536">
        <v>133512</v>
      </c>
      <c r="F243" s="603"/>
      <c r="G243" s="604"/>
      <c r="H243" s="605"/>
      <c r="I243" s="606"/>
      <c r="J243" s="607"/>
      <c r="K243" s="608"/>
      <c r="L243" s="609"/>
      <c r="M243" s="610"/>
      <c r="N243" s="611"/>
      <c r="O243" s="612"/>
      <c r="P243" s="613"/>
      <c r="Q243" s="614"/>
    </row>
    <row r="244" spans="1:17" x14ac:dyDescent="0.4">
      <c r="A244" s="557"/>
      <c r="B244" s="557"/>
      <c r="C244" s="557"/>
      <c r="D244" s="615"/>
      <c r="E244" s="562"/>
      <c r="F244" s="617">
        <f>SUM(D236:D240)</f>
        <v>6.24</v>
      </c>
      <c r="G244" s="618">
        <f>(SUMPRODUCT(D236:D240,E236:E240))</f>
        <v>665536.42999999993</v>
      </c>
      <c r="H244" s="619"/>
      <c r="I244" s="620"/>
      <c r="J244" s="621">
        <f>SUM(D236:D240)</f>
        <v>6.24</v>
      </c>
      <c r="K244" s="622">
        <f>(SUMPRODUCT(D236:D240,E236:E240))</f>
        <v>665536.42999999993</v>
      </c>
      <c r="L244" s="623"/>
      <c r="M244" s="624"/>
      <c r="N244" s="625">
        <f>+H244+J244+L244</f>
        <v>6.24</v>
      </c>
      <c r="O244" s="626">
        <f>+I244+K244+M244</f>
        <v>665536.42999999993</v>
      </c>
      <c r="P244" s="627">
        <f>SUM(D241:D243)</f>
        <v>10.049999999999999</v>
      </c>
      <c r="Q244" s="628">
        <f>(SUMPRODUCT(D241:D243,E241:E243))</f>
        <v>593018.79999999993</v>
      </c>
    </row>
    <row r="245" spans="1:17" x14ac:dyDescent="0.4">
      <c r="A245" s="601" t="s">
        <v>339</v>
      </c>
      <c r="B245" s="601" t="s">
        <v>250</v>
      </c>
      <c r="C245" s="602"/>
      <c r="D245" s="469"/>
      <c r="E245" s="536"/>
      <c r="F245" s="631"/>
      <c r="G245" s="618"/>
      <c r="H245" s="605"/>
      <c r="I245" s="620"/>
      <c r="J245" s="607"/>
      <c r="K245" s="622"/>
      <c r="L245" s="609"/>
      <c r="M245" s="624"/>
      <c r="N245" s="611"/>
      <c r="O245" s="626"/>
      <c r="P245" s="613"/>
      <c r="Q245" s="628"/>
    </row>
    <row r="246" spans="1:17" x14ac:dyDescent="0.4">
      <c r="A246" s="601"/>
      <c r="B246" s="601" t="s">
        <v>332</v>
      </c>
      <c r="C246" s="602" t="s">
        <v>112</v>
      </c>
      <c r="D246" s="469">
        <v>0.37</v>
      </c>
      <c r="E246" s="536">
        <v>217432</v>
      </c>
      <c r="F246" s="603"/>
      <c r="G246" s="604"/>
      <c r="H246" s="605"/>
      <c r="I246" s="606"/>
      <c r="J246" s="607"/>
      <c r="K246" s="608"/>
      <c r="L246" s="609"/>
      <c r="M246" s="610"/>
      <c r="N246" s="611"/>
      <c r="O246" s="612"/>
      <c r="P246" s="613"/>
      <c r="Q246" s="614"/>
    </row>
    <row r="247" spans="1:17" x14ac:dyDescent="0.4">
      <c r="A247" s="601"/>
      <c r="B247" s="601" t="s">
        <v>333</v>
      </c>
      <c r="C247" s="602" t="s">
        <v>113</v>
      </c>
      <c r="D247" s="469">
        <v>69.34</v>
      </c>
      <c r="E247" s="536">
        <v>170035</v>
      </c>
      <c r="F247" s="603"/>
      <c r="G247" s="604"/>
      <c r="H247" s="605"/>
      <c r="I247" s="606"/>
      <c r="J247" s="607"/>
      <c r="K247" s="608"/>
      <c r="L247" s="609"/>
      <c r="M247" s="610"/>
      <c r="N247" s="611"/>
      <c r="O247" s="612"/>
      <c r="P247" s="613"/>
      <c r="Q247" s="614"/>
    </row>
    <row r="248" spans="1:17" x14ac:dyDescent="0.4">
      <c r="A248" s="601"/>
      <c r="B248" s="601" t="s">
        <v>336</v>
      </c>
      <c r="C248" s="602" t="s">
        <v>121</v>
      </c>
      <c r="D248" s="469">
        <v>8.24</v>
      </c>
      <c r="E248" s="536">
        <v>181224</v>
      </c>
      <c r="F248" s="603"/>
      <c r="G248" s="604"/>
      <c r="H248" s="605"/>
      <c r="I248" s="606"/>
      <c r="J248" s="607"/>
      <c r="K248" s="608"/>
      <c r="L248" s="609"/>
      <c r="M248" s="610"/>
      <c r="N248" s="611"/>
      <c r="O248" s="612"/>
      <c r="P248" s="613"/>
      <c r="Q248" s="614"/>
    </row>
    <row r="249" spans="1:17" x14ac:dyDescent="0.4">
      <c r="A249" s="601"/>
      <c r="B249" s="601" t="s">
        <v>337</v>
      </c>
      <c r="C249" s="602" t="s">
        <v>129</v>
      </c>
      <c r="D249" s="469">
        <v>29.2</v>
      </c>
      <c r="E249" s="536">
        <v>170684</v>
      </c>
      <c r="F249" s="603"/>
      <c r="G249" s="604"/>
      <c r="H249" s="605"/>
      <c r="I249" s="606"/>
      <c r="J249" s="607"/>
      <c r="K249" s="608"/>
      <c r="L249" s="609"/>
      <c r="M249" s="610"/>
      <c r="N249" s="611"/>
      <c r="O249" s="612"/>
      <c r="P249" s="613"/>
      <c r="Q249" s="614"/>
    </row>
    <row r="250" spans="1:17" x14ac:dyDescent="0.4">
      <c r="A250" s="601"/>
      <c r="B250" s="601" t="s">
        <v>338</v>
      </c>
      <c r="C250" s="602" t="s">
        <v>114</v>
      </c>
      <c r="D250" s="469">
        <v>43.6</v>
      </c>
      <c r="E250" s="536">
        <v>153950</v>
      </c>
      <c r="F250" s="603"/>
      <c r="G250" s="604"/>
      <c r="H250" s="605"/>
      <c r="I250" s="606"/>
      <c r="J250" s="607"/>
      <c r="K250" s="608"/>
      <c r="L250" s="609"/>
      <c r="M250" s="610"/>
      <c r="N250" s="611"/>
      <c r="O250" s="612"/>
      <c r="P250" s="613"/>
      <c r="Q250" s="614"/>
    </row>
    <row r="251" spans="1:17" x14ac:dyDescent="0.4">
      <c r="A251" s="601"/>
      <c r="B251" s="601" t="s">
        <v>339</v>
      </c>
      <c r="C251" s="602" t="s">
        <v>407</v>
      </c>
      <c r="D251" s="469">
        <v>0.25</v>
      </c>
      <c r="E251" s="536">
        <v>103936</v>
      </c>
      <c r="F251" s="603"/>
      <c r="G251" s="604"/>
      <c r="H251" s="605"/>
      <c r="I251" s="606"/>
      <c r="J251" s="607"/>
      <c r="K251" s="608"/>
      <c r="L251" s="609"/>
      <c r="M251" s="610"/>
      <c r="N251" s="611"/>
      <c r="O251" s="612"/>
      <c r="P251" s="613"/>
      <c r="Q251" s="614"/>
    </row>
    <row r="252" spans="1:17" x14ac:dyDescent="0.4">
      <c r="A252" s="601"/>
      <c r="B252" s="601" t="s">
        <v>340</v>
      </c>
      <c r="C252" s="602" t="s">
        <v>115</v>
      </c>
      <c r="D252" s="469">
        <v>3051.36</v>
      </c>
      <c r="E252" s="536">
        <v>93900</v>
      </c>
      <c r="F252" s="603"/>
      <c r="G252" s="604"/>
      <c r="H252" s="605"/>
      <c r="I252" s="606"/>
      <c r="J252" s="607"/>
      <c r="K252" s="608"/>
      <c r="L252" s="609"/>
      <c r="M252" s="610"/>
      <c r="N252" s="611"/>
      <c r="O252" s="612"/>
      <c r="P252" s="613"/>
      <c r="Q252" s="614"/>
    </row>
    <row r="253" spans="1:17" x14ac:dyDescent="0.4">
      <c r="A253" s="601"/>
      <c r="B253" s="601" t="s">
        <v>341</v>
      </c>
      <c r="C253" s="602" t="s">
        <v>116</v>
      </c>
      <c r="D253" s="469">
        <v>39.19</v>
      </c>
      <c r="E253" s="536">
        <v>105376</v>
      </c>
      <c r="F253" s="631"/>
      <c r="G253" s="618"/>
      <c r="H253" s="605"/>
      <c r="I253" s="620"/>
      <c r="J253" s="607"/>
      <c r="K253" s="622"/>
      <c r="L253" s="609"/>
      <c r="M253" s="624"/>
      <c r="N253" s="611"/>
      <c r="O253" s="626"/>
      <c r="P253" s="613"/>
      <c r="Q253" s="628"/>
    </row>
    <row r="254" spans="1:17" x14ac:dyDescent="0.4">
      <c r="A254" s="601"/>
      <c r="B254" s="601" t="s">
        <v>342</v>
      </c>
      <c r="C254" s="602" t="s">
        <v>117</v>
      </c>
      <c r="D254" s="469">
        <v>69.87</v>
      </c>
      <c r="E254" s="536">
        <v>109169</v>
      </c>
      <c r="F254" s="631"/>
      <c r="G254" s="618"/>
      <c r="H254" s="605"/>
      <c r="I254" s="620"/>
      <c r="J254" s="607"/>
      <c r="K254" s="622"/>
      <c r="L254" s="609"/>
      <c r="M254" s="624"/>
      <c r="N254" s="611"/>
      <c r="O254" s="626"/>
      <c r="P254" s="613"/>
      <c r="Q254" s="628"/>
    </row>
    <row r="255" spans="1:17" x14ac:dyDescent="0.4">
      <c r="A255" s="601"/>
      <c r="B255" s="601" t="s">
        <v>343</v>
      </c>
      <c r="C255" s="602" t="s">
        <v>128</v>
      </c>
      <c r="D255" s="469">
        <v>7.36</v>
      </c>
      <c r="E255" s="536">
        <v>113652</v>
      </c>
      <c r="F255" s="631"/>
      <c r="G255" s="618"/>
      <c r="H255" s="605"/>
      <c r="I255" s="620"/>
      <c r="J255" s="607"/>
      <c r="K255" s="622"/>
      <c r="L255" s="609"/>
      <c r="M255" s="624"/>
      <c r="N255" s="611"/>
      <c r="O255" s="626"/>
      <c r="P255" s="613"/>
      <c r="Q255" s="628"/>
    </row>
    <row r="256" spans="1:17" x14ac:dyDescent="0.4">
      <c r="A256" s="601"/>
      <c r="B256" s="601" t="s">
        <v>344</v>
      </c>
      <c r="C256" s="602" t="s">
        <v>122</v>
      </c>
      <c r="D256" s="469">
        <v>154.88999999999999</v>
      </c>
      <c r="E256" s="536">
        <v>101688</v>
      </c>
      <c r="F256" s="631"/>
      <c r="G256" s="618"/>
      <c r="H256" s="605"/>
      <c r="I256" s="620"/>
      <c r="J256" s="607"/>
      <c r="K256" s="622"/>
      <c r="L256" s="609"/>
      <c r="M256" s="624"/>
      <c r="N256" s="611"/>
      <c r="O256" s="626"/>
      <c r="P256" s="613"/>
      <c r="Q256" s="628"/>
    </row>
    <row r="257" spans="1:17" x14ac:dyDescent="0.4">
      <c r="A257" s="601"/>
      <c r="B257" s="601" t="s">
        <v>346</v>
      </c>
      <c r="C257" s="602" t="s">
        <v>124</v>
      </c>
      <c r="D257" s="469">
        <v>0.75</v>
      </c>
      <c r="E257" s="536">
        <v>79331</v>
      </c>
      <c r="F257" s="631"/>
      <c r="G257" s="618"/>
      <c r="H257" s="605"/>
      <c r="I257" s="620"/>
      <c r="J257" s="607"/>
      <c r="K257" s="622"/>
      <c r="L257" s="609"/>
      <c r="M257" s="624"/>
      <c r="N257" s="611"/>
      <c r="O257" s="626"/>
      <c r="P257" s="613"/>
      <c r="Q257" s="628"/>
    </row>
    <row r="258" spans="1:17" x14ac:dyDescent="0.4">
      <c r="A258" s="601"/>
      <c r="B258" s="601" t="s">
        <v>349</v>
      </c>
      <c r="C258" s="602" t="s">
        <v>126</v>
      </c>
      <c r="D258" s="469">
        <v>0.35</v>
      </c>
      <c r="E258" s="536">
        <v>71029</v>
      </c>
      <c r="F258" s="631"/>
      <c r="G258" s="618"/>
      <c r="H258" s="605"/>
      <c r="I258" s="620"/>
      <c r="J258" s="607"/>
      <c r="K258" s="622"/>
      <c r="L258" s="609"/>
      <c r="M258" s="624"/>
      <c r="N258" s="611"/>
      <c r="O258" s="626"/>
      <c r="P258" s="613"/>
      <c r="Q258" s="628"/>
    </row>
    <row r="259" spans="1:17" x14ac:dyDescent="0.4">
      <c r="A259" s="601"/>
      <c r="B259" s="601" t="s">
        <v>353</v>
      </c>
      <c r="C259" s="602" t="s">
        <v>119</v>
      </c>
      <c r="D259" s="469">
        <v>0.2</v>
      </c>
      <c r="E259" s="536">
        <v>65610</v>
      </c>
      <c r="F259" s="631"/>
      <c r="G259" s="618"/>
      <c r="H259" s="605"/>
      <c r="I259" s="620"/>
      <c r="J259" s="607"/>
      <c r="K259" s="622"/>
      <c r="L259" s="609"/>
      <c r="M259" s="624"/>
      <c r="N259" s="611"/>
      <c r="O259" s="626"/>
      <c r="P259" s="613"/>
      <c r="Q259" s="628"/>
    </row>
    <row r="260" spans="1:17" x14ac:dyDescent="0.4">
      <c r="A260" s="601"/>
      <c r="B260" s="601" t="s">
        <v>354</v>
      </c>
      <c r="C260" s="602" t="s">
        <v>236</v>
      </c>
      <c r="D260" s="469">
        <v>1</v>
      </c>
      <c r="E260" s="536">
        <v>105046</v>
      </c>
      <c r="F260" s="631"/>
      <c r="G260" s="618"/>
      <c r="H260" s="605"/>
      <c r="I260" s="620"/>
      <c r="J260" s="607"/>
      <c r="K260" s="622"/>
      <c r="L260" s="609"/>
      <c r="M260" s="624"/>
      <c r="N260" s="611"/>
      <c r="O260" s="626"/>
      <c r="P260" s="613"/>
      <c r="Q260" s="628"/>
    </row>
    <row r="261" spans="1:17" x14ac:dyDescent="0.4">
      <c r="A261" s="601"/>
      <c r="B261" s="601" t="s">
        <v>358</v>
      </c>
      <c r="C261" s="602" t="s">
        <v>89</v>
      </c>
      <c r="D261" s="469">
        <v>156.57</v>
      </c>
      <c r="E261" s="536">
        <v>58996</v>
      </c>
      <c r="F261" s="603"/>
      <c r="G261" s="604"/>
      <c r="H261" s="605"/>
      <c r="I261" s="606"/>
      <c r="J261" s="607"/>
      <c r="K261" s="608"/>
      <c r="L261" s="609"/>
      <c r="M261" s="610"/>
      <c r="N261" s="611"/>
      <c r="O261" s="612"/>
      <c r="P261" s="613"/>
      <c r="Q261" s="614"/>
    </row>
    <row r="262" spans="1:17" x14ac:dyDescent="0.4">
      <c r="A262" s="601"/>
      <c r="B262" s="601" t="s">
        <v>361</v>
      </c>
      <c r="C262" s="602" t="s">
        <v>92</v>
      </c>
      <c r="D262" s="469">
        <v>176.35</v>
      </c>
      <c r="E262" s="536">
        <v>68899</v>
      </c>
      <c r="F262" s="603"/>
      <c r="G262" s="604"/>
      <c r="H262" s="605"/>
      <c r="I262" s="606"/>
      <c r="J262" s="607"/>
      <c r="K262" s="608"/>
      <c r="L262" s="609"/>
      <c r="M262" s="610"/>
      <c r="N262" s="611"/>
      <c r="O262" s="612"/>
      <c r="P262" s="613"/>
      <c r="Q262" s="614"/>
    </row>
    <row r="263" spans="1:17" x14ac:dyDescent="0.4">
      <c r="A263" s="601"/>
      <c r="B263" s="601" t="s">
        <v>363</v>
      </c>
      <c r="C263" s="602" t="s">
        <v>94</v>
      </c>
      <c r="D263" s="469">
        <v>43.56</v>
      </c>
      <c r="E263" s="536">
        <v>90864</v>
      </c>
      <c r="F263" s="603"/>
      <c r="G263" s="604"/>
      <c r="H263" s="605"/>
      <c r="I263" s="606"/>
      <c r="J263" s="607"/>
      <c r="K263" s="608"/>
      <c r="L263" s="609"/>
      <c r="M263" s="610"/>
      <c r="N263" s="611"/>
      <c r="O263" s="612"/>
      <c r="P263" s="613"/>
      <c r="Q263" s="614"/>
    </row>
    <row r="264" spans="1:17" x14ac:dyDescent="0.4">
      <c r="A264" s="601"/>
      <c r="B264" s="601" t="s">
        <v>364</v>
      </c>
      <c r="C264" s="602" t="s">
        <v>95</v>
      </c>
      <c r="D264" s="469">
        <v>11.5</v>
      </c>
      <c r="E264" s="536">
        <v>67434</v>
      </c>
      <c r="F264" s="603"/>
      <c r="G264" s="604"/>
      <c r="H264" s="605"/>
      <c r="I264" s="606"/>
      <c r="J264" s="607"/>
      <c r="K264" s="608"/>
      <c r="L264" s="609"/>
      <c r="M264" s="610"/>
      <c r="N264" s="611"/>
      <c r="O264" s="612"/>
      <c r="P264" s="613"/>
      <c r="Q264" s="614"/>
    </row>
    <row r="265" spans="1:17" x14ac:dyDescent="0.4">
      <c r="A265" s="601"/>
      <c r="B265" s="601" t="s">
        <v>365</v>
      </c>
      <c r="C265" s="602" t="s">
        <v>96</v>
      </c>
      <c r="D265" s="469">
        <v>48.54</v>
      </c>
      <c r="E265" s="536">
        <v>87615</v>
      </c>
      <c r="F265" s="603"/>
      <c r="G265" s="604"/>
      <c r="H265" s="605"/>
      <c r="I265" s="606"/>
      <c r="J265" s="607"/>
      <c r="K265" s="608"/>
      <c r="L265" s="609"/>
      <c r="M265" s="610"/>
      <c r="N265" s="611"/>
      <c r="O265" s="612"/>
      <c r="P265" s="613"/>
      <c r="Q265" s="614"/>
    </row>
    <row r="266" spans="1:17" x14ac:dyDescent="0.4">
      <c r="A266" s="601"/>
      <c r="B266" s="601" t="s">
        <v>366</v>
      </c>
      <c r="C266" s="602" t="s">
        <v>88</v>
      </c>
      <c r="D266" s="469">
        <v>4.78</v>
      </c>
      <c r="E266" s="536">
        <v>147823</v>
      </c>
      <c r="F266" s="603"/>
      <c r="G266" s="604"/>
      <c r="H266" s="605"/>
      <c r="I266" s="606"/>
      <c r="J266" s="607"/>
      <c r="K266" s="608"/>
      <c r="L266" s="609"/>
      <c r="M266" s="610"/>
      <c r="N266" s="611"/>
      <c r="O266" s="612"/>
      <c r="P266" s="613"/>
      <c r="Q266" s="614"/>
    </row>
    <row r="267" spans="1:17" x14ac:dyDescent="0.4">
      <c r="A267" s="557"/>
      <c r="B267" s="557"/>
      <c r="C267" s="557"/>
      <c r="D267" s="615"/>
      <c r="E267" s="562"/>
      <c r="F267" s="617">
        <f>SUM(D246:D260)</f>
        <v>3475.97</v>
      </c>
      <c r="G267" s="618">
        <f>(SUMPRODUCT(D246:D260,E246:E260))</f>
        <v>340155626.20999998</v>
      </c>
      <c r="H267" s="619">
        <f>SUM(D246:D250)</f>
        <v>150.75</v>
      </c>
      <c r="I267" s="620">
        <f>(SUMPRODUCT(D246:D250,E246:E250))</f>
        <v>25060155.300000001</v>
      </c>
      <c r="J267" s="621">
        <f>SUM(D251:D258)</f>
        <v>3324.02</v>
      </c>
      <c r="K267" s="622">
        <f>(SUMPRODUCT(D251:D258,E251:E258))</f>
        <v>314977302.90999997</v>
      </c>
      <c r="L267" s="623">
        <f>SUM(D259:D260)</f>
        <v>1.2</v>
      </c>
      <c r="M267" s="624">
        <f>(SUMPRODUCT(D259:D260,E259:E260))</f>
        <v>118168</v>
      </c>
      <c r="N267" s="625">
        <f>+H267+J267+L267</f>
        <v>3475.97</v>
      </c>
      <c r="O267" s="626">
        <f>+I267+K267+M267</f>
        <v>340155626.20999998</v>
      </c>
      <c r="P267" s="627">
        <f>SUM(D261:D266)</f>
        <v>441.29999999999995</v>
      </c>
      <c r="Q267" s="628">
        <f>(SUMPRODUCT(D261:D266,E261:E266))</f>
        <v>31080295.249999996</v>
      </c>
    </row>
    <row r="268" spans="1:17" x14ac:dyDescent="0.4">
      <c r="A268" s="601" t="s">
        <v>408</v>
      </c>
      <c r="B268" s="601" t="s">
        <v>295</v>
      </c>
      <c r="C268" s="602"/>
      <c r="D268" s="469"/>
      <c r="E268" s="536"/>
      <c r="F268" s="603"/>
      <c r="G268" s="604"/>
      <c r="H268" s="605"/>
      <c r="I268" s="606"/>
      <c r="J268" s="607"/>
      <c r="K268" s="608"/>
      <c r="L268" s="609"/>
      <c r="M268" s="610"/>
      <c r="N268" s="611"/>
      <c r="O268" s="612"/>
      <c r="P268" s="613"/>
      <c r="Q268" s="614"/>
    </row>
    <row r="269" spans="1:17" x14ac:dyDescent="0.4">
      <c r="A269" s="601"/>
      <c r="B269" s="601" t="s">
        <v>332</v>
      </c>
      <c r="C269" s="602" t="s">
        <v>112</v>
      </c>
      <c r="D269" s="469">
        <v>0.52</v>
      </c>
      <c r="E269" s="536">
        <v>211681</v>
      </c>
      <c r="F269" s="631"/>
      <c r="G269" s="618"/>
      <c r="H269" s="605"/>
      <c r="I269" s="620"/>
      <c r="J269" s="607"/>
      <c r="K269" s="622"/>
      <c r="L269" s="609"/>
      <c r="M269" s="624"/>
      <c r="N269" s="611"/>
      <c r="O269" s="626"/>
      <c r="P269" s="613"/>
      <c r="Q269" s="628"/>
    </row>
    <row r="270" spans="1:17" x14ac:dyDescent="0.4">
      <c r="A270" s="601"/>
      <c r="B270" s="601" t="s">
        <v>333</v>
      </c>
      <c r="C270" s="602" t="s">
        <v>113</v>
      </c>
      <c r="D270" s="469">
        <v>22.34</v>
      </c>
      <c r="E270" s="536">
        <v>164187</v>
      </c>
      <c r="F270" s="631"/>
      <c r="G270" s="618"/>
      <c r="H270" s="605"/>
      <c r="I270" s="620"/>
      <c r="J270" s="607"/>
      <c r="K270" s="622"/>
      <c r="L270" s="609"/>
      <c r="M270" s="624"/>
      <c r="N270" s="611"/>
      <c r="O270" s="626"/>
      <c r="P270" s="613"/>
      <c r="Q270" s="628"/>
    </row>
    <row r="271" spans="1:17" x14ac:dyDescent="0.4">
      <c r="A271" s="601"/>
      <c r="B271" s="601" t="s">
        <v>336</v>
      </c>
      <c r="C271" s="602" t="s">
        <v>121</v>
      </c>
      <c r="D271" s="469">
        <v>3.88</v>
      </c>
      <c r="E271" s="536">
        <v>168725</v>
      </c>
      <c r="F271" s="631"/>
      <c r="G271" s="618"/>
      <c r="H271" s="605"/>
      <c r="I271" s="620"/>
      <c r="J271" s="607"/>
      <c r="K271" s="622"/>
      <c r="L271" s="609"/>
      <c r="M271" s="624"/>
      <c r="N271" s="611"/>
      <c r="O271" s="626"/>
      <c r="P271" s="613"/>
      <c r="Q271" s="628"/>
    </row>
    <row r="272" spans="1:17" x14ac:dyDescent="0.4">
      <c r="A272" s="601"/>
      <c r="B272" s="601" t="s">
        <v>337</v>
      </c>
      <c r="C272" s="602" t="s">
        <v>129</v>
      </c>
      <c r="D272" s="469">
        <v>8.9</v>
      </c>
      <c r="E272" s="536">
        <v>153665</v>
      </c>
      <c r="F272" s="631"/>
      <c r="G272" s="618"/>
      <c r="H272" s="605"/>
      <c r="I272" s="620"/>
      <c r="J272" s="607"/>
      <c r="K272" s="622"/>
      <c r="L272" s="609"/>
      <c r="M272" s="624"/>
      <c r="N272" s="611"/>
      <c r="O272" s="626"/>
      <c r="P272" s="613"/>
      <c r="Q272" s="628"/>
    </row>
    <row r="273" spans="1:17" x14ac:dyDescent="0.4">
      <c r="A273" s="601"/>
      <c r="B273" s="601" t="s">
        <v>338</v>
      </c>
      <c r="C273" s="602" t="s">
        <v>114</v>
      </c>
      <c r="D273" s="469">
        <v>10.07</v>
      </c>
      <c r="E273" s="536">
        <v>150489</v>
      </c>
      <c r="F273" s="631"/>
      <c r="G273" s="618"/>
      <c r="H273" s="605"/>
      <c r="I273" s="620"/>
      <c r="J273" s="607"/>
      <c r="K273" s="622"/>
      <c r="L273" s="609"/>
      <c r="M273" s="624"/>
      <c r="N273" s="611"/>
      <c r="O273" s="626"/>
      <c r="P273" s="613"/>
      <c r="Q273" s="628"/>
    </row>
    <row r="274" spans="1:17" x14ac:dyDescent="0.4">
      <c r="A274" s="601"/>
      <c r="B274" s="601" t="s">
        <v>339</v>
      </c>
      <c r="C274" s="602" t="s">
        <v>407</v>
      </c>
      <c r="D274" s="469">
        <v>12.11</v>
      </c>
      <c r="E274" s="536">
        <v>94783</v>
      </c>
      <c r="F274" s="631"/>
      <c r="G274" s="618"/>
      <c r="H274" s="605"/>
      <c r="I274" s="620"/>
      <c r="J274" s="607"/>
      <c r="K274" s="622"/>
      <c r="L274" s="609"/>
      <c r="M274" s="624"/>
      <c r="N274" s="611"/>
      <c r="O274" s="626"/>
      <c r="P274" s="613"/>
      <c r="Q274" s="628"/>
    </row>
    <row r="275" spans="1:17" x14ac:dyDescent="0.4">
      <c r="A275" s="601"/>
      <c r="B275" s="601" t="s">
        <v>340</v>
      </c>
      <c r="C275" s="602" t="s">
        <v>115</v>
      </c>
      <c r="D275" s="469">
        <v>667.86</v>
      </c>
      <c r="E275" s="536">
        <v>95248</v>
      </c>
      <c r="F275" s="631"/>
      <c r="G275" s="618"/>
      <c r="H275" s="605"/>
      <c r="I275" s="620"/>
      <c r="J275" s="607"/>
      <c r="K275" s="622"/>
      <c r="L275" s="609"/>
      <c r="M275" s="624"/>
      <c r="N275" s="611"/>
      <c r="O275" s="626"/>
      <c r="P275" s="613"/>
      <c r="Q275" s="628"/>
    </row>
    <row r="276" spans="1:17" x14ac:dyDescent="0.4">
      <c r="A276" s="601"/>
      <c r="B276" s="601" t="s">
        <v>341</v>
      </c>
      <c r="C276" s="602" t="s">
        <v>116</v>
      </c>
      <c r="D276" s="469">
        <v>13.15</v>
      </c>
      <c r="E276" s="536">
        <v>103925</v>
      </c>
      <c r="F276" s="603"/>
      <c r="G276" s="604"/>
      <c r="H276" s="605"/>
      <c r="I276" s="606"/>
      <c r="J276" s="607"/>
      <c r="K276" s="608"/>
      <c r="L276" s="609"/>
      <c r="M276" s="610"/>
      <c r="N276" s="611"/>
      <c r="O276" s="612"/>
      <c r="P276" s="613"/>
      <c r="Q276" s="614"/>
    </row>
    <row r="277" spans="1:17" x14ac:dyDescent="0.4">
      <c r="A277" s="601"/>
      <c r="B277" s="601" t="s">
        <v>342</v>
      </c>
      <c r="C277" s="602" t="s">
        <v>117</v>
      </c>
      <c r="D277" s="469">
        <v>21.18</v>
      </c>
      <c r="E277" s="536">
        <v>114346</v>
      </c>
      <c r="F277" s="631"/>
      <c r="G277" s="618"/>
      <c r="H277" s="605"/>
      <c r="I277" s="620"/>
      <c r="J277" s="607"/>
      <c r="K277" s="622"/>
      <c r="L277" s="609"/>
      <c r="M277" s="624"/>
      <c r="N277" s="611"/>
      <c r="O277" s="626"/>
      <c r="P277" s="613"/>
      <c r="Q277" s="628"/>
    </row>
    <row r="278" spans="1:17" x14ac:dyDescent="0.4">
      <c r="A278" s="601"/>
      <c r="B278" s="601" t="s">
        <v>343</v>
      </c>
      <c r="C278" s="602" t="s">
        <v>128</v>
      </c>
      <c r="D278" s="469">
        <v>2.52</v>
      </c>
      <c r="E278" s="536">
        <v>110038</v>
      </c>
      <c r="F278" s="631"/>
      <c r="G278" s="618"/>
      <c r="H278" s="605"/>
      <c r="I278" s="620"/>
      <c r="J278" s="607"/>
      <c r="K278" s="622"/>
      <c r="L278" s="609"/>
      <c r="M278" s="624"/>
      <c r="N278" s="611"/>
      <c r="O278" s="626"/>
      <c r="P278" s="613"/>
      <c r="Q278" s="628"/>
    </row>
    <row r="279" spans="1:17" x14ac:dyDescent="0.4">
      <c r="A279" s="601"/>
      <c r="B279" s="601" t="s">
        <v>344</v>
      </c>
      <c r="C279" s="602" t="s">
        <v>122</v>
      </c>
      <c r="D279" s="469">
        <v>33.74</v>
      </c>
      <c r="E279" s="536">
        <v>100245</v>
      </c>
      <c r="F279" s="631"/>
      <c r="G279" s="618"/>
      <c r="H279" s="605"/>
      <c r="I279" s="620"/>
      <c r="J279" s="607"/>
      <c r="K279" s="622"/>
      <c r="L279" s="609"/>
      <c r="M279" s="624"/>
      <c r="N279" s="611"/>
      <c r="O279" s="626"/>
      <c r="P279" s="613"/>
      <c r="Q279" s="628"/>
    </row>
    <row r="280" spans="1:17" x14ac:dyDescent="0.4">
      <c r="A280" s="601"/>
      <c r="B280" s="601" t="s">
        <v>346</v>
      </c>
      <c r="C280" s="602" t="s">
        <v>124</v>
      </c>
      <c r="D280" s="469">
        <v>0.45</v>
      </c>
      <c r="E280" s="536">
        <v>98584</v>
      </c>
      <c r="F280" s="631"/>
      <c r="G280" s="618"/>
      <c r="H280" s="605"/>
      <c r="I280" s="620"/>
      <c r="J280" s="607"/>
      <c r="K280" s="622"/>
      <c r="L280" s="609"/>
      <c r="M280" s="624"/>
      <c r="N280" s="611"/>
      <c r="O280" s="626"/>
      <c r="P280" s="613"/>
      <c r="Q280" s="628"/>
    </row>
    <row r="281" spans="1:17" x14ac:dyDescent="0.4">
      <c r="A281" s="601"/>
      <c r="B281" s="601" t="s">
        <v>358</v>
      </c>
      <c r="C281" s="602" t="s">
        <v>89</v>
      </c>
      <c r="D281" s="469">
        <v>7.41</v>
      </c>
      <c r="E281" s="536">
        <v>55375</v>
      </c>
      <c r="F281" s="631"/>
      <c r="G281" s="618"/>
      <c r="H281" s="605"/>
      <c r="I281" s="620"/>
      <c r="J281" s="607"/>
      <c r="K281" s="622"/>
      <c r="L281" s="609"/>
      <c r="M281" s="624"/>
      <c r="N281" s="611"/>
      <c r="O281" s="626"/>
      <c r="P281" s="613"/>
      <c r="Q281" s="628"/>
    </row>
    <row r="282" spans="1:17" x14ac:dyDescent="0.4">
      <c r="A282" s="601"/>
      <c r="B282" s="601" t="s">
        <v>361</v>
      </c>
      <c r="C282" s="602" t="s">
        <v>92</v>
      </c>
      <c r="D282" s="469">
        <v>30.27</v>
      </c>
      <c r="E282" s="536">
        <v>68914</v>
      </c>
      <c r="F282" s="631"/>
      <c r="G282" s="618"/>
      <c r="H282" s="605"/>
      <c r="I282" s="620"/>
      <c r="J282" s="607"/>
      <c r="K282" s="622"/>
      <c r="L282" s="609"/>
      <c r="M282" s="624"/>
      <c r="N282" s="611"/>
      <c r="O282" s="626"/>
      <c r="P282" s="613"/>
      <c r="Q282" s="628"/>
    </row>
    <row r="283" spans="1:17" x14ac:dyDescent="0.4">
      <c r="A283" s="601"/>
      <c r="B283" s="601" t="s">
        <v>363</v>
      </c>
      <c r="C283" s="602" t="s">
        <v>94</v>
      </c>
      <c r="D283" s="469">
        <v>5.52</v>
      </c>
      <c r="E283" s="536">
        <v>88683</v>
      </c>
      <c r="F283" s="631"/>
      <c r="G283" s="618"/>
      <c r="H283" s="605"/>
      <c r="I283" s="620"/>
      <c r="J283" s="607"/>
      <c r="K283" s="622"/>
      <c r="L283" s="609"/>
      <c r="M283" s="624"/>
      <c r="N283" s="611"/>
      <c r="O283" s="626"/>
      <c r="P283" s="613"/>
      <c r="Q283" s="628"/>
    </row>
    <row r="284" spans="1:17" x14ac:dyDescent="0.4">
      <c r="A284" s="601"/>
      <c r="B284" s="601" t="s">
        <v>365</v>
      </c>
      <c r="C284" s="602" t="s">
        <v>96</v>
      </c>
      <c r="D284" s="469">
        <v>13.16</v>
      </c>
      <c r="E284" s="536">
        <v>79283</v>
      </c>
      <c r="F284" s="631"/>
      <c r="G284" s="618"/>
      <c r="H284" s="605"/>
      <c r="I284" s="620"/>
      <c r="J284" s="607"/>
      <c r="K284" s="622"/>
      <c r="L284" s="609"/>
      <c r="M284" s="624"/>
      <c r="N284" s="611"/>
      <c r="O284" s="626"/>
      <c r="P284" s="613"/>
      <c r="Q284" s="628"/>
    </row>
    <row r="285" spans="1:17" x14ac:dyDescent="0.4">
      <c r="A285" s="601"/>
      <c r="B285" s="601" t="s">
        <v>366</v>
      </c>
      <c r="C285" s="602" t="s">
        <v>88</v>
      </c>
      <c r="D285" s="469">
        <v>0.41</v>
      </c>
      <c r="E285" s="536">
        <v>166024</v>
      </c>
      <c r="F285" s="631"/>
      <c r="G285" s="618"/>
      <c r="H285" s="605"/>
      <c r="I285" s="620"/>
      <c r="J285" s="607"/>
      <c r="K285" s="622"/>
      <c r="L285" s="609"/>
      <c r="M285" s="624"/>
      <c r="N285" s="611"/>
      <c r="O285" s="626"/>
      <c r="P285" s="613"/>
      <c r="Q285" s="628"/>
    </row>
    <row r="286" spans="1:17" x14ac:dyDescent="0.4">
      <c r="A286" s="557"/>
      <c r="B286" s="557"/>
      <c r="C286" s="557"/>
      <c r="D286" s="632"/>
      <c r="E286" s="633"/>
      <c r="F286" s="617">
        <f>SUM(D269:D280)</f>
        <v>796.72</v>
      </c>
      <c r="G286" s="634">
        <f>(SUMPRODUCT(D269:D280,E269:E280))</f>
        <v>79568245.730000004</v>
      </c>
      <c r="H286" s="619">
        <f>SUM(D269:D273)</f>
        <v>45.71</v>
      </c>
      <c r="I286" s="635">
        <f>(SUMPRODUCT(D269:D273,E269:E273))</f>
        <v>7315707.4299999997</v>
      </c>
      <c r="J286" s="621">
        <f>SUM(D274:D280)</f>
        <v>751.01</v>
      </c>
      <c r="K286" s="636">
        <f>(SUMPRODUCT(D274:D280,E274:E280))</f>
        <v>72252538.299999997</v>
      </c>
      <c r="L286" s="623"/>
      <c r="M286" s="624"/>
      <c r="N286" s="625">
        <f>+H286+J286+L286</f>
        <v>796.72</v>
      </c>
      <c r="O286" s="637">
        <f>+I286+K286+M286</f>
        <v>79568245.729999989</v>
      </c>
      <c r="P286" s="627">
        <f>SUM(D281:D285)</f>
        <v>56.769999999999996</v>
      </c>
      <c r="Q286" s="638">
        <f>(SUMPRODUCT(D281:D285,E281:E285))</f>
        <v>4097319.8100000005</v>
      </c>
    </row>
    <row r="287" spans="1:17" x14ac:dyDescent="0.4">
      <c r="A287" s="601" t="s">
        <v>439</v>
      </c>
      <c r="B287" s="601" t="s">
        <v>251</v>
      </c>
      <c r="C287" s="602"/>
      <c r="D287" s="469"/>
      <c r="E287" s="536"/>
      <c r="F287" s="603"/>
      <c r="G287" s="604"/>
      <c r="H287" s="605"/>
      <c r="I287" s="606"/>
      <c r="J287" s="607"/>
      <c r="K287" s="608"/>
      <c r="L287" s="609"/>
      <c r="M287" s="610"/>
      <c r="N287" s="611"/>
      <c r="O287" s="612"/>
      <c r="P287" s="613"/>
      <c r="Q287" s="614"/>
    </row>
    <row r="288" spans="1:17" x14ac:dyDescent="0.4">
      <c r="A288" s="601"/>
      <c r="B288" s="601" t="s">
        <v>340</v>
      </c>
      <c r="C288" s="602" t="s">
        <v>115</v>
      </c>
      <c r="D288" s="469">
        <v>2.69</v>
      </c>
      <c r="E288" s="536">
        <v>91289</v>
      </c>
      <c r="F288" s="631"/>
      <c r="G288" s="618"/>
      <c r="H288" s="605"/>
      <c r="I288" s="620"/>
      <c r="J288" s="607"/>
      <c r="K288" s="622"/>
      <c r="L288" s="609"/>
      <c r="M288" s="624"/>
      <c r="N288" s="611"/>
      <c r="O288" s="626"/>
      <c r="P288" s="613"/>
      <c r="Q288" s="628"/>
    </row>
    <row r="289" spans="1:17" x14ac:dyDescent="0.4">
      <c r="A289" s="601"/>
      <c r="B289" s="601" t="s">
        <v>341</v>
      </c>
      <c r="C289" s="602" t="s">
        <v>116</v>
      </c>
      <c r="D289" s="469">
        <v>1</v>
      </c>
      <c r="E289" s="536">
        <v>37581</v>
      </c>
      <c r="F289" s="631"/>
      <c r="G289" s="618"/>
      <c r="H289" s="605"/>
      <c r="I289" s="620"/>
      <c r="J289" s="607"/>
      <c r="K289" s="622"/>
      <c r="L289" s="609"/>
      <c r="M289" s="624"/>
      <c r="N289" s="611"/>
      <c r="O289" s="626"/>
      <c r="P289" s="613"/>
      <c r="Q289" s="628"/>
    </row>
    <row r="290" spans="1:17" x14ac:dyDescent="0.4">
      <c r="A290" s="601"/>
      <c r="B290" s="601" t="s">
        <v>342</v>
      </c>
      <c r="C290" s="602" t="s">
        <v>117</v>
      </c>
      <c r="D290" s="469">
        <v>2.02</v>
      </c>
      <c r="E290" s="536">
        <v>115980</v>
      </c>
      <c r="F290" s="631"/>
      <c r="G290" s="618"/>
      <c r="H290" s="605"/>
      <c r="I290" s="620"/>
      <c r="J290" s="607"/>
      <c r="K290" s="622"/>
      <c r="L290" s="609"/>
      <c r="M290" s="624"/>
      <c r="N290" s="611"/>
      <c r="O290" s="626"/>
      <c r="P290" s="613"/>
      <c r="Q290" s="628"/>
    </row>
    <row r="291" spans="1:17" x14ac:dyDescent="0.4">
      <c r="A291" s="601"/>
      <c r="B291" s="601" t="s">
        <v>344</v>
      </c>
      <c r="C291" s="602" t="s">
        <v>122</v>
      </c>
      <c r="D291" s="469">
        <v>0.24</v>
      </c>
      <c r="E291" s="536">
        <v>116258</v>
      </c>
      <c r="F291" s="631"/>
      <c r="G291" s="618"/>
      <c r="H291" s="605"/>
      <c r="I291" s="620"/>
      <c r="J291" s="607"/>
      <c r="K291" s="622"/>
      <c r="L291" s="609"/>
      <c r="M291" s="624"/>
      <c r="N291" s="611"/>
      <c r="O291" s="626"/>
      <c r="P291" s="613"/>
      <c r="Q291" s="628"/>
    </row>
    <row r="292" spans="1:17" x14ac:dyDescent="0.4">
      <c r="A292" s="601"/>
      <c r="B292" s="601" t="s">
        <v>358</v>
      </c>
      <c r="C292" s="602" t="s">
        <v>89</v>
      </c>
      <c r="D292" s="469">
        <v>3.55</v>
      </c>
      <c r="E292" s="536">
        <v>66280</v>
      </c>
      <c r="F292" s="603"/>
      <c r="G292" s="604"/>
      <c r="H292" s="605"/>
      <c r="I292" s="606"/>
      <c r="J292" s="607"/>
      <c r="K292" s="608"/>
      <c r="L292" s="609"/>
      <c r="M292" s="610"/>
      <c r="N292" s="611"/>
      <c r="O292" s="612"/>
      <c r="P292" s="613"/>
      <c r="Q292" s="614"/>
    </row>
    <row r="293" spans="1:17" x14ac:dyDescent="0.4">
      <c r="A293" s="601"/>
      <c r="B293" s="601" t="s">
        <v>361</v>
      </c>
      <c r="C293" s="602" t="s">
        <v>92</v>
      </c>
      <c r="D293" s="469">
        <v>3.35</v>
      </c>
      <c r="E293" s="536">
        <v>76579</v>
      </c>
      <c r="F293" s="603"/>
      <c r="G293" s="604"/>
      <c r="H293" s="605"/>
      <c r="I293" s="606"/>
      <c r="J293" s="607"/>
      <c r="K293" s="608"/>
      <c r="L293" s="609"/>
      <c r="M293" s="610"/>
      <c r="N293" s="611"/>
      <c r="O293" s="612"/>
      <c r="P293" s="613"/>
      <c r="Q293" s="614"/>
    </row>
    <row r="294" spans="1:17" x14ac:dyDescent="0.4">
      <c r="A294" s="601"/>
      <c r="B294" s="601" t="s">
        <v>365</v>
      </c>
      <c r="C294" s="602" t="s">
        <v>96</v>
      </c>
      <c r="D294" s="469">
        <v>1</v>
      </c>
      <c r="E294" s="536">
        <v>82555</v>
      </c>
      <c r="F294" s="603"/>
      <c r="G294" s="604"/>
      <c r="H294" s="605"/>
      <c r="I294" s="606"/>
      <c r="J294" s="607"/>
      <c r="K294" s="608"/>
      <c r="L294" s="609"/>
      <c r="M294" s="610"/>
      <c r="N294" s="611"/>
      <c r="O294" s="612"/>
      <c r="P294" s="613"/>
      <c r="Q294" s="614"/>
    </row>
    <row r="295" spans="1:17" x14ac:dyDescent="0.4">
      <c r="A295" s="557"/>
      <c r="B295" s="557"/>
      <c r="C295" s="557"/>
      <c r="D295" s="632"/>
      <c r="E295" s="633"/>
      <c r="F295" s="617">
        <f>SUM(D288:D291)</f>
        <v>5.95</v>
      </c>
      <c r="G295" s="634">
        <f>(SUMPRODUCT(D288:D291,E288:E291))</f>
        <v>545329.93000000005</v>
      </c>
      <c r="H295" s="619"/>
      <c r="I295" s="635"/>
      <c r="J295" s="621">
        <f>SUM(D288:D291)</f>
        <v>5.95</v>
      </c>
      <c r="K295" s="636">
        <f>(SUMPRODUCT(D288:D291,E288:E291))</f>
        <v>545329.93000000005</v>
      </c>
      <c r="L295" s="623"/>
      <c r="M295" s="639"/>
      <c r="N295" s="625">
        <f>+H295+J295+L295</f>
        <v>5.95</v>
      </c>
      <c r="O295" s="637">
        <f>+I295+K295+M295</f>
        <v>545329.93000000005</v>
      </c>
      <c r="P295" s="627">
        <f>SUM(D292:D294)</f>
        <v>7.9</v>
      </c>
      <c r="Q295" s="638">
        <f>(SUMPRODUCT(D292:D294,E292:E294))</f>
        <v>574388.65</v>
      </c>
    </row>
    <row r="296" spans="1:17" x14ac:dyDescent="0.4">
      <c r="A296" s="601" t="s">
        <v>440</v>
      </c>
      <c r="B296" s="601" t="s">
        <v>252</v>
      </c>
      <c r="C296" s="602"/>
      <c r="D296" s="469"/>
      <c r="E296" s="536"/>
      <c r="F296" s="603"/>
      <c r="G296" s="604"/>
      <c r="H296" s="605"/>
      <c r="I296" s="606"/>
      <c r="J296" s="607"/>
      <c r="K296" s="608"/>
      <c r="L296" s="609"/>
      <c r="M296" s="610"/>
      <c r="N296" s="611"/>
      <c r="O296" s="612"/>
      <c r="P296" s="613"/>
      <c r="Q296" s="614"/>
    </row>
    <row r="297" spans="1:17" x14ac:dyDescent="0.4">
      <c r="A297" s="601"/>
      <c r="B297" s="601" t="s">
        <v>341</v>
      </c>
      <c r="C297" s="602" t="s">
        <v>116</v>
      </c>
      <c r="D297" s="469">
        <v>2</v>
      </c>
      <c r="E297" s="536">
        <v>85493</v>
      </c>
      <c r="F297" s="631"/>
      <c r="G297" s="618"/>
      <c r="H297" s="605"/>
      <c r="I297" s="620"/>
      <c r="J297" s="607"/>
      <c r="K297" s="622"/>
      <c r="L297" s="609"/>
      <c r="M297" s="624"/>
      <c r="N297" s="611"/>
      <c r="O297" s="626"/>
      <c r="P297" s="613"/>
      <c r="Q297" s="628"/>
    </row>
    <row r="298" spans="1:17" x14ac:dyDescent="0.4">
      <c r="A298" s="601"/>
      <c r="B298" s="601" t="s">
        <v>358</v>
      </c>
      <c r="C298" s="602" t="s">
        <v>89</v>
      </c>
      <c r="D298" s="469">
        <v>0.74</v>
      </c>
      <c r="E298" s="536">
        <v>69878</v>
      </c>
      <c r="F298" s="603"/>
      <c r="G298" s="604"/>
      <c r="H298" s="605"/>
      <c r="I298" s="606"/>
      <c r="J298" s="607"/>
      <c r="K298" s="608"/>
      <c r="L298" s="609"/>
      <c r="M298" s="610"/>
      <c r="N298" s="611"/>
      <c r="O298" s="612"/>
      <c r="P298" s="613"/>
      <c r="Q298" s="614"/>
    </row>
    <row r="299" spans="1:17" x14ac:dyDescent="0.4">
      <c r="A299" s="601"/>
      <c r="B299" s="601" t="s">
        <v>361</v>
      </c>
      <c r="C299" s="602" t="s">
        <v>92</v>
      </c>
      <c r="D299" s="469">
        <v>0.41</v>
      </c>
      <c r="E299" s="536">
        <v>54235</v>
      </c>
      <c r="F299" s="603"/>
      <c r="G299" s="604"/>
      <c r="H299" s="605"/>
      <c r="I299" s="606"/>
      <c r="J299" s="607"/>
      <c r="K299" s="608"/>
      <c r="L299" s="609"/>
      <c r="M299" s="610"/>
      <c r="N299" s="611"/>
      <c r="O299" s="612"/>
      <c r="P299" s="613"/>
      <c r="Q299" s="614"/>
    </row>
    <row r="300" spans="1:17" x14ac:dyDescent="0.4">
      <c r="A300" s="601"/>
      <c r="B300" s="601" t="s">
        <v>366</v>
      </c>
      <c r="C300" s="602" t="s">
        <v>88</v>
      </c>
      <c r="D300" s="469">
        <v>1.78</v>
      </c>
      <c r="E300" s="536">
        <v>126872</v>
      </c>
      <c r="F300" s="603"/>
      <c r="G300" s="604"/>
      <c r="H300" s="605"/>
      <c r="I300" s="606"/>
      <c r="J300" s="607"/>
      <c r="K300" s="608"/>
      <c r="L300" s="609"/>
      <c r="M300" s="610"/>
      <c r="N300" s="611"/>
      <c r="O300" s="612"/>
      <c r="P300" s="613"/>
      <c r="Q300" s="614"/>
    </row>
    <row r="301" spans="1:17" x14ac:dyDescent="0.4">
      <c r="A301" s="557"/>
      <c r="B301" s="557"/>
      <c r="C301" s="557"/>
      <c r="D301" s="615"/>
      <c r="E301" s="562"/>
      <c r="F301" s="617">
        <f>SUM(D297:D297)</f>
        <v>2</v>
      </c>
      <c r="G301" s="618">
        <f>(SUMPRODUCT(D297:D297,E297:E297))</f>
        <v>170986</v>
      </c>
      <c r="H301" s="619"/>
      <c r="I301" s="620"/>
      <c r="J301" s="621">
        <f>SUM(D297:D297)</f>
        <v>2</v>
      </c>
      <c r="K301" s="622">
        <f>(SUMPRODUCT(D297:D297,E297:E297))</f>
        <v>170986</v>
      </c>
      <c r="L301" s="623"/>
      <c r="M301" s="624"/>
      <c r="N301" s="625">
        <f>+H301+J301+L301</f>
        <v>2</v>
      </c>
      <c r="O301" s="626">
        <f>+I301+K301+M301</f>
        <v>170986</v>
      </c>
      <c r="P301" s="627">
        <f>SUM(D298:D300)</f>
        <v>2.9299999999999997</v>
      </c>
      <c r="Q301" s="628">
        <f>(SUMPRODUCT(D298:D300,E298:E300))</f>
        <v>299778.23</v>
      </c>
    </row>
    <row r="302" spans="1:17" x14ac:dyDescent="0.4">
      <c r="A302" s="601" t="s">
        <v>347</v>
      </c>
      <c r="B302" s="601" t="s">
        <v>441</v>
      </c>
      <c r="C302" s="602"/>
      <c r="D302" s="469"/>
      <c r="E302" s="536"/>
      <c r="F302" s="603"/>
      <c r="G302" s="604"/>
      <c r="H302" s="605"/>
      <c r="I302" s="606"/>
      <c r="J302" s="607"/>
      <c r="K302" s="608"/>
      <c r="L302" s="609"/>
      <c r="M302" s="610"/>
      <c r="N302" s="611"/>
      <c r="O302" s="612"/>
      <c r="P302" s="613"/>
      <c r="Q302" s="614"/>
    </row>
    <row r="303" spans="1:17" x14ac:dyDescent="0.4">
      <c r="A303" s="601"/>
      <c r="B303" s="601" t="s">
        <v>333</v>
      </c>
      <c r="C303" s="602" t="s">
        <v>113</v>
      </c>
      <c r="D303" s="469">
        <v>0.2</v>
      </c>
      <c r="E303" s="536">
        <v>231699</v>
      </c>
      <c r="F303" s="603"/>
      <c r="G303" s="604"/>
      <c r="H303" s="605"/>
      <c r="I303" s="606"/>
      <c r="J303" s="607"/>
      <c r="K303" s="608"/>
      <c r="L303" s="609"/>
      <c r="M303" s="610"/>
      <c r="N303" s="611"/>
      <c r="O303" s="612"/>
      <c r="P303" s="613"/>
      <c r="Q303" s="614"/>
    </row>
    <row r="304" spans="1:17" x14ac:dyDescent="0.4">
      <c r="A304" s="601"/>
      <c r="B304" s="601" t="s">
        <v>336</v>
      </c>
      <c r="C304" s="602" t="s">
        <v>121</v>
      </c>
      <c r="D304" s="469">
        <v>8.34</v>
      </c>
      <c r="E304" s="536">
        <v>169839</v>
      </c>
      <c r="F304" s="603"/>
      <c r="G304" s="604"/>
      <c r="H304" s="605"/>
      <c r="I304" s="606"/>
      <c r="J304" s="607"/>
      <c r="K304" s="608"/>
      <c r="L304" s="609"/>
      <c r="M304" s="610"/>
      <c r="N304" s="611"/>
      <c r="O304" s="612"/>
      <c r="P304" s="613"/>
      <c r="Q304" s="614"/>
    </row>
    <row r="305" spans="1:17" x14ac:dyDescent="0.4">
      <c r="A305" s="601"/>
      <c r="B305" s="601" t="s">
        <v>337</v>
      </c>
      <c r="C305" s="602" t="s">
        <v>129</v>
      </c>
      <c r="D305" s="469">
        <v>4.2300000000000004</v>
      </c>
      <c r="E305" s="536">
        <v>171339</v>
      </c>
      <c r="F305" s="603"/>
      <c r="G305" s="604"/>
      <c r="H305" s="605"/>
      <c r="I305" s="606"/>
      <c r="J305" s="607"/>
      <c r="K305" s="608"/>
      <c r="L305" s="609"/>
      <c r="M305" s="610"/>
      <c r="N305" s="611"/>
      <c r="O305" s="612"/>
      <c r="P305" s="613"/>
      <c r="Q305" s="614"/>
    </row>
    <row r="306" spans="1:17" x14ac:dyDescent="0.4">
      <c r="A306" s="601"/>
      <c r="B306" s="601" t="s">
        <v>338</v>
      </c>
      <c r="C306" s="602" t="s">
        <v>114</v>
      </c>
      <c r="D306" s="469">
        <v>13.96</v>
      </c>
      <c r="E306" s="536">
        <v>174709</v>
      </c>
      <c r="F306" s="603"/>
      <c r="G306" s="604"/>
      <c r="H306" s="605"/>
      <c r="I306" s="606"/>
      <c r="J306" s="607"/>
      <c r="K306" s="608"/>
      <c r="L306" s="609"/>
      <c r="M306" s="610"/>
      <c r="N306" s="611"/>
      <c r="O306" s="612"/>
      <c r="P306" s="613"/>
      <c r="Q306" s="614"/>
    </row>
    <row r="307" spans="1:17" x14ac:dyDescent="0.4">
      <c r="A307" s="601"/>
      <c r="B307" s="601" t="s">
        <v>340</v>
      </c>
      <c r="C307" s="602" t="s">
        <v>115</v>
      </c>
      <c r="D307" s="469">
        <v>228.62</v>
      </c>
      <c r="E307" s="536">
        <v>90189</v>
      </c>
      <c r="F307" s="603"/>
      <c r="G307" s="604"/>
      <c r="H307" s="605"/>
      <c r="I307" s="606"/>
      <c r="J307" s="607"/>
      <c r="K307" s="608"/>
      <c r="L307" s="609"/>
      <c r="M307" s="610"/>
      <c r="N307" s="611"/>
      <c r="O307" s="612"/>
      <c r="P307" s="613"/>
      <c r="Q307" s="614"/>
    </row>
    <row r="308" spans="1:17" x14ac:dyDescent="0.4">
      <c r="A308" s="601"/>
      <c r="B308" s="601" t="s">
        <v>341</v>
      </c>
      <c r="C308" s="602" t="s">
        <v>116</v>
      </c>
      <c r="D308" s="469">
        <v>3.5</v>
      </c>
      <c r="E308" s="536">
        <v>100112</v>
      </c>
      <c r="F308" s="603"/>
      <c r="G308" s="604"/>
      <c r="H308" s="605"/>
      <c r="I308" s="606"/>
      <c r="J308" s="607"/>
      <c r="K308" s="608"/>
      <c r="L308" s="609"/>
      <c r="M308" s="610"/>
      <c r="N308" s="611"/>
      <c r="O308" s="612"/>
      <c r="P308" s="613"/>
      <c r="Q308" s="614"/>
    </row>
    <row r="309" spans="1:17" x14ac:dyDescent="0.4">
      <c r="A309" s="601"/>
      <c r="B309" s="601" t="s">
        <v>342</v>
      </c>
      <c r="C309" s="602" t="s">
        <v>117</v>
      </c>
      <c r="D309" s="469">
        <v>6.66</v>
      </c>
      <c r="E309" s="536">
        <v>98765</v>
      </c>
      <c r="F309" s="603"/>
      <c r="G309" s="604"/>
      <c r="H309" s="605"/>
      <c r="I309" s="606"/>
      <c r="J309" s="607"/>
      <c r="K309" s="608"/>
      <c r="L309" s="609"/>
      <c r="M309" s="610"/>
      <c r="N309" s="611"/>
      <c r="O309" s="612"/>
      <c r="P309" s="613"/>
      <c r="Q309" s="614"/>
    </row>
    <row r="310" spans="1:17" x14ac:dyDescent="0.4">
      <c r="A310" s="601"/>
      <c r="B310" s="601" t="s">
        <v>344</v>
      </c>
      <c r="C310" s="602" t="s">
        <v>122</v>
      </c>
      <c r="D310" s="469">
        <v>3.01</v>
      </c>
      <c r="E310" s="536">
        <v>104856</v>
      </c>
      <c r="F310" s="603"/>
      <c r="G310" s="604"/>
      <c r="H310" s="605"/>
      <c r="I310" s="606"/>
      <c r="J310" s="607"/>
      <c r="K310" s="608"/>
      <c r="L310" s="609"/>
      <c r="M310" s="610"/>
      <c r="N310" s="611"/>
      <c r="O310" s="612"/>
      <c r="P310" s="613"/>
      <c r="Q310" s="614"/>
    </row>
    <row r="311" spans="1:17" x14ac:dyDescent="0.4">
      <c r="A311" s="601"/>
      <c r="B311" s="601" t="s">
        <v>349</v>
      </c>
      <c r="C311" s="602" t="s">
        <v>126</v>
      </c>
      <c r="D311" s="469">
        <v>0.42</v>
      </c>
      <c r="E311" s="536">
        <v>92913</v>
      </c>
      <c r="F311" s="603"/>
      <c r="G311" s="604"/>
      <c r="H311" s="605"/>
      <c r="I311" s="606"/>
      <c r="J311" s="607"/>
      <c r="K311" s="608"/>
      <c r="L311" s="609"/>
      <c r="M311" s="610"/>
      <c r="N311" s="611"/>
      <c r="O311" s="612"/>
      <c r="P311" s="613"/>
      <c r="Q311" s="614"/>
    </row>
    <row r="312" spans="1:17" x14ac:dyDescent="0.4">
      <c r="A312" s="601"/>
      <c r="B312" s="601" t="s">
        <v>355</v>
      </c>
      <c r="C312" s="602" t="s">
        <v>169</v>
      </c>
      <c r="D312" s="469">
        <v>13</v>
      </c>
      <c r="E312" s="536">
        <v>105395</v>
      </c>
      <c r="F312" s="603"/>
      <c r="G312" s="604"/>
      <c r="H312" s="605"/>
      <c r="I312" s="606"/>
      <c r="J312" s="607"/>
      <c r="K312" s="608"/>
      <c r="L312" s="609"/>
      <c r="M312" s="610"/>
      <c r="N312" s="611"/>
      <c r="O312" s="612"/>
      <c r="P312" s="613"/>
      <c r="Q312" s="614"/>
    </row>
    <row r="313" spans="1:17" x14ac:dyDescent="0.4">
      <c r="A313" s="601"/>
      <c r="B313" s="601" t="s">
        <v>358</v>
      </c>
      <c r="C313" s="602" t="s">
        <v>89</v>
      </c>
      <c r="D313" s="469">
        <v>17.899999999999999</v>
      </c>
      <c r="E313" s="536">
        <v>61578</v>
      </c>
      <c r="F313" s="603"/>
      <c r="G313" s="604"/>
      <c r="H313" s="605"/>
      <c r="I313" s="606"/>
      <c r="J313" s="607"/>
      <c r="K313" s="608"/>
      <c r="L313" s="609"/>
      <c r="M313" s="610"/>
      <c r="N313" s="611"/>
      <c r="O313" s="612"/>
      <c r="P313" s="613"/>
      <c r="Q313" s="614"/>
    </row>
    <row r="314" spans="1:17" x14ac:dyDescent="0.4">
      <c r="A314" s="601"/>
      <c r="B314" s="601" t="s">
        <v>359</v>
      </c>
      <c r="C314" s="602" t="s">
        <v>90</v>
      </c>
      <c r="D314" s="469">
        <v>0.22</v>
      </c>
      <c r="E314" s="536">
        <v>83241</v>
      </c>
      <c r="F314" s="603"/>
      <c r="G314" s="604"/>
      <c r="H314" s="605"/>
      <c r="I314" s="606"/>
      <c r="J314" s="607"/>
      <c r="K314" s="608"/>
      <c r="L314" s="609"/>
      <c r="M314" s="610"/>
      <c r="N314" s="611"/>
      <c r="O314" s="612"/>
      <c r="P314" s="613"/>
      <c r="Q314" s="614"/>
    </row>
    <row r="315" spans="1:17" x14ac:dyDescent="0.4">
      <c r="A315" s="601"/>
      <c r="B315" s="601" t="s">
        <v>361</v>
      </c>
      <c r="C315" s="602" t="s">
        <v>92</v>
      </c>
      <c r="D315" s="469">
        <v>38.21</v>
      </c>
      <c r="E315" s="536">
        <v>68287</v>
      </c>
      <c r="F315" s="603"/>
      <c r="G315" s="604"/>
      <c r="H315" s="605"/>
      <c r="I315" s="606"/>
      <c r="J315" s="607"/>
      <c r="K315" s="608"/>
      <c r="L315" s="609"/>
      <c r="M315" s="610"/>
      <c r="N315" s="611"/>
      <c r="O315" s="612"/>
      <c r="P315" s="613"/>
      <c r="Q315" s="614"/>
    </row>
    <row r="316" spans="1:17" x14ac:dyDescent="0.4">
      <c r="A316" s="601"/>
      <c r="B316" s="601" t="s">
        <v>363</v>
      </c>
      <c r="C316" s="602" t="s">
        <v>94</v>
      </c>
      <c r="D316" s="469">
        <v>10.09</v>
      </c>
      <c r="E316" s="536">
        <v>77019</v>
      </c>
      <c r="F316" s="603"/>
      <c r="G316" s="604"/>
      <c r="H316" s="605"/>
      <c r="I316" s="606"/>
      <c r="J316" s="607"/>
      <c r="K316" s="608"/>
      <c r="L316" s="609"/>
      <c r="M316" s="610"/>
      <c r="N316" s="611"/>
      <c r="O316" s="612"/>
      <c r="P316" s="613"/>
      <c r="Q316" s="614"/>
    </row>
    <row r="317" spans="1:17" x14ac:dyDescent="0.4">
      <c r="A317" s="601"/>
      <c r="B317" s="601" t="s">
        <v>364</v>
      </c>
      <c r="C317" s="602" t="s">
        <v>95</v>
      </c>
      <c r="D317" s="469">
        <v>18.13</v>
      </c>
      <c r="E317" s="536">
        <v>62453</v>
      </c>
      <c r="F317" s="603"/>
      <c r="G317" s="604"/>
      <c r="H317" s="605"/>
      <c r="I317" s="606"/>
      <c r="J317" s="607"/>
      <c r="K317" s="608"/>
      <c r="L317" s="609"/>
      <c r="M317" s="610"/>
      <c r="N317" s="611"/>
      <c r="O317" s="612"/>
      <c r="P317" s="613"/>
      <c r="Q317" s="614"/>
    </row>
    <row r="318" spans="1:17" x14ac:dyDescent="0.4">
      <c r="A318" s="601"/>
      <c r="B318" s="601" t="s">
        <v>365</v>
      </c>
      <c r="C318" s="602" t="s">
        <v>96</v>
      </c>
      <c r="D318" s="469">
        <v>0.32</v>
      </c>
      <c r="E318" s="536">
        <v>58568</v>
      </c>
      <c r="F318" s="603"/>
      <c r="G318" s="604"/>
      <c r="H318" s="605"/>
      <c r="I318" s="606"/>
      <c r="J318" s="607"/>
      <c r="K318" s="608"/>
      <c r="L318" s="609"/>
      <c r="M318" s="610"/>
      <c r="N318" s="611"/>
      <c r="O318" s="612"/>
      <c r="P318" s="613"/>
      <c r="Q318" s="614"/>
    </row>
    <row r="319" spans="1:17" x14ac:dyDescent="0.4">
      <c r="A319" s="601"/>
      <c r="B319" s="601" t="s">
        <v>366</v>
      </c>
      <c r="C319" s="602" t="s">
        <v>88</v>
      </c>
      <c r="D319" s="469">
        <v>1.99</v>
      </c>
      <c r="E319" s="536">
        <v>106737</v>
      </c>
      <c r="F319" s="603"/>
      <c r="G319" s="604"/>
      <c r="H319" s="605"/>
      <c r="I319" s="606"/>
      <c r="J319" s="607"/>
      <c r="K319" s="608"/>
      <c r="L319" s="609"/>
      <c r="M319" s="610"/>
      <c r="N319" s="611"/>
      <c r="O319" s="612"/>
      <c r="P319" s="613"/>
      <c r="Q319" s="614"/>
    </row>
    <row r="320" spans="1:17" x14ac:dyDescent="0.4">
      <c r="A320" s="557"/>
      <c r="B320" s="557"/>
      <c r="C320" s="557"/>
      <c r="D320" s="615"/>
      <c r="E320" s="562"/>
      <c r="F320" s="617">
        <f>SUM(D303:D312)</f>
        <v>281.94000000000005</v>
      </c>
      <c r="G320" s="618">
        <f>(SUMPRODUCT(D303:D312,E303:E312))</f>
        <v>27978449.77</v>
      </c>
      <c r="H320" s="619">
        <f>SUM(D303:D306)</f>
        <v>26.73</v>
      </c>
      <c r="I320" s="620">
        <f>(SUMPRODUCT(D303:D306,E303:E306))</f>
        <v>4626498.67</v>
      </c>
      <c r="J320" s="621">
        <f>SUM(D307:D312)</f>
        <v>255.20999999999998</v>
      </c>
      <c r="K320" s="640">
        <f>(SUMPRODUCT(D307:D312,E307:E312))</f>
        <v>23351951.099999998</v>
      </c>
      <c r="L320" s="623"/>
      <c r="M320" s="624"/>
      <c r="N320" s="625">
        <f>+H320+J320+L320</f>
        <v>281.94</v>
      </c>
      <c r="O320" s="626">
        <f>+I320+K320+M320</f>
        <v>27978449.769999996</v>
      </c>
      <c r="P320" s="627">
        <f>SUM(D313:D319)</f>
        <v>86.859999999999985</v>
      </c>
      <c r="Q320" s="628">
        <f>(SUMPRODUCT(D313:D319,E313:E319))</f>
        <v>5870348.4799999995</v>
      </c>
    </row>
    <row r="321" spans="1:17" x14ac:dyDescent="0.4">
      <c r="A321" s="601" t="s">
        <v>348</v>
      </c>
      <c r="B321" s="601" t="s">
        <v>1155</v>
      </c>
      <c r="C321" s="602"/>
      <c r="D321" s="469"/>
      <c r="E321" s="536"/>
      <c r="F321" s="603"/>
      <c r="G321" s="604"/>
      <c r="H321" s="605"/>
      <c r="I321" s="606"/>
      <c r="J321" s="607"/>
      <c r="K321" s="608"/>
      <c r="L321" s="609"/>
      <c r="M321" s="610"/>
      <c r="N321" s="611"/>
      <c r="O321" s="612"/>
      <c r="P321" s="613"/>
      <c r="Q321" s="614"/>
    </row>
    <row r="322" spans="1:17" x14ac:dyDescent="0.4">
      <c r="A322" s="601"/>
      <c r="B322" s="601" t="s">
        <v>340</v>
      </c>
      <c r="C322" s="602" t="s">
        <v>115</v>
      </c>
      <c r="D322" s="469">
        <v>4</v>
      </c>
      <c r="E322" s="536">
        <v>107530</v>
      </c>
      <c r="F322" s="603"/>
      <c r="G322" s="604"/>
      <c r="H322" s="605"/>
      <c r="I322" s="606"/>
      <c r="J322" s="607"/>
      <c r="K322" s="608"/>
      <c r="L322" s="609"/>
      <c r="M322" s="610"/>
      <c r="N322" s="611"/>
      <c r="O322" s="612"/>
      <c r="P322" s="613"/>
      <c r="Q322" s="614"/>
    </row>
    <row r="323" spans="1:17" x14ac:dyDescent="0.4">
      <c r="A323" s="557"/>
      <c r="B323" s="557"/>
      <c r="C323" s="557"/>
      <c r="D323" s="615"/>
      <c r="E323" s="562"/>
      <c r="F323" s="617">
        <f>SUM(D322:D322)</f>
        <v>4</v>
      </c>
      <c r="G323" s="618">
        <f>(SUMPRODUCT(D322:D322,E322:E322))</f>
        <v>430120</v>
      </c>
      <c r="H323" s="619"/>
      <c r="I323" s="620"/>
      <c r="J323" s="621">
        <f>SUM(D322:D322)</f>
        <v>4</v>
      </c>
      <c r="K323" s="640">
        <f>(SUMPRODUCT(D322:D322,E322:E322))</f>
        <v>430120</v>
      </c>
      <c r="L323" s="623"/>
      <c r="M323" s="624"/>
      <c r="N323" s="625">
        <f>+H323+J323+L323</f>
        <v>4</v>
      </c>
      <c r="O323" s="626">
        <f>+I323+K323+M323</f>
        <v>430120</v>
      </c>
      <c r="P323" s="627"/>
      <c r="Q323" s="628"/>
    </row>
    <row r="324" spans="1:17" x14ac:dyDescent="0.4">
      <c r="A324" s="601" t="s">
        <v>352</v>
      </c>
      <c r="B324" s="601" t="s">
        <v>253</v>
      </c>
      <c r="C324" s="602"/>
      <c r="D324" s="469"/>
      <c r="E324" s="536"/>
      <c r="F324" s="631"/>
      <c r="G324" s="618"/>
      <c r="H324" s="605"/>
      <c r="I324" s="620"/>
      <c r="J324" s="607"/>
      <c r="K324" s="622"/>
      <c r="L324" s="609"/>
      <c r="M324" s="624"/>
      <c r="N324" s="611"/>
      <c r="O324" s="626"/>
      <c r="P324" s="613"/>
      <c r="Q324" s="628"/>
    </row>
    <row r="325" spans="1:17" x14ac:dyDescent="0.4">
      <c r="A325" s="601"/>
      <c r="B325" s="601" t="s">
        <v>332</v>
      </c>
      <c r="C325" s="602" t="s">
        <v>112</v>
      </c>
      <c r="D325" s="469">
        <v>0.75</v>
      </c>
      <c r="E325" s="536">
        <v>174161</v>
      </c>
      <c r="F325" s="603"/>
      <c r="G325" s="604"/>
      <c r="H325" s="605"/>
      <c r="I325" s="606"/>
      <c r="J325" s="607"/>
      <c r="K325" s="608"/>
      <c r="L325" s="609"/>
      <c r="M325" s="610"/>
      <c r="N325" s="611"/>
      <c r="O325" s="612"/>
      <c r="P325" s="613"/>
      <c r="Q325" s="614"/>
    </row>
    <row r="326" spans="1:17" x14ac:dyDescent="0.4">
      <c r="A326" s="601"/>
      <c r="B326" s="601" t="s">
        <v>333</v>
      </c>
      <c r="C326" s="602" t="s">
        <v>113</v>
      </c>
      <c r="D326" s="469">
        <v>31.7</v>
      </c>
      <c r="E326" s="536">
        <v>162371</v>
      </c>
      <c r="F326" s="603"/>
      <c r="G326" s="604"/>
      <c r="H326" s="605"/>
      <c r="I326" s="606"/>
      <c r="J326" s="607"/>
      <c r="K326" s="608"/>
      <c r="L326" s="609"/>
      <c r="M326" s="610"/>
      <c r="N326" s="611"/>
      <c r="O326" s="612"/>
      <c r="P326" s="613"/>
      <c r="Q326" s="614"/>
    </row>
    <row r="327" spans="1:17" x14ac:dyDescent="0.4">
      <c r="A327" s="601"/>
      <c r="B327" s="601" t="s">
        <v>334</v>
      </c>
      <c r="C327" s="602" t="s">
        <v>120</v>
      </c>
      <c r="D327" s="469">
        <v>0.1</v>
      </c>
      <c r="E327" s="536">
        <v>123000</v>
      </c>
      <c r="F327" s="603"/>
      <c r="G327" s="604"/>
      <c r="H327" s="605"/>
      <c r="I327" s="606"/>
      <c r="J327" s="607"/>
      <c r="K327" s="608"/>
      <c r="L327" s="609"/>
      <c r="M327" s="610"/>
      <c r="N327" s="611"/>
      <c r="O327" s="612"/>
      <c r="P327" s="613"/>
      <c r="Q327" s="614"/>
    </row>
    <row r="328" spans="1:17" x14ac:dyDescent="0.4">
      <c r="A328" s="601"/>
      <c r="B328" s="601" t="s">
        <v>335</v>
      </c>
      <c r="C328" s="602" t="s">
        <v>130</v>
      </c>
      <c r="D328" s="469">
        <v>1.51</v>
      </c>
      <c r="E328" s="536">
        <v>165361</v>
      </c>
      <c r="F328" s="603"/>
      <c r="G328" s="604"/>
      <c r="H328" s="605"/>
      <c r="I328" s="606"/>
      <c r="J328" s="607"/>
      <c r="K328" s="608"/>
      <c r="L328" s="609"/>
      <c r="M328" s="610"/>
      <c r="N328" s="611"/>
      <c r="O328" s="612"/>
      <c r="P328" s="613"/>
      <c r="Q328" s="614"/>
    </row>
    <row r="329" spans="1:17" x14ac:dyDescent="0.4">
      <c r="A329" s="601"/>
      <c r="B329" s="601" t="s">
        <v>336</v>
      </c>
      <c r="C329" s="602" t="s">
        <v>121</v>
      </c>
      <c r="D329" s="469">
        <v>0.09</v>
      </c>
      <c r="E329" s="536">
        <v>127889</v>
      </c>
      <c r="F329" s="603"/>
      <c r="G329" s="604"/>
      <c r="H329" s="605"/>
      <c r="I329" s="606"/>
      <c r="J329" s="607"/>
      <c r="K329" s="608"/>
      <c r="L329" s="609"/>
      <c r="M329" s="610"/>
      <c r="N329" s="611"/>
      <c r="O329" s="612"/>
      <c r="P329" s="613"/>
      <c r="Q329" s="614"/>
    </row>
    <row r="330" spans="1:17" x14ac:dyDescent="0.4">
      <c r="A330" s="601"/>
      <c r="B330" s="601" t="s">
        <v>338</v>
      </c>
      <c r="C330" s="602" t="s">
        <v>114</v>
      </c>
      <c r="D330" s="469">
        <v>8.48</v>
      </c>
      <c r="E330" s="536">
        <v>135708</v>
      </c>
      <c r="F330" s="603"/>
      <c r="G330" s="604"/>
      <c r="H330" s="605"/>
      <c r="I330" s="606"/>
      <c r="J330" s="607"/>
      <c r="K330" s="608"/>
      <c r="L330" s="609"/>
      <c r="M330" s="610"/>
      <c r="N330" s="611"/>
      <c r="O330" s="612"/>
      <c r="P330" s="613"/>
      <c r="Q330" s="614"/>
    </row>
    <row r="331" spans="1:17" x14ac:dyDescent="0.4">
      <c r="A331" s="601"/>
      <c r="B331" s="601" t="s">
        <v>339</v>
      </c>
      <c r="C331" s="602" t="s">
        <v>407</v>
      </c>
      <c r="D331" s="469">
        <v>194.79</v>
      </c>
      <c r="E331" s="536">
        <v>96708</v>
      </c>
      <c r="F331" s="631"/>
      <c r="G331" s="618"/>
      <c r="H331" s="605"/>
      <c r="I331" s="620"/>
      <c r="J331" s="607"/>
      <c r="K331" s="622"/>
      <c r="L331" s="609"/>
      <c r="M331" s="624"/>
      <c r="N331" s="611"/>
      <c r="O331" s="626"/>
      <c r="P331" s="613"/>
      <c r="Q331" s="628"/>
    </row>
    <row r="332" spans="1:17" x14ac:dyDescent="0.4">
      <c r="A332" s="601"/>
      <c r="B332" s="601" t="s">
        <v>340</v>
      </c>
      <c r="C332" s="602" t="s">
        <v>115</v>
      </c>
      <c r="D332" s="469">
        <v>158.61000000000001</v>
      </c>
      <c r="E332" s="536">
        <v>93769</v>
      </c>
      <c r="F332" s="631"/>
      <c r="G332" s="618"/>
      <c r="H332" s="605"/>
      <c r="I332" s="620"/>
      <c r="J332" s="607"/>
      <c r="K332" s="622"/>
      <c r="L332" s="609"/>
      <c r="M332" s="624"/>
      <c r="N332" s="611"/>
      <c r="O332" s="626"/>
      <c r="P332" s="613"/>
      <c r="Q332" s="628"/>
    </row>
    <row r="333" spans="1:17" x14ac:dyDescent="0.4">
      <c r="A333" s="601"/>
      <c r="B333" s="601" t="s">
        <v>341</v>
      </c>
      <c r="C333" s="602" t="s">
        <v>116</v>
      </c>
      <c r="D333" s="469">
        <v>367.69</v>
      </c>
      <c r="E333" s="536">
        <v>105099</v>
      </c>
      <c r="F333" s="631"/>
      <c r="G333" s="618"/>
      <c r="H333" s="605"/>
      <c r="I333" s="620"/>
      <c r="J333" s="607"/>
      <c r="K333" s="622"/>
      <c r="L333" s="609"/>
      <c r="M333" s="624"/>
      <c r="N333" s="611"/>
      <c r="O333" s="626"/>
      <c r="P333" s="613"/>
      <c r="Q333" s="628"/>
    </row>
    <row r="334" spans="1:17" x14ac:dyDescent="0.4">
      <c r="A334" s="601"/>
      <c r="B334" s="601" t="s">
        <v>408</v>
      </c>
      <c r="C334" s="602" t="s">
        <v>409</v>
      </c>
      <c r="D334" s="469">
        <v>91.93</v>
      </c>
      <c r="E334" s="536">
        <v>106065</v>
      </c>
      <c r="F334" s="603"/>
      <c r="G334" s="604"/>
      <c r="H334" s="605"/>
      <c r="I334" s="606"/>
      <c r="J334" s="607"/>
      <c r="K334" s="608"/>
      <c r="L334" s="609"/>
      <c r="M334" s="610"/>
      <c r="N334" s="611"/>
      <c r="O334" s="612"/>
      <c r="P334" s="613"/>
      <c r="Q334" s="614"/>
    </row>
    <row r="335" spans="1:17" x14ac:dyDescent="0.4">
      <c r="A335" s="601"/>
      <c r="B335" s="601" t="s">
        <v>342</v>
      </c>
      <c r="C335" s="602" t="s">
        <v>117</v>
      </c>
      <c r="D335" s="469">
        <v>226.29</v>
      </c>
      <c r="E335" s="536">
        <v>106815</v>
      </c>
      <c r="F335" s="603"/>
      <c r="G335" s="604"/>
      <c r="H335" s="605"/>
      <c r="I335" s="606"/>
      <c r="J335" s="607"/>
      <c r="K335" s="608"/>
      <c r="L335" s="609"/>
      <c r="M335" s="610"/>
      <c r="N335" s="611"/>
      <c r="O335" s="612"/>
      <c r="P335" s="613"/>
      <c r="Q335" s="614"/>
    </row>
    <row r="336" spans="1:17" x14ac:dyDescent="0.4">
      <c r="A336" s="601"/>
      <c r="B336" s="601" t="s">
        <v>343</v>
      </c>
      <c r="C336" s="602" t="s">
        <v>128</v>
      </c>
      <c r="D336" s="469">
        <v>1.63</v>
      </c>
      <c r="E336" s="536">
        <v>103048</v>
      </c>
      <c r="F336" s="603"/>
      <c r="G336" s="604"/>
      <c r="H336" s="605"/>
      <c r="I336" s="606"/>
      <c r="J336" s="607"/>
      <c r="K336" s="608"/>
      <c r="L336" s="609"/>
      <c r="M336" s="610"/>
      <c r="N336" s="611"/>
      <c r="O336" s="612"/>
      <c r="P336" s="613"/>
      <c r="Q336" s="614"/>
    </row>
    <row r="337" spans="1:17" x14ac:dyDescent="0.4">
      <c r="A337" s="601"/>
      <c r="B337" s="601" t="s">
        <v>344</v>
      </c>
      <c r="C337" s="602" t="s">
        <v>122</v>
      </c>
      <c r="D337" s="469">
        <v>58.42</v>
      </c>
      <c r="E337" s="536">
        <v>93637</v>
      </c>
      <c r="F337" s="603"/>
      <c r="G337" s="604"/>
      <c r="H337" s="605"/>
      <c r="I337" s="606"/>
      <c r="J337" s="607"/>
      <c r="K337" s="608"/>
      <c r="L337" s="609"/>
      <c r="M337" s="610"/>
      <c r="N337" s="611"/>
      <c r="O337" s="612"/>
      <c r="P337" s="613"/>
      <c r="Q337" s="614"/>
    </row>
    <row r="338" spans="1:17" x14ac:dyDescent="0.4">
      <c r="A338" s="601"/>
      <c r="B338" s="601" t="s">
        <v>346</v>
      </c>
      <c r="C338" s="602" t="s">
        <v>124</v>
      </c>
      <c r="D338" s="469">
        <v>11.24</v>
      </c>
      <c r="E338" s="536">
        <v>97912</v>
      </c>
      <c r="F338" s="603"/>
      <c r="G338" s="604"/>
      <c r="H338" s="605"/>
      <c r="I338" s="606"/>
      <c r="J338" s="607"/>
      <c r="K338" s="608"/>
      <c r="L338" s="609"/>
      <c r="M338" s="610"/>
      <c r="N338" s="611"/>
      <c r="O338" s="612"/>
      <c r="P338" s="613"/>
      <c r="Q338" s="614"/>
    </row>
    <row r="339" spans="1:17" x14ac:dyDescent="0.4">
      <c r="A339" s="601"/>
      <c r="B339" s="601" t="s">
        <v>348</v>
      </c>
      <c r="C339" s="602" t="s">
        <v>125</v>
      </c>
      <c r="D339" s="469">
        <v>1.45</v>
      </c>
      <c r="E339" s="536">
        <v>113056</v>
      </c>
      <c r="F339" s="603"/>
      <c r="G339" s="604"/>
      <c r="H339" s="605"/>
      <c r="I339" s="606"/>
      <c r="J339" s="607"/>
      <c r="K339" s="608"/>
      <c r="L339" s="609"/>
      <c r="M339" s="610"/>
      <c r="N339" s="611"/>
      <c r="O339" s="612"/>
      <c r="P339" s="613"/>
      <c r="Q339" s="614"/>
    </row>
    <row r="340" spans="1:17" x14ac:dyDescent="0.4">
      <c r="A340" s="601"/>
      <c r="B340" s="601" t="s">
        <v>349</v>
      </c>
      <c r="C340" s="602" t="s">
        <v>126</v>
      </c>
      <c r="D340" s="469">
        <v>1.37</v>
      </c>
      <c r="E340" s="536">
        <v>75905</v>
      </c>
      <c r="F340" s="603"/>
      <c r="G340" s="604"/>
      <c r="H340" s="605"/>
      <c r="I340" s="606"/>
      <c r="J340" s="607"/>
      <c r="K340" s="608"/>
      <c r="L340" s="609"/>
      <c r="M340" s="610"/>
      <c r="N340" s="611"/>
      <c r="O340" s="612"/>
      <c r="P340" s="613"/>
      <c r="Q340" s="614"/>
    </row>
    <row r="341" spans="1:17" x14ac:dyDescent="0.4">
      <c r="A341" s="601"/>
      <c r="B341" s="601" t="s">
        <v>351</v>
      </c>
      <c r="C341" s="602" t="s">
        <v>427</v>
      </c>
      <c r="D341" s="469">
        <v>8.4499999999999993</v>
      </c>
      <c r="E341" s="536">
        <v>89007</v>
      </c>
      <c r="F341" s="603"/>
      <c r="G341" s="604"/>
      <c r="H341" s="605"/>
      <c r="I341" s="606"/>
      <c r="J341" s="607"/>
      <c r="K341" s="608"/>
      <c r="L341" s="609"/>
      <c r="M341" s="610"/>
      <c r="N341" s="611"/>
      <c r="O341" s="612"/>
      <c r="P341" s="613"/>
      <c r="Q341" s="614"/>
    </row>
    <row r="342" spans="1:17" x14ac:dyDescent="0.4">
      <c r="A342" s="601"/>
      <c r="B342" s="601" t="s">
        <v>353</v>
      </c>
      <c r="C342" s="602" t="s">
        <v>119</v>
      </c>
      <c r="D342" s="469">
        <v>0.83</v>
      </c>
      <c r="E342" s="536">
        <v>60225</v>
      </c>
      <c r="F342" s="603"/>
      <c r="G342" s="604"/>
      <c r="H342" s="605"/>
      <c r="I342" s="606"/>
      <c r="J342" s="607"/>
      <c r="K342" s="608"/>
      <c r="L342" s="609"/>
      <c r="M342" s="610"/>
      <c r="N342" s="611"/>
      <c r="O342" s="612"/>
      <c r="P342" s="613"/>
      <c r="Q342" s="614"/>
    </row>
    <row r="343" spans="1:17" x14ac:dyDescent="0.4">
      <c r="A343" s="601"/>
      <c r="B343" s="601" t="s">
        <v>354</v>
      </c>
      <c r="C343" s="602" t="s">
        <v>236</v>
      </c>
      <c r="D343" s="469">
        <v>0.64</v>
      </c>
      <c r="E343" s="536">
        <v>84311</v>
      </c>
      <c r="F343" s="603"/>
      <c r="G343" s="604"/>
      <c r="H343" s="605"/>
      <c r="I343" s="606"/>
      <c r="J343" s="607"/>
      <c r="K343" s="608"/>
      <c r="L343" s="609"/>
      <c r="M343" s="610"/>
      <c r="N343" s="611"/>
      <c r="O343" s="612"/>
      <c r="P343" s="613"/>
      <c r="Q343" s="614"/>
    </row>
    <row r="344" spans="1:17" x14ac:dyDescent="0.4">
      <c r="A344" s="601"/>
      <c r="B344" s="601" t="s">
        <v>358</v>
      </c>
      <c r="C344" s="602" t="s">
        <v>89</v>
      </c>
      <c r="D344" s="469">
        <v>573.75</v>
      </c>
      <c r="E344" s="536">
        <v>54459</v>
      </c>
      <c r="F344" s="603"/>
      <c r="G344" s="604"/>
      <c r="H344" s="605"/>
      <c r="I344" s="606"/>
      <c r="J344" s="607"/>
      <c r="K344" s="608"/>
      <c r="L344" s="609"/>
      <c r="M344" s="610"/>
      <c r="N344" s="611"/>
      <c r="O344" s="612"/>
      <c r="P344" s="613"/>
      <c r="Q344" s="614"/>
    </row>
    <row r="345" spans="1:17" x14ac:dyDescent="0.4">
      <c r="A345" s="601"/>
      <c r="B345" s="601" t="s">
        <v>361</v>
      </c>
      <c r="C345" s="602" t="s">
        <v>92</v>
      </c>
      <c r="D345" s="469">
        <v>73.41</v>
      </c>
      <c r="E345" s="536">
        <v>70763</v>
      </c>
      <c r="F345" s="603"/>
      <c r="G345" s="604"/>
      <c r="H345" s="605"/>
      <c r="I345" s="606"/>
      <c r="J345" s="607"/>
      <c r="K345" s="608"/>
      <c r="L345" s="609"/>
      <c r="M345" s="610"/>
      <c r="N345" s="611"/>
      <c r="O345" s="612"/>
      <c r="P345" s="613"/>
      <c r="Q345" s="614"/>
    </row>
    <row r="346" spans="1:17" x14ac:dyDescent="0.4">
      <c r="A346" s="601"/>
      <c r="B346" s="601" t="s">
        <v>363</v>
      </c>
      <c r="C346" s="602" t="s">
        <v>94</v>
      </c>
      <c r="D346" s="469">
        <v>89.22</v>
      </c>
      <c r="E346" s="536">
        <v>79771</v>
      </c>
      <c r="F346" s="603"/>
      <c r="G346" s="604"/>
      <c r="H346" s="605"/>
      <c r="I346" s="606"/>
      <c r="J346" s="607"/>
      <c r="K346" s="608"/>
      <c r="L346" s="609"/>
      <c r="M346" s="610"/>
      <c r="N346" s="611"/>
      <c r="O346" s="612"/>
      <c r="P346" s="613"/>
      <c r="Q346" s="614"/>
    </row>
    <row r="347" spans="1:17" x14ac:dyDescent="0.4">
      <c r="A347" s="601"/>
      <c r="B347" s="601" t="s">
        <v>364</v>
      </c>
      <c r="C347" s="602" t="s">
        <v>95</v>
      </c>
      <c r="D347" s="469">
        <v>0.73</v>
      </c>
      <c r="E347" s="536">
        <v>66435</v>
      </c>
      <c r="F347" s="603"/>
      <c r="G347" s="604"/>
      <c r="H347" s="605"/>
      <c r="I347" s="606"/>
      <c r="J347" s="607"/>
      <c r="K347" s="608"/>
      <c r="L347" s="609"/>
      <c r="M347" s="610"/>
      <c r="N347" s="611"/>
      <c r="O347" s="612"/>
      <c r="P347" s="613"/>
      <c r="Q347" s="614"/>
    </row>
    <row r="348" spans="1:17" x14ac:dyDescent="0.4">
      <c r="A348" s="601"/>
      <c r="B348" s="601" t="s">
        <v>365</v>
      </c>
      <c r="C348" s="602" t="s">
        <v>96</v>
      </c>
      <c r="D348" s="469">
        <v>6.7</v>
      </c>
      <c r="E348" s="536">
        <v>101107</v>
      </c>
      <c r="F348" s="603"/>
      <c r="G348" s="604"/>
      <c r="H348" s="605"/>
      <c r="I348" s="606"/>
      <c r="J348" s="607"/>
      <c r="K348" s="608"/>
      <c r="L348" s="609"/>
      <c r="M348" s="610"/>
      <c r="N348" s="611"/>
      <c r="O348" s="612"/>
      <c r="P348" s="613"/>
      <c r="Q348" s="614"/>
    </row>
    <row r="349" spans="1:17" x14ac:dyDescent="0.4">
      <c r="A349" s="601"/>
      <c r="B349" s="601" t="s">
        <v>366</v>
      </c>
      <c r="C349" s="602" t="s">
        <v>88</v>
      </c>
      <c r="D349" s="469">
        <v>7.77</v>
      </c>
      <c r="E349" s="536">
        <v>126248</v>
      </c>
      <c r="F349" s="603"/>
      <c r="G349" s="604"/>
      <c r="H349" s="605"/>
      <c r="I349" s="606"/>
      <c r="J349" s="607"/>
      <c r="K349" s="608"/>
      <c r="L349" s="609"/>
      <c r="M349" s="610"/>
      <c r="N349" s="611"/>
      <c r="O349" s="612"/>
      <c r="P349" s="613"/>
      <c r="Q349" s="614"/>
    </row>
    <row r="350" spans="1:17" x14ac:dyDescent="0.4">
      <c r="A350" s="557"/>
      <c r="B350" s="557"/>
      <c r="C350" s="557"/>
      <c r="D350" s="615"/>
      <c r="E350" s="562"/>
      <c r="F350" s="617">
        <f>SUM(D325:D343)</f>
        <v>1165.9700000000003</v>
      </c>
      <c r="G350" s="618">
        <f>(SUMPRODUCT(D325:D343,E325:E343))</f>
        <v>120840864.58</v>
      </c>
      <c r="H350" s="619">
        <f>SUM(D325:D330)</f>
        <v>42.63000000000001</v>
      </c>
      <c r="I350" s="620">
        <f>(SUMPRODUCT(D325:D330,E325:E330))</f>
        <v>6702090.4100000001</v>
      </c>
      <c r="J350" s="621">
        <f>SUM(D331:D341)</f>
        <v>1121.8700000000001</v>
      </c>
      <c r="K350" s="622">
        <f>(SUMPRODUCT(D331:D341,E331:E341))</f>
        <v>114034828.38</v>
      </c>
      <c r="L350" s="623">
        <f>SUM(D342:D343)</f>
        <v>1.47</v>
      </c>
      <c r="M350" s="624">
        <f>(SUMPRODUCT(D342:D343,E342:E343))</f>
        <v>103945.79000000001</v>
      </c>
      <c r="N350" s="625">
        <f>+H350+J350+L350</f>
        <v>1165.9700000000003</v>
      </c>
      <c r="O350" s="626">
        <f>+I350+K350+M350</f>
        <v>120840864.58</v>
      </c>
      <c r="P350" s="627">
        <f>SUM(D344:D349)</f>
        <v>751.58</v>
      </c>
      <c r="Q350" s="628">
        <f>(SUMPRODUCT(D344:D349,E344:E349))</f>
        <v>45264593.109999992</v>
      </c>
    </row>
    <row r="351" spans="1:17" x14ac:dyDescent="0.4">
      <c r="A351" s="601" t="s">
        <v>353</v>
      </c>
      <c r="B351" s="601" t="s">
        <v>254</v>
      </c>
      <c r="C351" s="602"/>
      <c r="D351" s="469"/>
      <c r="E351" s="536"/>
      <c r="F351" s="631"/>
      <c r="G351" s="618"/>
      <c r="H351" s="605"/>
      <c r="I351" s="620"/>
      <c r="J351" s="607"/>
      <c r="K351" s="622"/>
      <c r="L351" s="609"/>
      <c r="M351" s="624"/>
      <c r="N351" s="611"/>
      <c r="O351" s="626"/>
      <c r="P351" s="613"/>
      <c r="Q351" s="628"/>
    </row>
    <row r="352" spans="1:17" x14ac:dyDescent="0.4">
      <c r="A352" s="601"/>
      <c r="B352" s="601" t="s">
        <v>333</v>
      </c>
      <c r="C352" s="602" t="s">
        <v>113</v>
      </c>
      <c r="D352" s="469">
        <v>16.38</v>
      </c>
      <c r="E352" s="536">
        <v>150802</v>
      </c>
      <c r="F352" s="631"/>
      <c r="G352" s="618"/>
      <c r="H352" s="605"/>
      <c r="I352" s="620"/>
      <c r="J352" s="607"/>
      <c r="K352" s="622"/>
      <c r="L352" s="609"/>
      <c r="M352" s="624"/>
      <c r="N352" s="611"/>
      <c r="O352" s="626"/>
      <c r="P352" s="613"/>
      <c r="Q352" s="628"/>
    </row>
    <row r="353" spans="1:17" x14ac:dyDescent="0.4">
      <c r="A353" s="601"/>
      <c r="B353" s="601" t="s">
        <v>334</v>
      </c>
      <c r="C353" s="602" t="s">
        <v>120</v>
      </c>
      <c r="D353" s="469">
        <v>0.7</v>
      </c>
      <c r="E353" s="536">
        <v>77445</v>
      </c>
      <c r="F353" s="631"/>
      <c r="G353" s="618"/>
      <c r="H353" s="605"/>
      <c r="I353" s="620"/>
      <c r="J353" s="607"/>
      <c r="K353" s="622"/>
      <c r="L353" s="609"/>
      <c r="M353" s="624"/>
      <c r="N353" s="611"/>
      <c r="O353" s="626"/>
      <c r="P353" s="613"/>
      <c r="Q353" s="628"/>
    </row>
    <row r="354" spans="1:17" x14ac:dyDescent="0.4">
      <c r="A354" s="601"/>
      <c r="B354" s="601" t="s">
        <v>336</v>
      </c>
      <c r="C354" s="602" t="s">
        <v>121</v>
      </c>
      <c r="D354" s="469">
        <v>0.09</v>
      </c>
      <c r="E354" s="536">
        <v>154878</v>
      </c>
      <c r="F354" s="631"/>
      <c r="G354" s="618"/>
      <c r="H354" s="605"/>
      <c r="I354" s="620"/>
      <c r="J354" s="607"/>
      <c r="K354" s="622"/>
      <c r="L354" s="609"/>
      <c r="M354" s="624"/>
      <c r="N354" s="611"/>
      <c r="O354" s="626"/>
      <c r="P354" s="613"/>
      <c r="Q354" s="628"/>
    </row>
    <row r="355" spans="1:17" x14ac:dyDescent="0.4">
      <c r="A355" s="601"/>
      <c r="B355" s="601" t="s">
        <v>338</v>
      </c>
      <c r="C355" s="602" t="s">
        <v>114</v>
      </c>
      <c r="D355" s="469">
        <v>2.94</v>
      </c>
      <c r="E355" s="536">
        <v>133940</v>
      </c>
      <c r="F355" s="631"/>
      <c r="G355" s="618"/>
      <c r="H355" s="605"/>
      <c r="I355" s="620"/>
      <c r="J355" s="607"/>
      <c r="K355" s="622"/>
      <c r="L355" s="609"/>
      <c r="M355" s="624"/>
      <c r="N355" s="611"/>
      <c r="O355" s="626"/>
      <c r="P355" s="613"/>
      <c r="Q355" s="628"/>
    </row>
    <row r="356" spans="1:17" x14ac:dyDescent="0.4">
      <c r="A356" s="601"/>
      <c r="B356" s="601" t="s">
        <v>339</v>
      </c>
      <c r="C356" s="602" t="s">
        <v>407</v>
      </c>
      <c r="D356" s="469">
        <v>8.1300000000000008</v>
      </c>
      <c r="E356" s="536">
        <v>82832</v>
      </c>
      <c r="F356" s="631"/>
      <c r="G356" s="618"/>
      <c r="H356" s="605"/>
      <c r="I356" s="620"/>
      <c r="J356" s="607"/>
      <c r="K356" s="622"/>
      <c r="L356" s="609"/>
      <c r="M356" s="624"/>
      <c r="N356" s="611"/>
      <c r="O356" s="626"/>
      <c r="P356" s="613"/>
      <c r="Q356" s="628"/>
    </row>
    <row r="357" spans="1:17" x14ac:dyDescent="0.4">
      <c r="A357" s="601"/>
      <c r="B357" s="601" t="s">
        <v>340</v>
      </c>
      <c r="C357" s="602" t="s">
        <v>115</v>
      </c>
      <c r="D357" s="469">
        <v>4.45</v>
      </c>
      <c r="E357" s="536">
        <v>92585</v>
      </c>
      <c r="F357" s="631"/>
      <c r="G357" s="618"/>
      <c r="H357" s="605"/>
      <c r="I357" s="620"/>
      <c r="J357" s="607"/>
      <c r="K357" s="622"/>
      <c r="L357" s="609"/>
      <c r="M357" s="624"/>
      <c r="N357" s="611"/>
      <c r="O357" s="626"/>
      <c r="P357" s="613"/>
      <c r="Q357" s="628"/>
    </row>
    <row r="358" spans="1:17" x14ac:dyDescent="0.4">
      <c r="A358" s="601"/>
      <c r="B358" s="601" t="s">
        <v>341</v>
      </c>
      <c r="C358" s="602" t="s">
        <v>116</v>
      </c>
      <c r="D358" s="469">
        <v>11.69</v>
      </c>
      <c r="E358" s="536">
        <v>111353</v>
      </c>
      <c r="F358" s="631"/>
      <c r="G358" s="618"/>
      <c r="H358" s="605"/>
      <c r="I358" s="620"/>
      <c r="J358" s="607"/>
      <c r="K358" s="622"/>
      <c r="L358" s="609"/>
      <c r="M358" s="624"/>
      <c r="N358" s="611"/>
      <c r="O358" s="626"/>
      <c r="P358" s="613"/>
      <c r="Q358" s="628"/>
    </row>
    <row r="359" spans="1:17" x14ac:dyDescent="0.4">
      <c r="A359" s="601"/>
      <c r="B359" s="601" t="s">
        <v>408</v>
      </c>
      <c r="C359" s="602" t="s">
        <v>409</v>
      </c>
      <c r="D359" s="469">
        <v>0.31</v>
      </c>
      <c r="E359" s="536">
        <v>101806</v>
      </c>
      <c r="F359" s="631"/>
      <c r="G359" s="618"/>
      <c r="H359" s="605"/>
      <c r="I359" s="620"/>
      <c r="J359" s="607"/>
      <c r="K359" s="622"/>
      <c r="L359" s="609"/>
      <c r="M359" s="624"/>
      <c r="N359" s="611"/>
      <c r="O359" s="626"/>
      <c r="P359" s="613"/>
      <c r="Q359" s="628"/>
    </row>
    <row r="360" spans="1:17" x14ac:dyDescent="0.4">
      <c r="A360" s="601"/>
      <c r="B360" s="601" t="s">
        <v>342</v>
      </c>
      <c r="C360" s="602" t="s">
        <v>117</v>
      </c>
      <c r="D360" s="469">
        <v>101.42</v>
      </c>
      <c r="E360" s="536">
        <v>112804</v>
      </c>
      <c r="F360" s="631"/>
      <c r="G360" s="618"/>
      <c r="H360" s="605"/>
      <c r="I360" s="620"/>
      <c r="J360" s="607"/>
      <c r="K360" s="622"/>
      <c r="L360" s="609"/>
      <c r="M360" s="624"/>
      <c r="N360" s="611"/>
      <c r="O360" s="626"/>
      <c r="P360" s="613"/>
      <c r="Q360" s="628"/>
    </row>
    <row r="361" spans="1:17" x14ac:dyDescent="0.4">
      <c r="A361" s="601"/>
      <c r="B361" s="601" t="s">
        <v>344</v>
      </c>
      <c r="C361" s="602" t="s">
        <v>122</v>
      </c>
      <c r="D361" s="469">
        <v>4.95</v>
      </c>
      <c r="E361" s="536">
        <v>97536</v>
      </c>
      <c r="F361" s="631"/>
      <c r="G361" s="618"/>
      <c r="H361" s="605"/>
      <c r="I361" s="620"/>
      <c r="J361" s="607"/>
      <c r="K361" s="622"/>
      <c r="L361" s="609"/>
      <c r="M361" s="624"/>
      <c r="N361" s="611"/>
      <c r="O361" s="626"/>
      <c r="P361" s="613"/>
      <c r="Q361" s="628"/>
    </row>
    <row r="362" spans="1:17" x14ac:dyDescent="0.4">
      <c r="A362" s="601"/>
      <c r="B362" s="601" t="s">
        <v>345</v>
      </c>
      <c r="C362" s="602" t="s">
        <v>123</v>
      </c>
      <c r="D362" s="469">
        <v>1.2</v>
      </c>
      <c r="E362" s="536">
        <v>108052</v>
      </c>
      <c r="F362" s="631"/>
      <c r="G362" s="618"/>
      <c r="H362" s="605"/>
      <c r="I362" s="620"/>
      <c r="J362" s="607"/>
      <c r="K362" s="622"/>
      <c r="L362" s="609"/>
      <c r="M362" s="624"/>
      <c r="N362" s="611"/>
      <c r="O362" s="626"/>
      <c r="P362" s="613"/>
      <c r="Q362" s="628"/>
    </row>
    <row r="363" spans="1:17" x14ac:dyDescent="0.4">
      <c r="A363" s="601"/>
      <c r="B363" s="601" t="s">
        <v>346</v>
      </c>
      <c r="C363" s="602" t="s">
        <v>124</v>
      </c>
      <c r="D363" s="469">
        <v>4.07</v>
      </c>
      <c r="E363" s="536">
        <v>88583</v>
      </c>
      <c r="F363" s="631"/>
      <c r="G363" s="618"/>
      <c r="H363" s="605"/>
      <c r="I363" s="620"/>
      <c r="J363" s="607"/>
      <c r="K363" s="622"/>
      <c r="L363" s="609"/>
      <c r="M363" s="624"/>
      <c r="N363" s="611"/>
      <c r="O363" s="626"/>
      <c r="P363" s="613"/>
      <c r="Q363" s="628"/>
    </row>
    <row r="364" spans="1:17" x14ac:dyDescent="0.4">
      <c r="A364" s="601"/>
      <c r="B364" s="601" t="s">
        <v>348</v>
      </c>
      <c r="C364" s="602" t="s">
        <v>125</v>
      </c>
      <c r="D364" s="469">
        <v>0.3</v>
      </c>
      <c r="E364" s="536">
        <v>122747</v>
      </c>
      <c r="F364" s="631"/>
      <c r="G364" s="618"/>
      <c r="H364" s="605"/>
      <c r="I364" s="620"/>
      <c r="J364" s="607"/>
      <c r="K364" s="622"/>
      <c r="L364" s="609"/>
      <c r="M364" s="624"/>
      <c r="N364" s="611"/>
      <c r="O364" s="626"/>
      <c r="P364" s="613"/>
      <c r="Q364" s="628"/>
    </row>
    <row r="365" spans="1:17" x14ac:dyDescent="0.4">
      <c r="A365" s="601"/>
      <c r="B365" s="601" t="s">
        <v>349</v>
      </c>
      <c r="C365" s="602" t="s">
        <v>126</v>
      </c>
      <c r="D365" s="469">
        <v>1.6</v>
      </c>
      <c r="E365" s="536">
        <v>107821</v>
      </c>
      <c r="F365" s="631"/>
      <c r="G365" s="618"/>
      <c r="H365" s="605"/>
      <c r="I365" s="620"/>
      <c r="J365" s="607"/>
      <c r="K365" s="622"/>
      <c r="L365" s="609"/>
      <c r="M365" s="624"/>
      <c r="N365" s="611"/>
      <c r="O365" s="626"/>
      <c r="P365" s="613"/>
      <c r="Q365" s="628"/>
    </row>
    <row r="366" spans="1:17" x14ac:dyDescent="0.4">
      <c r="A366" s="601"/>
      <c r="B366" s="601" t="s">
        <v>351</v>
      </c>
      <c r="C366" s="602" t="s">
        <v>427</v>
      </c>
      <c r="D366" s="469">
        <v>9.5</v>
      </c>
      <c r="E366" s="536">
        <v>84348</v>
      </c>
      <c r="F366" s="631"/>
      <c r="G366" s="618"/>
      <c r="H366" s="605"/>
      <c r="I366" s="620"/>
      <c r="J366" s="607"/>
      <c r="K366" s="622"/>
      <c r="L366" s="609"/>
      <c r="M366" s="624"/>
      <c r="N366" s="611"/>
      <c r="O366" s="626"/>
      <c r="P366" s="613"/>
      <c r="Q366" s="628"/>
    </row>
    <row r="367" spans="1:17" x14ac:dyDescent="0.4">
      <c r="A367" s="601"/>
      <c r="B367" s="601" t="s">
        <v>353</v>
      </c>
      <c r="C367" s="602" t="s">
        <v>119</v>
      </c>
      <c r="D367" s="469">
        <v>0.55000000000000004</v>
      </c>
      <c r="E367" s="536">
        <v>119353</v>
      </c>
      <c r="F367" s="631"/>
      <c r="G367" s="618"/>
      <c r="H367" s="605"/>
      <c r="I367" s="620"/>
      <c r="J367" s="607"/>
      <c r="K367" s="622"/>
      <c r="L367" s="609"/>
      <c r="M367" s="624"/>
      <c r="N367" s="611"/>
      <c r="O367" s="626"/>
      <c r="P367" s="613"/>
      <c r="Q367" s="628"/>
    </row>
    <row r="368" spans="1:17" x14ac:dyDescent="0.4">
      <c r="A368" s="601"/>
      <c r="B368" s="601" t="s">
        <v>358</v>
      </c>
      <c r="C368" s="602" t="s">
        <v>89</v>
      </c>
      <c r="D368" s="469">
        <v>19.32</v>
      </c>
      <c r="E368" s="536">
        <v>61856</v>
      </c>
      <c r="F368" s="631"/>
      <c r="G368" s="618"/>
      <c r="H368" s="605"/>
      <c r="I368" s="620"/>
      <c r="J368" s="607"/>
      <c r="K368" s="622"/>
      <c r="L368" s="609"/>
      <c r="M368" s="624"/>
      <c r="N368" s="611"/>
      <c r="O368" s="626"/>
      <c r="P368" s="613"/>
      <c r="Q368" s="628"/>
    </row>
    <row r="369" spans="1:17" x14ac:dyDescent="0.4">
      <c r="A369" s="601"/>
      <c r="B369" s="601" t="s">
        <v>361</v>
      </c>
      <c r="C369" s="602" t="s">
        <v>92</v>
      </c>
      <c r="D369" s="469">
        <v>4.8899999999999997</v>
      </c>
      <c r="E369" s="536">
        <v>65487</v>
      </c>
      <c r="F369" s="631"/>
      <c r="G369" s="618"/>
      <c r="H369" s="605"/>
      <c r="I369" s="620"/>
      <c r="J369" s="607"/>
      <c r="K369" s="622"/>
      <c r="L369" s="609"/>
      <c r="M369" s="624"/>
      <c r="N369" s="611"/>
      <c r="O369" s="626"/>
      <c r="P369" s="613"/>
      <c r="Q369" s="628"/>
    </row>
    <row r="370" spans="1:17" x14ac:dyDescent="0.4">
      <c r="A370" s="601"/>
      <c r="B370" s="601" t="s">
        <v>363</v>
      </c>
      <c r="C370" s="602" t="s">
        <v>94</v>
      </c>
      <c r="D370" s="469">
        <v>37.04</v>
      </c>
      <c r="E370" s="536">
        <v>91074</v>
      </c>
      <c r="F370" s="631"/>
      <c r="G370" s="618"/>
      <c r="H370" s="605"/>
      <c r="I370" s="620"/>
      <c r="J370" s="607"/>
      <c r="K370" s="622"/>
      <c r="L370" s="609"/>
      <c r="M370" s="624"/>
      <c r="N370" s="611"/>
      <c r="O370" s="626"/>
      <c r="P370" s="613"/>
      <c r="Q370" s="628"/>
    </row>
    <row r="371" spans="1:17" x14ac:dyDescent="0.4">
      <c r="A371" s="601"/>
      <c r="B371" s="601" t="s">
        <v>364</v>
      </c>
      <c r="C371" s="602" t="s">
        <v>95</v>
      </c>
      <c r="D371" s="469">
        <v>3.24</v>
      </c>
      <c r="E371" s="536">
        <v>54080</v>
      </c>
      <c r="F371" s="631"/>
      <c r="G371" s="618"/>
      <c r="H371" s="605"/>
      <c r="I371" s="620"/>
      <c r="J371" s="607"/>
      <c r="K371" s="622"/>
      <c r="L371" s="609"/>
      <c r="M371" s="624"/>
      <c r="N371" s="611"/>
      <c r="O371" s="626"/>
      <c r="P371" s="613"/>
      <c r="Q371" s="628"/>
    </row>
    <row r="372" spans="1:17" x14ac:dyDescent="0.4">
      <c r="A372" s="601"/>
      <c r="B372" s="601" t="s">
        <v>365</v>
      </c>
      <c r="C372" s="602" t="s">
        <v>96</v>
      </c>
      <c r="D372" s="469">
        <v>2.38</v>
      </c>
      <c r="E372" s="536">
        <v>85007</v>
      </c>
      <c r="F372" s="631"/>
      <c r="G372" s="618"/>
      <c r="H372" s="605"/>
      <c r="I372" s="620"/>
      <c r="J372" s="607"/>
      <c r="K372" s="622"/>
      <c r="L372" s="609"/>
      <c r="M372" s="624"/>
      <c r="N372" s="611"/>
      <c r="O372" s="626"/>
      <c r="P372" s="613"/>
      <c r="Q372" s="628"/>
    </row>
    <row r="373" spans="1:17" x14ac:dyDescent="0.4">
      <c r="A373" s="601"/>
      <c r="B373" s="601" t="s">
        <v>366</v>
      </c>
      <c r="C373" s="602" t="s">
        <v>88</v>
      </c>
      <c r="D373" s="469">
        <v>7.26</v>
      </c>
      <c r="E373" s="536">
        <v>98276</v>
      </c>
      <c r="F373" s="631"/>
      <c r="G373" s="618"/>
      <c r="H373" s="605"/>
      <c r="I373" s="620"/>
      <c r="J373" s="607"/>
      <c r="K373" s="622"/>
      <c r="L373" s="609"/>
      <c r="M373" s="624"/>
      <c r="N373" s="611"/>
      <c r="O373" s="626"/>
      <c r="P373" s="613"/>
      <c r="Q373" s="628"/>
    </row>
    <row r="374" spans="1:17" x14ac:dyDescent="0.4">
      <c r="A374" s="557"/>
      <c r="B374" s="557"/>
      <c r="C374" s="557"/>
      <c r="D374" s="615"/>
      <c r="E374" s="562"/>
      <c r="F374" s="617">
        <f>SUM(D352:D367)</f>
        <v>168.28</v>
      </c>
      <c r="G374" s="618">
        <f>(SUMPRODUCT(D352:D367,E352:E367))</f>
        <v>18840642.659999996</v>
      </c>
      <c r="H374" s="619">
        <f>SUM(D352:D355)</f>
        <v>20.11</v>
      </c>
      <c r="I374" s="620">
        <f>(SUMPRODUCT(D352:D355,E352:E355))</f>
        <v>2932070.88</v>
      </c>
      <c r="J374" s="621">
        <f>SUM(D356:D366)</f>
        <v>147.61999999999998</v>
      </c>
      <c r="K374" s="622">
        <f>(SUMPRODUCT(D356:D366,E356:E366))</f>
        <v>15842927.629999999</v>
      </c>
      <c r="L374" s="623">
        <f>SUM(D367:D367)</f>
        <v>0.55000000000000004</v>
      </c>
      <c r="M374" s="624">
        <f>(SUMPRODUCT(D367:D367,E367:E367))</f>
        <v>65644.150000000009</v>
      </c>
      <c r="N374" s="625">
        <f>+H374+J374+L374</f>
        <v>168.27999999999997</v>
      </c>
      <c r="O374" s="626">
        <f>+I374+K374+M374</f>
        <v>18840642.659999996</v>
      </c>
      <c r="P374" s="627">
        <f>SUM(D368:D373)</f>
        <v>74.13</v>
      </c>
      <c r="Q374" s="628">
        <f>(SUMPRODUCT(D368:D373,E368:E373))</f>
        <v>5979689.9299999997</v>
      </c>
    </row>
    <row r="375" spans="1:17" x14ac:dyDescent="0.4">
      <c r="A375" s="601" t="s">
        <v>442</v>
      </c>
      <c r="B375" s="601" t="s">
        <v>255</v>
      </c>
      <c r="C375" s="602"/>
      <c r="D375" s="469"/>
      <c r="E375" s="536"/>
      <c r="F375" s="603"/>
      <c r="G375" s="604"/>
      <c r="H375" s="605"/>
      <c r="I375" s="606"/>
      <c r="J375" s="607"/>
      <c r="K375" s="608"/>
      <c r="L375" s="609"/>
      <c r="M375" s="610"/>
      <c r="N375" s="611"/>
      <c r="O375" s="612"/>
      <c r="P375" s="613"/>
      <c r="Q375" s="614"/>
    </row>
    <row r="376" spans="1:17" x14ac:dyDescent="0.4">
      <c r="A376" s="601"/>
      <c r="B376" s="601" t="s">
        <v>332</v>
      </c>
      <c r="C376" s="602" t="s">
        <v>112</v>
      </c>
      <c r="D376" s="469">
        <v>0.3</v>
      </c>
      <c r="E376" s="536">
        <v>173313</v>
      </c>
      <c r="F376" s="603"/>
      <c r="G376" s="604"/>
      <c r="H376" s="605"/>
      <c r="I376" s="606"/>
      <c r="J376" s="607"/>
      <c r="K376" s="608"/>
      <c r="L376" s="609"/>
      <c r="M376" s="610"/>
      <c r="N376" s="611"/>
      <c r="O376" s="612"/>
      <c r="P376" s="613"/>
      <c r="Q376" s="614"/>
    </row>
    <row r="377" spans="1:17" x14ac:dyDescent="0.4">
      <c r="A377" s="601"/>
      <c r="B377" s="601" t="s">
        <v>333</v>
      </c>
      <c r="C377" s="602" t="s">
        <v>113</v>
      </c>
      <c r="D377" s="469">
        <v>5.12</v>
      </c>
      <c r="E377" s="536">
        <v>138830</v>
      </c>
      <c r="F377" s="603"/>
      <c r="G377" s="604"/>
      <c r="H377" s="605"/>
      <c r="I377" s="606"/>
      <c r="J377" s="607"/>
      <c r="K377" s="608"/>
      <c r="L377" s="609"/>
      <c r="M377" s="610"/>
      <c r="N377" s="611"/>
      <c r="O377" s="612"/>
      <c r="P377" s="613"/>
      <c r="Q377" s="614"/>
    </row>
    <row r="378" spans="1:17" x14ac:dyDescent="0.4">
      <c r="A378" s="601"/>
      <c r="B378" s="601" t="s">
        <v>338</v>
      </c>
      <c r="C378" s="602" t="s">
        <v>114</v>
      </c>
      <c r="D378" s="469">
        <v>0.99</v>
      </c>
      <c r="E378" s="536">
        <v>144860</v>
      </c>
      <c r="F378" s="631"/>
      <c r="G378" s="618"/>
      <c r="H378" s="605"/>
      <c r="I378" s="620"/>
      <c r="J378" s="607"/>
      <c r="K378" s="622"/>
      <c r="L378" s="609"/>
      <c r="M378" s="624"/>
      <c r="N378" s="611"/>
      <c r="O378" s="626"/>
      <c r="P378" s="613"/>
      <c r="Q378" s="628"/>
    </row>
    <row r="379" spans="1:17" x14ac:dyDescent="0.4">
      <c r="A379" s="601"/>
      <c r="B379" s="601" t="s">
        <v>339</v>
      </c>
      <c r="C379" s="602" t="s">
        <v>407</v>
      </c>
      <c r="D379" s="469">
        <v>2.85</v>
      </c>
      <c r="E379" s="536">
        <v>63712</v>
      </c>
      <c r="F379" s="603"/>
      <c r="G379" s="604"/>
      <c r="H379" s="605"/>
      <c r="I379" s="606"/>
      <c r="J379" s="607"/>
      <c r="K379" s="608"/>
      <c r="L379" s="609"/>
      <c r="M379" s="610"/>
      <c r="N379" s="611"/>
      <c r="O379" s="612"/>
      <c r="P379" s="613"/>
      <c r="Q379" s="614"/>
    </row>
    <row r="380" spans="1:17" x14ac:dyDescent="0.4">
      <c r="A380" s="601"/>
      <c r="B380" s="601" t="s">
        <v>340</v>
      </c>
      <c r="C380" s="602" t="s">
        <v>115</v>
      </c>
      <c r="D380" s="469">
        <v>1.5</v>
      </c>
      <c r="E380" s="536">
        <v>65977</v>
      </c>
      <c r="F380" s="603"/>
      <c r="G380" s="604"/>
      <c r="H380" s="605"/>
      <c r="I380" s="606"/>
      <c r="J380" s="607"/>
      <c r="K380" s="608"/>
      <c r="L380" s="609"/>
      <c r="M380" s="610"/>
      <c r="N380" s="611"/>
      <c r="O380" s="612"/>
      <c r="P380" s="613"/>
      <c r="Q380" s="614"/>
    </row>
    <row r="381" spans="1:17" x14ac:dyDescent="0.4">
      <c r="A381" s="601"/>
      <c r="B381" s="601" t="s">
        <v>341</v>
      </c>
      <c r="C381" s="602" t="s">
        <v>116</v>
      </c>
      <c r="D381" s="469">
        <v>0.2</v>
      </c>
      <c r="E381" s="536">
        <v>86175</v>
      </c>
      <c r="F381" s="603"/>
      <c r="G381" s="604"/>
      <c r="H381" s="605"/>
      <c r="I381" s="606"/>
      <c r="J381" s="607"/>
      <c r="K381" s="608"/>
      <c r="L381" s="609"/>
      <c r="M381" s="610"/>
      <c r="N381" s="611"/>
      <c r="O381" s="612"/>
      <c r="P381" s="613"/>
      <c r="Q381" s="614"/>
    </row>
    <row r="382" spans="1:17" x14ac:dyDescent="0.4">
      <c r="A382" s="601"/>
      <c r="B382" s="601" t="s">
        <v>342</v>
      </c>
      <c r="C382" s="602" t="s">
        <v>117</v>
      </c>
      <c r="D382" s="469">
        <v>4.78</v>
      </c>
      <c r="E382" s="536">
        <v>91881</v>
      </c>
      <c r="F382" s="603"/>
      <c r="G382" s="604"/>
      <c r="H382" s="605"/>
      <c r="I382" s="606"/>
      <c r="J382" s="607"/>
      <c r="K382" s="608"/>
      <c r="L382" s="609"/>
      <c r="M382" s="610"/>
      <c r="N382" s="611"/>
      <c r="O382" s="612"/>
      <c r="P382" s="613"/>
      <c r="Q382" s="614"/>
    </row>
    <row r="383" spans="1:17" x14ac:dyDescent="0.4">
      <c r="A383" s="601"/>
      <c r="B383" s="601" t="s">
        <v>344</v>
      </c>
      <c r="C383" s="602" t="s">
        <v>122</v>
      </c>
      <c r="D383" s="469">
        <v>19.149999999999999</v>
      </c>
      <c r="E383" s="536">
        <v>88749</v>
      </c>
      <c r="F383" s="603"/>
      <c r="G383" s="604"/>
      <c r="H383" s="605"/>
      <c r="I383" s="606"/>
      <c r="J383" s="607"/>
      <c r="K383" s="608"/>
      <c r="L383" s="609"/>
      <c r="M383" s="610"/>
      <c r="N383" s="611"/>
      <c r="O383" s="612"/>
      <c r="P383" s="613"/>
      <c r="Q383" s="614"/>
    </row>
    <row r="384" spans="1:17" x14ac:dyDescent="0.4">
      <c r="A384" s="601"/>
      <c r="B384" s="601" t="s">
        <v>346</v>
      </c>
      <c r="C384" s="602" t="s">
        <v>124</v>
      </c>
      <c r="D384" s="469">
        <v>4</v>
      </c>
      <c r="E384" s="536">
        <v>97554</v>
      </c>
      <c r="F384" s="603"/>
      <c r="G384" s="604"/>
      <c r="H384" s="605"/>
      <c r="I384" s="606"/>
      <c r="J384" s="607"/>
      <c r="K384" s="608"/>
      <c r="L384" s="609"/>
      <c r="M384" s="610"/>
      <c r="N384" s="611"/>
      <c r="O384" s="612"/>
      <c r="P384" s="613"/>
      <c r="Q384" s="614"/>
    </row>
    <row r="385" spans="1:17" x14ac:dyDescent="0.4">
      <c r="A385" s="601"/>
      <c r="B385" s="601" t="s">
        <v>349</v>
      </c>
      <c r="C385" s="602" t="s">
        <v>126</v>
      </c>
      <c r="D385" s="469">
        <v>4.1500000000000004</v>
      </c>
      <c r="E385" s="536">
        <v>74080</v>
      </c>
      <c r="F385" s="603"/>
      <c r="G385" s="604"/>
      <c r="H385" s="605"/>
      <c r="I385" s="606"/>
      <c r="J385" s="607"/>
      <c r="K385" s="608"/>
      <c r="L385" s="609"/>
      <c r="M385" s="610"/>
      <c r="N385" s="611"/>
      <c r="O385" s="612"/>
      <c r="P385" s="613"/>
      <c r="Q385" s="614"/>
    </row>
    <row r="386" spans="1:17" x14ac:dyDescent="0.4">
      <c r="A386" s="601"/>
      <c r="B386" s="601" t="s">
        <v>354</v>
      </c>
      <c r="C386" s="602" t="s">
        <v>236</v>
      </c>
      <c r="D386" s="469">
        <v>0.01</v>
      </c>
      <c r="E386" s="536">
        <v>96273</v>
      </c>
      <c r="F386" s="603"/>
      <c r="G386" s="604"/>
      <c r="H386" s="605"/>
      <c r="I386" s="606"/>
      <c r="J386" s="607"/>
      <c r="K386" s="608"/>
      <c r="L386" s="609"/>
      <c r="M386" s="610"/>
      <c r="N386" s="611"/>
      <c r="O386" s="612"/>
      <c r="P386" s="613"/>
      <c r="Q386" s="614"/>
    </row>
    <row r="387" spans="1:17" x14ac:dyDescent="0.4">
      <c r="A387" s="601"/>
      <c r="B387" s="601" t="s">
        <v>358</v>
      </c>
      <c r="C387" s="602" t="s">
        <v>89</v>
      </c>
      <c r="D387" s="469">
        <v>80.91</v>
      </c>
      <c r="E387" s="536">
        <v>54757</v>
      </c>
      <c r="F387" s="603"/>
      <c r="G387" s="604"/>
      <c r="H387" s="605"/>
      <c r="I387" s="606"/>
      <c r="J387" s="607"/>
      <c r="K387" s="608"/>
      <c r="L387" s="609"/>
      <c r="M387" s="610"/>
      <c r="N387" s="611"/>
      <c r="O387" s="612"/>
      <c r="P387" s="613"/>
      <c r="Q387" s="614"/>
    </row>
    <row r="388" spans="1:17" x14ac:dyDescent="0.4">
      <c r="A388" s="601"/>
      <c r="B388" s="601" t="s">
        <v>361</v>
      </c>
      <c r="C388" s="602" t="s">
        <v>92</v>
      </c>
      <c r="D388" s="469">
        <v>40.81</v>
      </c>
      <c r="E388" s="536">
        <v>62883</v>
      </c>
      <c r="F388" s="603"/>
      <c r="G388" s="604"/>
      <c r="H388" s="605"/>
      <c r="I388" s="606"/>
      <c r="J388" s="607"/>
      <c r="K388" s="608"/>
      <c r="L388" s="609"/>
      <c r="M388" s="610"/>
      <c r="N388" s="611"/>
      <c r="O388" s="612"/>
      <c r="P388" s="613"/>
      <c r="Q388" s="614"/>
    </row>
    <row r="389" spans="1:17" x14ac:dyDescent="0.4">
      <c r="A389" s="601"/>
      <c r="B389" s="601" t="s">
        <v>363</v>
      </c>
      <c r="C389" s="602" t="s">
        <v>94</v>
      </c>
      <c r="D389" s="469">
        <v>28.52</v>
      </c>
      <c r="E389" s="536">
        <v>61976</v>
      </c>
      <c r="F389" s="603"/>
      <c r="G389" s="604"/>
      <c r="H389" s="605"/>
      <c r="I389" s="606"/>
      <c r="J389" s="607"/>
      <c r="K389" s="608"/>
      <c r="L389" s="609"/>
      <c r="M389" s="610"/>
      <c r="N389" s="611"/>
      <c r="O389" s="612"/>
      <c r="P389" s="613"/>
      <c r="Q389" s="614"/>
    </row>
    <row r="390" spans="1:17" x14ac:dyDescent="0.4">
      <c r="A390" s="601"/>
      <c r="B390" s="601" t="s">
        <v>366</v>
      </c>
      <c r="C390" s="602" t="s">
        <v>88</v>
      </c>
      <c r="D390" s="469">
        <v>3.55</v>
      </c>
      <c r="E390" s="536">
        <v>95603</v>
      </c>
      <c r="F390" s="603"/>
      <c r="G390" s="604"/>
      <c r="H390" s="605"/>
      <c r="I390" s="606"/>
      <c r="J390" s="607"/>
      <c r="K390" s="608"/>
      <c r="L390" s="609"/>
      <c r="M390" s="610"/>
      <c r="N390" s="611"/>
      <c r="O390" s="612"/>
      <c r="P390" s="613"/>
      <c r="Q390" s="614"/>
    </row>
    <row r="391" spans="1:17" x14ac:dyDescent="0.4">
      <c r="A391" s="557"/>
      <c r="B391" s="557"/>
      <c r="C391" s="557"/>
      <c r="D391" s="615"/>
      <c r="E391" s="562"/>
      <c r="F391" s="617">
        <f>SUM(D376:D386)</f>
        <v>43.05</v>
      </c>
      <c r="G391" s="618">
        <f>(SUMPRODUCT(D376:D386,E376:E386))</f>
        <v>4041339.86</v>
      </c>
      <c r="H391" s="619">
        <f>SUM(D376:D378)</f>
        <v>6.41</v>
      </c>
      <c r="I391" s="620">
        <f>(SUMPRODUCT(D376:D378,E376:E378))</f>
        <v>906214.9</v>
      </c>
      <c r="J391" s="621">
        <f>SUM(D379:D385)</f>
        <v>36.629999999999995</v>
      </c>
      <c r="K391" s="622">
        <f>(SUMPRODUCT(D379:D385,E379:E385))</f>
        <v>3134162.23</v>
      </c>
      <c r="L391" s="623">
        <f>SUM(D386:D386)</f>
        <v>0.01</v>
      </c>
      <c r="M391" s="624">
        <f>(SUMPRODUCT(D386:D386,E386:E386))</f>
        <v>962.73</v>
      </c>
      <c r="N391" s="625">
        <f>+H391+J391+L391</f>
        <v>43.04999999999999</v>
      </c>
      <c r="O391" s="626">
        <f>+I391+K391+M391</f>
        <v>4041339.86</v>
      </c>
      <c r="P391" s="627">
        <f>SUM(D387:D390)</f>
        <v>153.79000000000002</v>
      </c>
      <c r="Q391" s="628">
        <f>(SUMPRODUCT(D387:D390,E387:E390))</f>
        <v>9103590.2699999996</v>
      </c>
    </row>
    <row r="392" spans="1:17" x14ac:dyDescent="0.4">
      <c r="A392" s="601" t="s">
        <v>443</v>
      </c>
      <c r="B392" s="601" t="s">
        <v>256</v>
      </c>
      <c r="C392" s="602"/>
      <c r="D392" s="469"/>
      <c r="E392" s="536"/>
      <c r="F392" s="631"/>
      <c r="G392" s="618"/>
      <c r="H392" s="605"/>
      <c r="I392" s="620"/>
      <c r="J392" s="607"/>
      <c r="K392" s="622"/>
      <c r="L392" s="609"/>
      <c r="M392" s="624"/>
      <c r="N392" s="611"/>
      <c r="O392" s="626"/>
      <c r="P392" s="613"/>
      <c r="Q392" s="628"/>
    </row>
    <row r="393" spans="1:17" x14ac:dyDescent="0.4">
      <c r="A393" s="601"/>
      <c r="B393" s="601" t="s">
        <v>332</v>
      </c>
      <c r="C393" s="602" t="s">
        <v>112</v>
      </c>
      <c r="D393" s="469">
        <v>1.76</v>
      </c>
      <c r="E393" s="536">
        <v>196138</v>
      </c>
      <c r="F393" s="603"/>
      <c r="G393" s="604"/>
      <c r="H393" s="605"/>
      <c r="I393" s="606"/>
      <c r="J393" s="607"/>
      <c r="K393" s="608"/>
      <c r="L393" s="609"/>
      <c r="M393" s="610"/>
      <c r="N393" s="611"/>
      <c r="O393" s="612"/>
      <c r="P393" s="613"/>
      <c r="Q393" s="614"/>
    </row>
    <row r="394" spans="1:17" x14ac:dyDescent="0.4">
      <c r="A394" s="601"/>
      <c r="B394" s="601" t="s">
        <v>333</v>
      </c>
      <c r="C394" s="602" t="s">
        <v>113</v>
      </c>
      <c r="D394" s="469">
        <v>47.24</v>
      </c>
      <c r="E394" s="536">
        <v>162548</v>
      </c>
      <c r="F394" s="603"/>
      <c r="G394" s="604"/>
      <c r="H394" s="605"/>
      <c r="I394" s="606"/>
      <c r="J394" s="607"/>
      <c r="K394" s="608"/>
      <c r="L394" s="609"/>
      <c r="M394" s="610"/>
      <c r="N394" s="611"/>
      <c r="O394" s="612"/>
      <c r="P394" s="613"/>
      <c r="Q394" s="614"/>
    </row>
    <row r="395" spans="1:17" x14ac:dyDescent="0.4">
      <c r="A395" s="601"/>
      <c r="B395" s="601" t="s">
        <v>334</v>
      </c>
      <c r="C395" s="602" t="s">
        <v>120</v>
      </c>
      <c r="D395" s="469">
        <v>0.1</v>
      </c>
      <c r="E395" s="536">
        <v>123000</v>
      </c>
      <c r="F395" s="603"/>
      <c r="G395" s="604"/>
      <c r="H395" s="605"/>
      <c r="I395" s="606"/>
      <c r="J395" s="607"/>
      <c r="K395" s="608"/>
      <c r="L395" s="609"/>
      <c r="M395" s="610"/>
      <c r="N395" s="611"/>
      <c r="O395" s="612"/>
      <c r="P395" s="613"/>
      <c r="Q395" s="614"/>
    </row>
    <row r="396" spans="1:17" x14ac:dyDescent="0.4">
      <c r="A396" s="601"/>
      <c r="B396" s="601" t="s">
        <v>335</v>
      </c>
      <c r="C396" s="602" t="s">
        <v>130</v>
      </c>
      <c r="D396" s="469">
        <v>2.37</v>
      </c>
      <c r="E396" s="536">
        <v>135634</v>
      </c>
      <c r="F396" s="603"/>
      <c r="G396" s="604"/>
      <c r="H396" s="605"/>
      <c r="I396" s="606"/>
      <c r="J396" s="607"/>
      <c r="K396" s="608"/>
      <c r="L396" s="609"/>
      <c r="M396" s="610"/>
      <c r="N396" s="611"/>
      <c r="O396" s="612"/>
      <c r="P396" s="613"/>
      <c r="Q396" s="614"/>
    </row>
    <row r="397" spans="1:17" x14ac:dyDescent="0.4">
      <c r="A397" s="601"/>
      <c r="B397" s="601" t="s">
        <v>336</v>
      </c>
      <c r="C397" s="602" t="s">
        <v>121</v>
      </c>
      <c r="D397" s="469">
        <v>0.59</v>
      </c>
      <c r="E397" s="536">
        <v>136627</v>
      </c>
      <c r="F397" s="603"/>
      <c r="G397" s="604"/>
      <c r="H397" s="605"/>
      <c r="I397" s="606"/>
      <c r="J397" s="607"/>
      <c r="K397" s="608"/>
      <c r="L397" s="609"/>
      <c r="M397" s="610"/>
      <c r="N397" s="611"/>
      <c r="O397" s="612"/>
      <c r="P397" s="613"/>
      <c r="Q397" s="614"/>
    </row>
    <row r="398" spans="1:17" x14ac:dyDescent="0.4">
      <c r="A398" s="601"/>
      <c r="B398" s="601" t="s">
        <v>337</v>
      </c>
      <c r="C398" s="602" t="s">
        <v>129</v>
      </c>
      <c r="D398" s="469">
        <v>0.7</v>
      </c>
      <c r="E398" s="536">
        <v>124349</v>
      </c>
      <c r="F398" s="603"/>
      <c r="G398" s="604"/>
      <c r="H398" s="605"/>
      <c r="I398" s="606"/>
      <c r="J398" s="607"/>
      <c r="K398" s="608"/>
      <c r="L398" s="609"/>
      <c r="M398" s="610"/>
      <c r="N398" s="611"/>
      <c r="O398" s="612"/>
      <c r="P398" s="613"/>
      <c r="Q398" s="614"/>
    </row>
    <row r="399" spans="1:17" x14ac:dyDescent="0.4">
      <c r="A399" s="601"/>
      <c r="B399" s="601" t="s">
        <v>338</v>
      </c>
      <c r="C399" s="602" t="s">
        <v>114</v>
      </c>
      <c r="D399" s="469">
        <v>22.16</v>
      </c>
      <c r="E399" s="536">
        <v>130651</v>
      </c>
      <c r="F399" s="603"/>
      <c r="G399" s="604"/>
      <c r="H399" s="605"/>
      <c r="I399" s="606"/>
      <c r="J399" s="607"/>
      <c r="K399" s="608"/>
      <c r="L399" s="609"/>
      <c r="M399" s="610"/>
      <c r="N399" s="611"/>
      <c r="O399" s="612"/>
      <c r="P399" s="613"/>
      <c r="Q399" s="614"/>
    </row>
    <row r="400" spans="1:17" x14ac:dyDescent="0.4">
      <c r="A400" s="601"/>
      <c r="B400" s="601" t="s">
        <v>339</v>
      </c>
      <c r="C400" s="602" t="s">
        <v>407</v>
      </c>
      <c r="D400" s="469">
        <v>281.24</v>
      </c>
      <c r="E400" s="536">
        <v>100560</v>
      </c>
      <c r="F400" s="603"/>
      <c r="G400" s="604"/>
      <c r="H400" s="605"/>
      <c r="I400" s="606"/>
      <c r="J400" s="607"/>
      <c r="K400" s="608"/>
      <c r="L400" s="609"/>
      <c r="M400" s="610"/>
      <c r="N400" s="611"/>
      <c r="O400" s="612"/>
      <c r="P400" s="613"/>
      <c r="Q400" s="614"/>
    </row>
    <row r="401" spans="1:17" x14ac:dyDescent="0.4">
      <c r="A401" s="601"/>
      <c r="B401" s="601" t="s">
        <v>340</v>
      </c>
      <c r="C401" s="602" t="s">
        <v>115</v>
      </c>
      <c r="D401" s="469">
        <v>317.32</v>
      </c>
      <c r="E401" s="536">
        <v>94204</v>
      </c>
      <c r="F401" s="603"/>
      <c r="G401" s="604"/>
      <c r="H401" s="605"/>
      <c r="I401" s="606"/>
      <c r="J401" s="607"/>
      <c r="K401" s="608"/>
      <c r="L401" s="609"/>
      <c r="M401" s="610"/>
      <c r="N401" s="611"/>
      <c r="O401" s="612"/>
      <c r="P401" s="613"/>
      <c r="Q401" s="614"/>
    </row>
    <row r="402" spans="1:17" x14ac:dyDescent="0.4">
      <c r="A402" s="601"/>
      <c r="B402" s="601" t="s">
        <v>341</v>
      </c>
      <c r="C402" s="602" t="s">
        <v>116</v>
      </c>
      <c r="D402" s="469">
        <v>658.22</v>
      </c>
      <c r="E402" s="536">
        <v>104791</v>
      </c>
      <c r="F402" s="603"/>
      <c r="G402" s="604"/>
      <c r="H402" s="605"/>
      <c r="I402" s="606"/>
      <c r="J402" s="607"/>
      <c r="K402" s="608"/>
      <c r="L402" s="609"/>
      <c r="M402" s="610"/>
      <c r="N402" s="611"/>
      <c r="O402" s="612"/>
      <c r="P402" s="613"/>
      <c r="Q402" s="614"/>
    </row>
    <row r="403" spans="1:17" x14ac:dyDescent="0.4">
      <c r="A403" s="601"/>
      <c r="B403" s="601" t="s">
        <v>408</v>
      </c>
      <c r="C403" s="602" t="s">
        <v>409</v>
      </c>
      <c r="D403" s="469">
        <v>239.23</v>
      </c>
      <c r="E403" s="536">
        <v>106536</v>
      </c>
      <c r="F403" s="603"/>
      <c r="G403" s="604"/>
      <c r="H403" s="605"/>
      <c r="I403" s="606"/>
      <c r="J403" s="607"/>
      <c r="K403" s="608"/>
      <c r="L403" s="609"/>
      <c r="M403" s="610"/>
      <c r="N403" s="611"/>
      <c r="O403" s="612"/>
      <c r="P403" s="613"/>
      <c r="Q403" s="614"/>
    </row>
    <row r="404" spans="1:17" x14ac:dyDescent="0.4">
      <c r="A404" s="601"/>
      <c r="B404" s="601" t="s">
        <v>342</v>
      </c>
      <c r="C404" s="602" t="s">
        <v>117</v>
      </c>
      <c r="D404" s="469">
        <v>365.56</v>
      </c>
      <c r="E404" s="536">
        <v>107332</v>
      </c>
      <c r="F404" s="603"/>
      <c r="G404" s="604"/>
      <c r="H404" s="605"/>
      <c r="I404" s="606"/>
      <c r="J404" s="607"/>
      <c r="K404" s="608"/>
      <c r="L404" s="609"/>
      <c r="M404" s="610"/>
      <c r="N404" s="611"/>
      <c r="O404" s="612"/>
      <c r="P404" s="613"/>
      <c r="Q404" s="614"/>
    </row>
    <row r="405" spans="1:17" x14ac:dyDescent="0.4">
      <c r="A405" s="601"/>
      <c r="B405" s="601" t="s">
        <v>344</v>
      </c>
      <c r="C405" s="602" t="s">
        <v>122</v>
      </c>
      <c r="D405" s="469">
        <v>102.18</v>
      </c>
      <c r="E405" s="536">
        <v>91415</v>
      </c>
      <c r="F405" s="603"/>
      <c r="G405" s="604"/>
      <c r="H405" s="605"/>
      <c r="I405" s="606"/>
      <c r="J405" s="607"/>
      <c r="K405" s="608"/>
      <c r="L405" s="609"/>
      <c r="M405" s="610"/>
      <c r="N405" s="611"/>
      <c r="O405" s="612"/>
      <c r="P405" s="613"/>
      <c r="Q405" s="614"/>
    </row>
    <row r="406" spans="1:17" x14ac:dyDescent="0.4">
      <c r="A406" s="601"/>
      <c r="B406" s="601" t="s">
        <v>345</v>
      </c>
      <c r="C406" s="602" t="s">
        <v>123</v>
      </c>
      <c r="D406" s="469">
        <v>0.8</v>
      </c>
      <c r="E406" s="536">
        <v>109982</v>
      </c>
      <c r="F406" s="603"/>
      <c r="G406" s="604"/>
      <c r="H406" s="605"/>
      <c r="I406" s="606"/>
      <c r="J406" s="607"/>
      <c r="K406" s="608"/>
      <c r="L406" s="609"/>
      <c r="M406" s="610"/>
      <c r="N406" s="611"/>
      <c r="O406" s="612"/>
      <c r="P406" s="613"/>
      <c r="Q406" s="614"/>
    </row>
    <row r="407" spans="1:17" x14ac:dyDescent="0.4">
      <c r="A407" s="601"/>
      <c r="B407" s="601" t="s">
        <v>346</v>
      </c>
      <c r="C407" s="602" t="s">
        <v>124</v>
      </c>
      <c r="D407" s="469">
        <v>27.53</v>
      </c>
      <c r="E407" s="536">
        <v>87180</v>
      </c>
      <c r="F407" s="603"/>
      <c r="G407" s="604"/>
      <c r="H407" s="605"/>
      <c r="I407" s="606"/>
      <c r="J407" s="607"/>
      <c r="K407" s="608"/>
      <c r="L407" s="609"/>
      <c r="M407" s="610"/>
      <c r="N407" s="611"/>
      <c r="O407" s="612"/>
      <c r="P407" s="613"/>
      <c r="Q407" s="614"/>
    </row>
    <row r="408" spans="1:17" x14ac:dyDescent="0.4">
      <c r="A408" s="601"/>
      <c r="B408" s="601" t="s">
        <v>348</v>
      </c>
      <c r="C408" s="602" t="s">
        <v>125</v>
      </c>
      <c r="D408" s="469">
        <v>0.4</v>
      </c>
      <c r="E408" s="536">
        <v>122747</v>
      </c>
      <c r="F408" s="603"/>
      <c r="G408" s="604"/>
      <c r="H408" s="605"/>
      <c r="I408" s="606"/>
      <c r="J408" s="607"/>
      <c r="K408" s="608"/>
      <c r="L408" s="609"/>
      <c r="M408" s="610"/>
      <c r="N408" s="611"/>
      <c r="O408" s="612"/>
      <c r="P408" s="613"/>
      <c r="Q408" s="614"/>
    </row>
    <row r="409" spans="1:17" x14ac:dyDescent="0.4">
      <c r="A409" s="601"/>
      <c r="B409" s="601" t="s">
        <v>349</v>
      </c>
      <c r="C409" s="602" t="s">
        <v>126</v>
      </c>
      <c r="D409" s="469">
        <v>0.03</v>
      </c>
      <c r="E409" s="536">
        <v>76296</v>
      </c>
      <c r="F409" s="603"/>
      <c r="G409" s="604"/>
      <c r="H409" s="605"/>
      <c r="I409" s="606"/>
      <c r="J409" s="607"/>
      <c r="K409" s="608"/>
      <c r="L409" s="609"/>
      <c r="M409" s="610"/>
      <c r="N409" s="611"/>
      <c r="O409" s="612"/>
      <c r="P409" s="613"/>
      <c r="Q409" s="614"/>
    </row>
    <row r="410" spans="1:17" x14ac:dyDescent="0.4">
      <c r="A410" s="601"/>
      <c r="B410" s="601" t="s">
        <v>351</v>
      </c>
      <c r="C410" s="602" t="s">
        <v>427</v>
      </c>
      <c r="D410" s="469">
        <v>24.13</v>
      </c>
      <c r="E410" s="536">
        <v>102288</v>
      </c>
      <c r="F410" s="603"/>
      <c r="G410" s="604"/>
      <c r="H410" s="605"/>
      <c r="I410" s="606"/>
      <c r="J410" s="607"/>
      <c r="K410" s="608"/>
      <c r="L410" s="609"/>
      <c r="M410" s="610"/>
      <c r="N410" s="611"/>
      <c r="O410" s="612"/>
      <c r="P410" s="613"/>
      <c r="Q410" s="614"/>
    </row>
    <row r="411" spans="1:17" x14ac:dyDescent="0.4">
      <c r="A411" s="601"/>
      <c r="B411" s="601" t="s">
        <v>353</v>
      </c>
      <c r="C411" s="602" t="s">
        <v>119</v>
      </c>
      <c r="D411" s="469">
        <v>0.48</v>
      </c>
      <c r="E411" s="536">
        <v>60586</v>
      </c>
      <c r="F411" s="603"/>
      <c r="G411" s="604"/>
      <c r="H411" s="605"/>
      <c r="I411" s="606"/>
      <c r="J411" s="607"/>
      <c r="K411" s="608"/>
      <c r="L411" s="609"/>
      <c r="M411" s="610"/>
      <c r="N411" s="611"/>
      <c r="O411" s="612"/>
      <c r="P411" s="613"/>
      <c r="Q411" s="614"/>
    </row>
    <row r="412" spans="1:17" x14ac:dyDescent="0.4">
      <c r="A412" s="601"/>
      <c r="B412" s="601" t="s">
        <v>355</v>
      </c>
      <c r="C412" s="602" t="s">
        <v>169</v>
      </c>
      <c r="D412" s="469">
        <v>4</v>
      </c>
      <c r="E412" s="536">
        <v>73294</v>
      </c>
      <c r="F412" s="603"/>
      <c r="G412" s="604"/>
      <c r="H412" s="605"/>
      <c r="I412" s="606"/>
      <c r="J412" s="607"/>
      <c r="K412" s="608"/>
      <c r="L412" s="609"/>
      <c r="M412" s="610"/>
      <c r="N412" s="611"/>
      <c r="O412" s="612"/>
      <c r="P412" s="613"/>
      <c r="Q412" s="614"/>
    </row>
    <row r="413" spans="1:17" x14ac:dyDescent="0.4">
      <c r="A413" s="601"/>
      <c r="B413" s="601" t="s">
        <v>358</v>
      </c>
      <c r="C413" s="602" t="s">
        <v>89</v>
      </c>
      <c r="D413" s="469">
        <v>1309.3</v>
      </c>
      <c r="E413" s="536">
        <v>53694</v>
      </c>
      <c r="F413" s="603"/>
      <c r="G413" s="604"/>
      <c r="H413" s="605"/>
      <c r="I413" s="606"/>
      <c r="J413" s="607"/>
      <c r="K413" s="608"/>
      <c r="L413" s="609"/>
      <c r="M413" s="610"/>
      <c r="N413" s="611"/>
      <c r="O413" s="612"/>
      <c r="P413" s="613"/>
      <c r="Q413" s="614"/>
    </row>
    <row r="414" spans="1:17" x14ac:dyDescent="0.4">
      <c r="A414" s="601"/>
      <c r="B414" s="601" t="s">
        <v>361</v>
      </c>
      <c r="C414" s="602" t="s">
        <v>92</v>
      </c>
      <c r="D414" s="469">
        <v>45.93</v>
      </c>
      <c r="E414" s="536">
        <v>67130</v>
      </c>
      <c r="F414" s="603"/>
      <c r="G414" s="604"/>
      <c r="H414" s="605"/>
      <c r="I414" s="606"/>
      <c r="J414" s="607"/>
      <c r="K414" s="608"/>
      <c r="L414" s="609"/>
      <c r="M414" s="610"/>
      <c r="N414" s="611"/>
      <c r="O414" s="612"/>
      <c r="P414" s="613"/>
      <c r="Q414" s="614"/>
    </row>
    <row r="415" spans="1:17" x14ac:dyDescent="0.4">
      <c r="A415" s="601"/>
      <c r="B415" s="601" t="s">
        <v>363</v>
      </c>
      <c r="C415" s="602" t="s">
        <v>94</v>
      </c>
      <c r="D415" s="469">
        <v>104.27</v>
      </c>
      <c r="E415" s="536">
        <v>72372</v>
      </c>
      <c r="F415" s="603"/>
      <c r="G415" s="604"/>
      <c r="H415" s="605"/>
      <c r="I415" s="606"/>
      <c r="J415" s="607"/>
      <c r="K415" s="608"/>
      <c r="L415" s="609"/>
      <c r="M415" s="610"/>
      <c r="N415" s="611"/>
      <c r="O415" s="612"/>
      <c r="P415" s="613"/>
      <c r="Q415" s="614"/>
    </row>
    <row r="416" spans="1:17" x14ac:dyDescent="0.4">
      <c r="A416" s="601"/>
      <c r="B416" s="601" t="s">
        <v>364</v>
      </c>
      <c r="C416" s="602" t="s">
        <v>95</v>
      </c>
      <c r="D416" s="469">
        <v>0.64</v>
      </c>
      <c r="E416" s="536">
        <v>52139</v>
      </c>
      <c r="F416" s="603"/>
      <c r="G416" s="604"/>
      <c r="H416" s="605"/>
      <c r="I416" s="606"/>
      <c r="J416" s="607"/>
      <c r="K416" s="608"/>
      <c r="L416" s="609"/>
      <c r="M416" s="610"/>
      <c r="N416" s="611"/>
      <c r="O416" s="612"/>
      <c r="P416" s="613"/>
      <c r="Q416" s="614"/>
    </row>
    <row r="417" spans="1:17" x14ac:dyDescent="0.4">
      <c r="A417" s="601"/>
      <c r="B417" s="601" t="s">
        <v>365</v>
      </c>
      <c r="C417" s="602" t="s">
        <v>96</v>
      </c>
      <c r="D417" s="469">
        <v>10.050000000000001</v>
      </c>
      <c r="E417" s="536">
        <v>97896</v>
      </c>
      <c r="F417" s="603"/>
      <c r="G417" s="604"/>
      <c r="H417" s="605"/>
      <c r="I417" s="606"/>
      <c r="J417" s="607"/>
      <c r="K417" s="608"/>
      <c r="L417" s="609"/>
      <c r="M417" s="610"/>
      <c r="N417" s="611"/>
      <c r="O417" s="612"/>
      <c r="P417" s="613"/>
      <c r="Q417" s="614"/>
    </row>
    <row r="418" spans="1:17" x14ac:dyDescent="0.4">
      <c r="A418" s="601"/>
      <c r="B418" s="601" t="s">
        <v>366</v>
      </c>
      <c r="C418" s="602" t="s">
        <v>88</v>
      </c>
      <c r="D418" s="469">
        <v>7.63</v>
      </c>
      <c r="E418" s="536">
        <v>139278</v>
      </c>
      <c r="F418" s="603"/>
      <c r="G418" s="604"/>
      <c r="H418" s="605"/>
      <c r="I418" s="606"/>
      <c r="J418" s="607"/>
      <c r="K418" s="608"/>
      <c r="L418" s="609"/>
      <c r="M418" s="610"/>
      <c r="N418" s="611"/>
      <c r="O418" s="612"/>
      <c r="P418" s="613"/>
      <c r="Q418" s="614"/>
    </row>
    <row r="419" spans="1:17" x14ac:dyDescent="0.4">
      <c r="A419" s="557"/>
      <c r="B419" s="557"/>
      <c r="C419" s="557"/>
      <c r="D419" s="615"/>
      <c r="E419" s="562"/>
      <c r="F419" s="617">
        <f>SUM(D393:D412)</f>
        <v>2096.0400000000004</v>
      </c>
      <c r="G419" s="618">
        <f>(SUMPRODUCT(D393:D412,E393:E412))</f>
        <v>217964026.36999997</v>
      </c>
      <c r="H419" s="619">
        <f>SUM(D393:D399)</f>
        <v>74.92</v>
      </c>
      <c r="I419" s="620">
        <f>(SUMPRODUCT(D393:D399,E393:E399))</f>
        <v>11420603.370000001</v>
      </c>
      <c r="J419" s="621">
        <f>SUM(D400:D410,D412:D412)</f>
        <v>2020.64</v>
      </c>
      <c r="K419" s="622">
        <f>(SUMPRODUCT(D400:D410,E400:E410))+(SUMPRODUCT(D412:D412,E412:E412))</f>
        <v>206514341.71999997</v>
      </c>
      <c r="L419" s="623">
        <f>SUM(D411:D411)</f>
        <v>0.48</v>
      </c>
      <c r="M419" s="624">
        <f>(SUMPRODUCT(D411:D411,E411:E411))</f>
        <v>29081.279999999999</v>
      </c>
      <c r="N419" s="625">
        <f>+H419+J419+L419</f>
        <v>2096.04</v>
      </c>
      <c r="O419" s="626">
        <f>+I419+K419+M419</f>
        <v>217964026.36999997</v>
      </c>
      <c r="P419" s="627">
        <f>SUM(D413:D418)</f>
        <v>1477.8200000000002</v>
      </c>
      <c r="Q419" s="628">
        <f>(SUMPRODUCT(D413:D418,E413:E418))</f>
        <v>83010978.439999998</v>
      </c>
    </row>
    <row r="420" spans="1:17" x14ac:dyDescent="0.4">
      <c r="A420" s="601" t="s">
        <v>444</v>
      </c>
      <c r="B420" s="601" t="s">
        <v>257</v>
      </c>
      <c r="C420" s="602"/>
      <c r="D420" s="469"/>
      <c r="E420" s="536"/>
      <c r="F420" s="631"/>
      <c r="G420" s="618"/>
      <c r="H420" s="605"/>
      <c r="I420" s="620"/>
      <c r="J420" s="607"/>
      <c r="K420" s="622"/>
      <c r="L420" s="609"/>
      <c r="M420" s="624"/>
      <c r="N420" s="611"/>
      <c r="O420" s="626"/>
      <c r="P420" s="613"/>
      <c r="Q420" s="628"/>
    </row>
    <row r="421" spans="1:17" x14ac:dyDescent="0.4">
      <c r="A421" s="601"/>
      <c r="B421" s="601" t="s">
        <v>333</v>
      </c>
      <c r="C421" s="602" t="s">
        <v>113</v>
      </c>
      <c r="D421" s="469">
        <v>0.2</v>
      </c>
      <c r="E421" s="536">
        <v>177415</v>
      </c>
      <c r="F421" s="603"/>
      <c r="G421" s="604"/>
      <c r="H421" s="605"/>
      <c r="I421" s="606"/>
      <c r="J421" s="607"/>
      <c r="K421" s="608"/>
      <c r="L421" s="609"/>
      <c r="M421" s="610"/>
      <c r="N421" s="611"/>
      <c r="O421" s="612"/>
      <c r="P421" s="613"/>
      <c r="Q421" s="614"/>
    </row>
    <row r="422" spans="1:17" x14ac:dyDescent="0.4">
      <c r="A422" s="601"/>
      <c r="B422" s="601" t="s">
        <v>336</v>
      </c>
      <c r="C422" s="602" t="s">
        <v>121</v>
      </c>
      <c r="D422" s="469">
        <v>2.71</v>
      </c>
      <c r="E422" s="536">
        <v>176711</v>
      </c>
      <c r="F422" s="603"/>
      <c r="G422" s="604"/>
      <c r="H422" s="605"/>
      <c r="I422" s="606"/>
      <c r="J422" s="607"/>
      <c r="K422" s="608"/>
      <c r="L422" s="609"/>
      <c r="M422" s="610"/>
      <c r="N422" s="611"/>
      <c r="O422" s="612"/>
      <c r="P422" s="613"/>
      <c r="Q422" s="614"/>
    </row>
    <row r="423" spans="1:17" x14ac:dyDescent="0.4">
      <c r="A423" s="601"/>
      <c r="B423" s="601" t="s">
        <v>338</v>
      </c>
      <c r="C423" s="602" t="s">
        <v>114</v>
      </c>
      <c r="D423" s="469">
        <v>0.17</v>
      </c>
      <c r="E423" s="536">
        <v>152787</v>
      </c>
      <c r="F423" s="603"/>
      <c r="G423" s="604"/>
      <c r="H423" s="605"/>
      <c r="I423" s="606"/>
      <c r="J423" s="607"/>
      <c r="K423" s="608"/>
      <c r="L423" s="609"/>
      <c r="M423" s="610"/>
      <c r="N423" s="611"/>
      <c r="O423" s="612"/>
      <c r="P423" s="613"/>
      <c r="Q423" s="614"/>
    </row>
    <row r="424" spans="1:17" x14ac:dyDescent="0.4">
      <c r="A424" s="601"/>
      <c r="B424" s="601" t="s">
        <v>339</v>
      </c>
      <c r="C424" s="602" t="s">
        <v>407</v>
      </c>
      <c r="D424" s="469">
        <v>0.03</v>
      </c>
      <c r="E424" s="536">
        <v>110000</v>
      </c>
      <c r="F424" s="603"/>
      <c r="G424" s="604"/>
      <c r="H424" s="605"/>
      <c r="I424" s="606"/>
      <c r="J424" s="607"/>
      <c r="K424" s="608"/>
      <c r="L424" s="609"/>
      <c r="M424" s="610"/>
      <c r="N424" s="611"/>
      <c r="O424" s="612"/>
      <c r="P424" s="613"/>
      <c r="Q424" s="614"/>
    </row>
    <row r="425" spans="1:17" x14ac:dyDescent="0.4">
      <c r="A425" s="601"/>
      <c r="B425" s="601" t="s">
        <v>340</v>
      </c>
      <c r="C425" s="602" t="s">
        <v>115</v>
      </c>
      <c r="D425" s="469">
        <v>26.91</v>
      </c>
      <c r="E425" s="536">
        <v>98007</v>
      </c>
      <c r="F425" s="603"/>
      <c r="G425" s="604"/>
      <c r="H425" s="605"/>
      <c r="I425" s="606"/>
      <c r="J425" s="607"/>
      <c r="K425" s="608"/>
      <c r="L425" s="609"/>
      <c r="M425" s="610"/>
      <c r="N425" s="611"/>
      <c r="O425" s="612"/>
      <c r="P425" s="613"/>
      <c r="Q425" s="614"/>
    </row>
    <row r="426" spans="1:17" x14ac:dyDescent="0.4">
      <c r="A426" s="601"/>
      <c r="B426" s="601" t="s">
        <v>341</v>
      </c>
      <c r="C426" s="602" t="s">
        <v>116</v>
      </c>
      <c r="D426" s="469">
        <v>21.08</v>
      </c>
      <c r="E426" s="536">
        <v>98341</v>
      </c>
      <c r="F426" s="603"/>
      <c r="G426" s="604"/>
      <c r="H426" s="605"/>
      <c r="I426" s="606"/>
      <c r="J426" s="607"/>
      <c r="K426" s="608"/>
      <c r="L426" s="609"/>
      <c r="M426" s="610"/>
      <c r="N426" s="611"/>
      <c r="O426" s="612"/>
      <c r="P426" s="613"/>
      <c r="Q426" s="614"/>
    </row>
    <row r="427" spans="1:17" x14ac:dyDescent="0.4">
      <c r="A427" s="601"/>
      <c r="B427" s="601" t="s">
        <v>342</v>
      </c>
      <c r="C427" s="602" t="s">
        <v>117</v>
      </c>
      <c r="D427" s="469">
        <v>0.15</v>
      </c>
      <c r="E427" s="536">
        <v>117387</v>
      </c>
      <c r="F427" s="603"/>
      <c r="G427" s="604"/>
      <c r="H427" s="605"/>
      <c r="I427" s="606"/>
      <c r="J427" s="607"/>
      <c r="K427" s="608"/>
      <c r="L427" s="609"/>
      <c r="M427" s="610"/>
      <c r="N427" s="611"/>
      <c r="O427" s="612"/>
      <c r="P427" s="613"/>
      <c r="Q427" s="614"/>
    </row>
    <row r="428" spans="1:17" x14ac:dyDescent="0.4">
      <c r="A428" s="601"/>
      <c r="B428" s="601" t="s">
        <v>344</v>
      </c>
      <c r="C428" s="602" t="s">
        <v>122</v>
      </c>
      <c r="D428" s="469">
        <v>2.8</v>
      </c>
      <c r="E428" s="536">
        <v>99266</v>
      </c>
      <c r="F428" s="603"/>
      <c r="G428" s="604"/>
      <c r="H428" s="605"/>
      <c r="I428" s="606"/>
      <c r="J428" s="607"/>
      <c r="K428" s="608"/>
      <c r="L428" s="609"/>
      <c r="M428" s="610"/>
      <c r="N428" s="611"/>
      <c r="O428" s="612"/>
      <c r="P428" s="613"/>
      <c r="Q428" s="614"/>
    </row>
    <row r="429" spans="1:17" x14ac:dyDescent="0.4">
      <c r="A429" s="601"/>
      <c r="B429" s="601" t="s">
        <v>346</v>
      </c>
      <c r="C429" s="602" t="s">
        <v>124</v>
      </c>
      <c r="D429" s="469">
        <v>0.56999999999999995</v>
      </c>
      <c r="E429" s="536">
        <v>86605</v>
      </c>
      <c r="F429" s="603"/>
      <c r="G429" s="604"/>
      <c r="H429" s="605"/>
      <c r="I429" s="606"/>
      <c r="J429" s="607"/>
      <c r="K429" s="608"/>
      <c r="L429" s="609"/>
      <c r="M429" s="610"/>
      <c r="N429" s="611"/>
      <c r="O429" s="612"/>
      <c r="P429" s="613"/>
      <c r="Q429" s="614"/>
    </row>
    <row r="430" spans="1:17" x14ac:dyDescent="0.4">
      <c r="A430" s="601"/>
      <c r="B430" s="601" t="s">
        <v>354</v>
      </c>
      <c r="C430" s="602" t="s">
        <v>236</v>
      </c>
      <c r="D430" s="469">
        <v>1</v>
      </c>
      <c r="E430" s="536">
        <v>119139</v>
      </c>
      <c r="F430" s="603"/>
      <c r="G430" s="604"/>
      <c r="H430" s="605"/>
      <c r="I430" s="606"/>
      <c r="J430" s="607"/>
      <c r="K430" s="608"/>
      <c r="L430" s="609"/>
      <c r="M430" s="610"/>
      <c r="N430" s="611"/>
      <c r="O430" s="612"/>
      <c r="P430" s="613"/>
      <c r="Q430" s="614"/>
    </row>
    <row r="431" spans="1:17" x14ac:dyDescent="0.4">
      <c r="A431" s="601"/>
      <c r="B431" s="601" t="s">
        <v>358</v>
      </c>
      <c r="C431" s="602" t="s">
        <v>89</v>
      </c>
      <c r="D431" s="469">
        <v>5.0599999999999996</v>
      </c>
      <c r="E431" s="536">
        <v>60951</v>
      </c>
      <c r="F431" s="603"/>
      <c r="G431" s="604"/>
      <c r="H431" s="605"/>
      <c r="I431" s="606"/>
      <c r="J431" s="607"/>
      <c r="K431" s="608"/>
      <c r="L431" s="609"/>
      <c r="M431" s="610"/>
      <c r="N431" s="611"/>
      <c r="O431" s="612"/>
      <c r="P431" s="613"/>
      <c r="Q431" s="614"/>
    </row>
    <row r="432" spans="1:17" x14ac:dyDescent="0.4">
      <c r="A432" s="601"/>
      <c r="B432" s="601" t="s">
        <v>361</v>
      </c>
      <c r="C432" s="602" t="s">
        <v>92</v>
      </c>
      <c r="D432" s="469">
        <v>6.93</v>
      </c>
      <c r="E432" s="536">
        <v>70510</v>
      </c>
      <c r="F432" s="603"/>
      <c r="G432" s="604"/>
      <c r="H432" s="605"/>
      <c r="I432" s="606"/>
      <c r="J432" s="607"/>
      <c r="K432" s="608"/>
      <c r="L432" s="609"/>
      <c r="M432" s="610"/>
      <c r="N432" s="611"/>
      <c r="O432" s="612"/>
      <c r="P432" s="613"/>
      <c r="Q432" s="614"/>
    </row>
    <row r="433" spans="1:17" x14ac:dyDescent="0.4">
      <c r="A433" s="601"/>
      <c r="B433" s="601" t="s">
        <v>363</v>
      </c>
      <c r="C433" s="602" t="s">
        <v>94</v>
      </c>
      <c r="D433" s="469">
        <v>0.95</v>
      </c>
      <c r="E433" s="536">
        <v>78733</v>
      </c>
      <c r="F433" s="603"/>
      <c r="G433" s="604"/>
      <c r="H433" s="605"/>
      <c r="I433" s="606"/>
      <c r="J433" s="607"/>
      <c r="K433" s="608"/>
      <c r="L433" s="609"/>
      <c r="M433" s="610"/>
      <c r="N433" s="611"/>
      <c r="O433" s="612"/>
      <c r="P433" s="613"/>
      <c r="Q433" s="614"/>
    </row>
    <row r="434" spans="1:17" x14ac:dyDescent="0.4">
      <c r="A434" s="601"/>
      <c r="B434" s="601" t="s">
        <v>365</v>
      </c>
      <c r="C434" s="602" t="s">
        <v>96</v>
      </c>
      <c r="D434" s="469">
        <v>2.21</v>
      </c>
      <c r="E434" s="536">
        <v>78164</v>
      </c>
      <c r="F434" s="603"/>
      <c r="G434" s="604"/>
      <c r="H434" s="605"/>
      <c r="I434" s="606"/>
      <c r="J434" s="607"/>
      <c r="K434" s="608"/>
      <c r="L434" s="609"/>
      <c r="M434" s="610"/>
      <c r="N434" s="611"/>
      <c r="O434" s="612"/>
      <c r="P434" s="613"/>
      <c r="Q434" s="614"/>
    </row>
    <row r="435" spans="1:17" x14ac:dyDescent="0.4">
      <c r="A435" s="601"/>
      <c r="B435" s="601" t="s">
        <v>366</v>
      </c>
      <c r="C435" s="602" t="s">
        <v>88</v>
      </c>
      <c r="D435" s="469">
        <v>0.26</v>
      </c>
      <c r="E435" s="536">
        <v>168038</v>
      </c>
      <c r="F435" s="603"/>
      <c r="G435" s="604"/>
      <c r="H435" s="605"/>
      <c r="I435" s="606"/>
      <c r="J435" s="607"/>
      <c r="K435" s="608"/>
      <c r="L435" s="609"/>
      <c r="M435" s="610"/>
      <c r="N435" s="611"/>
      <c r="O435" s="612"/>
      <c r="P435" s="613"/>
      <c r="Q435" s="614"/>
    </row>
    <row r="436" spans="1:17" x14ac:dyDescent="0.4">
      <c r="A436" s="557"/>
      <c r="B436" s="557"/>
      <c r="C436" s="557"/>
      <c r="D436" s="615"/>
      <c r="E436" s="562"/>
      <c r="F436" s="617">
        <f>SUM(D421:D430)</f>
        <v>55.61999999999999</v>
      </c>
      <c r="G436" s="618">
        <f>(SUMPRODUCT(D421:D430,E421:E430))</f>
        <v>5718096.9499999993</v>
      </c>
      <c r="H436" s="619">
        <f>SUM(D421:D423)</f>
        <v>3.08</v>
      </c>
      <c r="I436" s="620">
        <f>(SUMPRODUCT(D421:D423,E421:E423))</f>
        <v>540343.6</v>
      </c>
      <c r="J436" s="621">
        <f>SUM(D424:D429)</f>
        <v>51.539999999999992</v>
      </c>
      <c r="K436" s="622">
        <f>(SUMPRODUCT(D424:D429,E424:E429))</f>
        <v>5058614.3499999996</v>
      </c>
      <c r="L436" s="623">
        <f>SUM(D430:D430)</f>
        <v>1</v>
      </c>
      <c r="M436" s="624">
        <f>(SUMPRODUCT(D430:D430,E430:E430))</f>
        <v>119139</v>
      </c>
      <c r="N436" s="625">
        <f>+H436+J436+L436</f>
        <v>55.61999999999999</v>
      </c>
      <c r="O436" s="626">
        <f>+I436+K436+M436</f>
        <v>5718096.9499999993</v>
      </c>
      <c r="P436" s="627">
        <f>SUM(D431:D435)</f>
        <v>15.409999999999998</v>
      </c>
      <c r="Q436" s="628">
        <f>(SUMPRODUCT(D431:D435,E431:E435))</f>
        <v>1088275.0299999998</v>
      </c>
    </row>
    <row r="437" spans="1:17" x14ac:dyDescent="0.4">
      <c r="A437" s="601" t="s">
        <v>445</v>
      </c>
      <c r="B437" s="601" t="s">
        <v>258</v>
      </c>
      <c r="C437" s="602"/>
      <c r="D437" s="469"/>
      <c r="E437" s="536"/>
      <c r="F437" s="631"/>
      <c r="G437" s="618"/>
      <c r="H437" s="605"/>
      <c r="I437" s="620"/>
      <c r="J437" s="607"/>
      <c r="K437" s="622"/>
      <c r="L437" s="609"/>
      <c r="M437" s="624"/>
      <c r="N437" s="611"/>
      <c r="O437" s="626"/>
      <c r="P437" s="613"/>
      <c r="Q437" s="628"/>
    </row>
    <row r="438" spans="1:17" x14ac:dyDescent="0.4">
      <c r="A438" s="601"/>
      <c r="B438" s="601" t="s">
        <v>340</v>
      </c>
      <c r="C438" s="602" t="s">
        <v>115</v>
      </c>
      <c r="D438" s="469">
        <v>1.03</v>
      </c>
      <c r="E438" s="536">
        <v>97955</v>
      </c>
      <c r="F438" s="603"/>
      <c r="G438" s="604"/>
      <c r="H438" s="605"/>
      <c r="I438" s="606"/>
      <c r="J438" s="607"/>
      <c r="K438" s="608"/>
      <c r="L438" s="609"/>
      <c r="M438" s="610"/>
      <c r="N438" s="611"/>
      <c r="O438" s="612"/>
      <c r="P438" s="613"/>
      <c r="Q438" s="614"/>
    </row>
    <row r="439" spans="1:17" x14ac:dyDescent="0.4">
      <c r="A439" s="601"/>
      <c r="B439" s="601" t="s">
        <v>341</v>
      </c>
      <c r="C439" s="602" t="s">
        <v>116</v>
      </c>
      <c r="D439" s="469">
        <v>0.15</v>
      </c>
      <c r="E439" s="536">
        <v>105980</v>
      </c>
      <c r="F439" s="603"/>
      <c r="G439" s="604"/>
      <c r="H439" s="605"/>
      <c r="I439" s="606"/>
      <c r="J439" s="607"/>
      <c r="K439" s="608"/>
      <c r="L439" s="609"/>
      <c r="M439" s="610"/>
      <c r="N439" s="611"/>
      <c r="O439" s="612"/>
      <c r="P439" s="613"/>
      <c r="Q439" s="614"/>
    </row>
    <row r="440" spans="1:17" x14ac:dyDescent="0.4">
      <c r="A440" s="601"/>
      <c r="B440" s="601" t="s">
        <v>342</v>
      </c>
      <c r="C440" s="602" t="s">
        <v>117</v>
      </c>
      <c r="D440" s="469">
        <v>3</v>
      </c>
      <c r="E440" s="536">
        <v>105072</v>
      </c>
      <c r="F440" s="603"/>
      <c r="G440" s="604"/>
      <c r="H440" s="605"/>
      <c r="I440" s="606"/>
      <c r="J440" s="607"/>
      <c r="K440" s="608"/>
      <c r="L440" s="609"/>
      <c r="M440" s="610"/>
      <c r="N440" s="611"/>
      <c r="O440" s="612"/>
      <c r="P440" s="613"/>
      <c r="Q440" s="614"/>
    </row>
    <row r="441" spans="1:17" x14ac:dyDescent="0.4">
      <c r="A441" s="601"/>
      <c r="B441" s="601" t="s">
        <v>344</v>
      </c>
      <c r="C441" s="602" t="s">
        <v>122</v>
      </c>
      <c r="D441" s="469">
        <v>0.4</v>
      </c>
      <c r="E441" s="536">
        <v>119137</v>
      </c>
      <c r="F441" s="603"/>
      <c r="G441" s="604"/>
      <c r="H441" s="605"/>
      <c r="I441" s="606"/>
      <c r="J441" s="607"/>
      <c r="K441" s="608"/>
      <c r="L441" s="609"/>
      <c r="M441" s="610"/>
      <c r="N441" s="611"/>
      <c r="O441" s="612"/>
      <c r="P441" s="613"/>
      <c r="Q441" s="614"/>
    </row>
    <row r="442" spans="1:17" x14ac:dyDescent="0.4">
      <c r="A442" s="601"/>
      <c r="B442" s="601" t="s">
        <v>348</v>
      </c>
      <c r="C442" s="602" t="s">
        <v>125</v>
      </c>
      <c r="D442" s="469">
        <v>0.25</v>
      </c>
      <c r="E442" s="536">
        <v>117388</v>
      </c>
      <c r="F442" s="603"/>
      <c r="G442" s="604"/>
      <c r="H442" s="605"/>
      <c r="I442" s="606"/>
      <c r="J442" s="607"/>
      <c r="K442" s="608"/>
      <c r="L442" s="609"/>
      <c r="M442" s="610"/>
      <c r="N442" s="611"/>
      <c r="O442" s="612"/>
      <c r="P442" s="613"/>
      <c r="Q442" s="614"/>
    </row>
    <row r="443" spans="1:17" x14ac:dyDescent="0.4">
      <c r="A443" s="601"/>
      <c r="B443" s="601" t="s">
        <v>358</v>
      </c>
      <c r="C443" s="602" t="s">
        <v>89</v>
      </c>
      <c r="D443" s="469">
        <v>9.91</v>
      </c>
      <c r="E443" s="536">
        <v>66874</v>
      </c>
      <c r="F443" s="603"/>
      <c r="G443" s="604"/>
      <c r="H443" s="605"/>
      <c r="I443" s="606"/>
      <c r="J443" s="607"/>
      <c r="K443" s="608"/>
      <c r="L443" s="609"/>
      <c r="M443" s="610"/>
      <c r="N443" s="611"/>
      <c r="O443" s="612"/>
      <c r="P443" s="613"/>
      <c r="Q443" s="614"/>
    </row>
    <row r="444" spans="1:17" x14ac:dyDescent="0.4">
      <c r="A444" s="601"/>
      <c r="B444" s="601" t="s">
        <v>361</v>
      </c>
      <c r="C444" s="602" t="s">
        <v>92</v>
      </c>
      <c r="D444" s="469">
        <v>1.49</v>
      </c>
      <c r="E444" s="536">
        <v>56739</v>
      </c>
      <c r="F444" s="603"/>
      <c r="G444" s="604"/>
      <c r="H444" s="605"/>
      <c r="I444" s="606"/>
      <c r="J444" s="607"/>
      <c r="K444" s="608"/>
      <c r="L444" s="609"/>
      <c r="M444" s="610"/>
      <c r="N444" s="611"/>
      <c r="O444" s="612"/>
      <c r="P444" s="613"/>
      <c r="Q444" s="614"/>
    </row>
    <row r="445" spans="1:17" x14ac:dyDescent="0.4">
      <c r="A445" s="601"/>
      <c r="B445" s="601" t="s">
        <v>363</v>
      </c>
      <c r="C445" s="602" t="s">
        <v>94</v>
      </c>
      <c r="D445" s="469">
        <v>0.75</v>
      </c>
      <c r="E445" s="536">
        <v>76697</v>
      </c>
      <c r="F445" s="603"/>
      <c r="G445" s="604"/>
      <c r="H445" s="605"/>
      <c r="I445" s="606"/>
      <c r="J445" s="607"/>
      <c r="K445" s="608"/>
      <c r="L445" s="609"/>
      <c r="M445" s="610"/>
      <c r="N445" s="611"/>
      <c r="O445" s="612"/>
      <c r="P445" s="613"/>
      <c r="Q445" s="614"/>
    </row>
    <row r="446" spans="1:17" x14ac:dyDescent="0.4">
      <c r="A446" s="557"/>
      <c r="B446" s="557"/>
      <c r="C446" s="557"/>
      <c r="D446" s="615"/>
      <c r="E446" s="562"/>
      <c r="F446" s="617">
        <f>SUM(D438:D442)</f>
        <v>4.83</v>
      </c>
      <c r="G446" s="618">
        <f>(SUMPRODUCT(D438:D442,E438:E442))</f>
        <v>509008.45</v>
      </c>
      <c r="H446" s="619"/>
      <c r="I446" s="620"/>
      <c r="J446" s="621">
        <f>SUM(D438:D442)</f>
        <v>4.83</v>
      </c>
      <c r="K446" s="622">
        <f>(SUMPRODUCT(D438:D442,E438:E442))</f>
        <v>509008.45</v>
      </c>
      <c r="L446" s="623"/>
      <c r="M446" s="624"/>
      <c r="N446" s="625">
        <f>+H446+J446+L446</f>
        <v>4.83</v>
      </c>
      <c r="O446" s="626">
        <f>+I446+K446+M446</f>
        <v>509008.45</v>
      </c>
      <c r="P446" s="627">
        <f>SUM(D443:D445)</f>
        <v>12.15</v>
      </c>
      <c r="Q446" s="628">
        <f>(SUMPRODUCT(D443:D445,E443:E445))</f>
        <v>804785.2</v>
      </c>
    </row>
    <row r="447" spans="1:17" x14ac:dyDescent="0.4">
      <c r="A447" s="601" t="s">
        <v>446</v>
      </c>
      <c r="B447" s="601" t="s">
        <v>259</v>
      </c>
      <c r="C447" s="602"/>
      <c r="D447" s="469"/>
      <c r="E447" s="536"/>
      <c r="F447" s="603"/>
      <c r="G447" s="604"/>
      <c r="H447" s="605"/>
      <c r="I447" s="606"/>
      <c r="J447" s="607"/>
      <c r="K447" s="608"/>
      <c r="L447" s="609"/>
      <c r="M447" s="610"/>
      <c r="N447" s="611"/>
      <c r="O447" s="612"/>
      <c r="P447" s="613"/>
      <c r="Q447" s="614"/>
    </row>
    <row r="448" spans="1:17" x14ac:dyDescent="0.4">
      <c r="A448" s="601"/>
      <c r="B448" s="601" t="s">
        <v>333</v>
      </c>
      <c r="C448" s="602" t="s">
        <v>113</v>
      </c>
      <c r="D448" s="469">
        <v>2.4700000000000002</v>
      </c>
      <c r="E448" s="536">
        <v>176344</v>
      </c>
      <c r="F448" s="603"/>
      <c r="G448" s="604"/>
      <c r="H448" s="605"/>
      <c r="I448" s="606"/>
      <c r="J448" s="607"/>
      <c r="K448" s="608"/>
      <c r="L448" s="609"/>
      <c r="M448" s="610"/>
      <c r="N448" s="611"/>
      <c r="O448" s="612"/>
      <c r="P448" s="613"/>
      <c r="Q448" s="614"/>
    </row>
    <row r="449" spans="1:17" x14ac:dyDescent="0.4">
      <c r="A449" s="601"/>
      <c r="B449" s="601" t="s">
        <v>334</v>
      </c>
      <c r="C449" s="602" t="s">
        <v>120</v>
      </c>
      <c r="D449" s="469">
        <v>0.1</v>
      </c>
      <c r="E449" s="536">
        <v>167790</v>
      </c>
      <c r="F449" s="603"/>
      <c r="G449" s="604"/>
      <c r="H449" s="605"/>
      <c r="I449" s="606"/>
      <c r="J449" s="607"/>
      <c r="K449" s="608"/>
      <c r="L449" s="609"/>
      <c r="M449" s="610"/>
      <c r="N449" s="611"/>
      <c r="O449" s="612"/>
      <c r="P449" s="613"/>
      <c r="Q449" s="614"/>
    </row>
    <row r="450" spans="1:17" x14ac:dyDescent="0.4">
      <c r="A450" s="601"/>
      <c r="B450" s="601" t="s">
        <v>336</v>
      </c>
      <c r="C450" s="602" t="s">
        <v>121</v>
      </c>
      <c r="D450" s="469">
        <v>0.27</v>
      </c>
      <c r="E450" s="536">
        <v>128096</v>
      </c>
      <c r="F450" s="603"/>
      <c r="G450" s="604"/>
      <c r="H450" s="605"/>
      <c r="I450" s="606"/>
      <c r="J450" s="607"/>
      <c r="K450" s="608"/>
      <c r="L450" s="609"/>
      <c r="M450" s="610"/>
      <c r="N450" s="611"/>
      <c r="O450" s="612"/>
      <c r="P450" s="613"/>
      <c r="Q450" s="614"/>
    </row>
    <row r="451" spans="1:17" x14ac:dyDescent="0.4">
      <c r="A451" s="601"/>
      <c r="B451" s="601" t="s">
        <v>338</v>
      </c>
      <c r="C451" s="602" t="s">
        <v>114</v>
      </c>
      <c r="D451" s="469">
        <v>0.85</v>
      </c>
      <c r="E451" s="536">
        <v>125584</v>
      </c>
      <c r="F451" s="603"/>
      <c r="G451" s="604"/>
      <c r="H451" s="605"/>
      <c r="I451" s="606"/>
      <c r="J451" s="607"/>
      <c r="K451" s="608"/>
      <c r="L451" s="609"/>
      <c r="M451" s="610"/>
      <c r="N451" s="611"/>
      <c r="O451" s="612"/>
      <c r="P451" s="613"/>
      <c r="Q451" s="614"/>
    </row>
    <row r="452" spans="1:17" x14ac:dyDescent="0.4">
      <c r="A452" s="601"/>
      <c r="B452" s="601" t="s">
        <v>339</v>
      </c>
      <c r="C452" s="602" t="s">
        <v>407</v>
      </c>
      <c r="D452" s="469">
        <v>5.7</v>
      </c>
      <c r="E452" s="536">
        <v>77692</v>
      </c>
      <c r="F452" s="603"/>
      <c r="G452" s="604"/>
      <c r="H452" s="605"/>
      <c r="I452" s="606"/>
      <c r="J452" s="607"/>
      <c r="K452" s="608"/>
      <c r="L452" s="609"/>
      <c r="M452" s="610"/>
      <c r="N452" s="611"/>
      <c r="O452" s="612"/>
      <c r="P452" s="613"/>
      <c r="Q452" s="614"/>
    </row>
    <row r="453" spans="1:17" x14ac:dyDescent="0.4">
      <c r="A453" s="601"/>
      <c r="B453" s="601" t="s">
        <v>340</v>
      </c>
      <c r="C453" s="602" t="s">
        <v>115</v>
      </c>
      <c r="D453" s="469">
        <v>6.3</v>
      </c>
      <c r="E453" s="536">
        <v>93222</v>
      </c>
      <c r="F453" s="603"/>
      <c r="G453" s="604"/>
      <c r="H453" s="605"/>
      <c r="I453" s="606"/>
      <c r="J453" s="607"/>
      <c r="K453" s="608"/>
      <c r="L453" s="609"/>
      <c r="M453" s="610"/>
      <c r="N453" s="611"/>
      <c r="O453" s="612"/>
      <c r="P453" s="613"/>
      <c r="Q453" s="614"/>
    </row>
    <row r="454" spans="1:17" x14ac:dyDescent="0.4">
      <c r="A454" s="601"/>
      <c r="B454" s="601" t="s">
        <v>341</v>
      </c>
      <c r="C454" s="602" t="s">
        <v>116</v>
      </c>
      <c r="D454" s="469">
        <v>6.14</v>
      </c>
      <c r="E454" s="536">
        <v>94836</v>
      </c>
      <c r="F454" s="603"/>
      <c r="G454" s="604"/>
      <c r="H454" s="605"/>
      <c r="I454" s="606"/>
      <c r="J454" s="607"/>
      <c r="K454" s="608"/>
      <c r="L454" s="609"/>
      <c r="M454" s="610"/>
      <c r="N454" s="611"/>
      <c r="O454" s="612"/>
      <c r="P454" s="613"/>
      <c r="Q454" s="614"/>
    </row>
    <row r="455" spans="1:17" x14ac:dyDescent="0.4">
      <c r="A455" s="601"/>
      <c r="B455" s="601" t="s">
        <v>408</v>
      </c>
      <c r="C455" s="602" t="s">
        <v>409</v>
      </c>
      <c r="D455" s="469">
        <v>1</v>
      </c>
      <c r="E455" s="536">
        <v>94446</v>
      </c>
      <c r="F455" s="603"/>
      <c r="G455" s="604"/>
      <c r="H455" s="605"/>
      <c r="I455" s="606"/>
      <c r="J455" s="607"/>
      <c r="K455" s="608"/>
      <c r="L455" s="609"/>
      <c r="M455" s="610"/>
      <c r="N455" s="611"/>
      <c r="O455" s="612"/>
      <c r="P455" s="613"/>
      <c r="Q455" s="614"/>
    </row>
    <row r="456" spans="1:17" x14ac:dyDescent="0.4">
      <c r="A456" s="601"/>
      <c r="B456" s="601" t="s">
        <v>342</v>
      </c>
      <c r="C456" s="602" t="s">
        <v>117</v>
      </c>
      <c r="D456" s="469">
        <v>31.36</v>
      </c>
      <c r="E456" s="536">
        <v>110463</v>
      </c>
      <c r="F456" s="603"/>
      <c r="G456" s="604"/>
      <c r="H456" s="605"/>
      <c r="I456" s="606"/>
      <c r="J456" s="607"/>
      <c r="K456" s="608"/>
      <c r="L456" s="609"/>
      <c r="M456" s="610"/>
      <c r="N456" s="611"/>
      <c r="O456" s="612"/>
      <c r="P456" s="613"/>
      <c r="Q456" s="614"/>
    </row>
    <row r="457" spans="1:17" x14ac:dyDescent="0.4">
      <c r="A457" s="601"/>
      <c r="B457" s="601" t="s">
        <v>344</v>
      </c>
      <c r="C457" s="602" t="s">
        <v>122</v>
      </c>
      <c r="D457" s="469">
        <v>2.02</v>
      </c>
      <c r="E457" s="536">
        <v>80400</v>
      </c>
      <c r="F457" s="603"/>
      <c r="G457" s="604"/>
      <c r="H457" s="605"/>
      <c r="I457" s="606"/>
      <c r="J457" s="607"/>
      <c r="K457" s="608"/>
      <c r="L457" s="609"/>
      <c r="M457" s="610"/>
      <c r="N457" s="611"/>
      <c r="O457" s="612"/>
      <c r="P457" s="613"/>
      <c r="Q457" s="614"/>
    </row>
    <row r="458" spans="1:17" x14ac:dyDescent="0.4">
      <c r="A458" s="601"/>
      <c r="B458" s="601" t="s">
        <v>346</v>
      </c>
      <c r="C458" s="602" t="s">
        <v>124</v>
      </c>
      <c r="D458" s="469">
        <v>0.39</v>
      </c>
      <c r="E458" s="536">
        <v>106918</v>
      </c>
      <c r="F458" s="603"/>
      <c r="G458" s="604"/>
      <c r="H458" s="605"/>
      <c r="I458" s="606"/>
      <c r="J458" s="607"/>
      <c r="K458" s="608"/>
      <c r="L458" s="609"/>
      <c r="M458" s="610"/>
      <c r="N458" s="611"/>
      <c r="O458" s="612"/>
      <c r="P458" s="613"/>
      <c r="Q458" s="614"/>
    </row>
    <row r="459" spans="1:17" x14ac:dyDescent="0.4">
      <c r="A459" s="601"/>
      <c r="B459" s="601" t="s">
        <v>349</v>
      </c>
      <c r="C459" s="602" t="s">
        <v>126</v>
      </c>
      <c r="D459" s="469">
        <v>3.01</v>
      </c>
      <c r="E459" s="536">
        <v>77219</v>
      </c>
      <c r="F459" s="603"/>
      <c r="G459" s="604"/>
      <c r="H459" s="605"/>
      <c r="I459" s="606"/>
      <c r="J459" s="607"/>
      <c r="K459" s="608"/>
      <c r="L459" s="609"/>
      <c r="M459" s="610"/>
      <c r="N459" s="611"/>
      <c r="O459" s="612"/>
      <c r="P459" s="613"/>
      <c r="Q459" s="614"/>
    </row>
    <row r="460" spans="1:17" x14ac:dyDescent="0.4">
      <c r="A460" s="601"/>
      <c r="B460" s="601" t="s">
        <v>351</v>
      </c>
      <c r="C460" s="602" t="s">
        <v>427</v>
      </c>
      <c r="D460" s="469">
        <v>1.2</v>
      </c>
      <c r="E460" s="536">
        <v>102198</v>
      </c>
      <c r="F460" s="603"/>
      <c r="G460" s="604"/>
      <c r="H460" s="605"/>
      <c r="I460" s="606"/>
      <c r="J460" s="607"/>
      <c r="K460" s="608"/>
      <c r="L460" s="609"/>
      <c r="M460" s="610"/>
      <c r="N460" s="611"/>
      <c r="O460" s="612"/>
      <c r="P460" s="613"/>
      <c r="Q460" s="614"/>
    </row>
    <row r="461" spans="1:17" x14ac:dyDescent="0.4">
      <c r="A461" s="601"/>
      <c r="B461" s="601" t="s">
        <v>358</v>
      </c>
      <c r="C461" s="602" t="s">
        <v>89</v>
      </c>
      <c r="D461" s="469">
        <v>34.619999999999997</v>
      </c>
      <c r="E461" s="536">
        <v>58729</v>
      </c>
      <c r="F461" s="603"/>
      <c r="G461" s="604"/>
      <c r="H461" s="605"/>
      <c r="I461" s="606"/>
      <c r="J461" s="607"/>
      <c r="K461" s="608"/>
      <c r="L461" s="609"/>
      <c r="M461" s="610"/>
      <c r="N461" s="611"/>
      <c r="O461" s="612"/>
      <c r="P461" s="613"/>
      <c r="Q461" s="614"/>
    </row>
    <row r="462" spans="1:17" x14ac:dyDescent="0.4">
      <c r="A462" s="601"/>
      <c r="B462" s="601" t="s">
        <v>361</v>
      </c>
      <c r="C462" s="602" t="s">
        <v>92</v>
      </c>
      <c r="D462" s="469">
        <v>13.17</v>
      </c>
      <c r="E462" s="536">
        <v>69901</v>
      </c>
      <c r="F462" s="603"/>
      <c r="G462" s="604"/>
      <c r="H462" s="605"/>
      <c r="I462" s="606"/>
      <c r="J462" s="607"/>
      <c r="K462" s="608"/>
      <c r="L462" s="609"/>
      <c r="M462" s="610"/>
      <c r="N462" s="611"/>
      <c r="O462" s="612"/>
      <c r="P462" s="613"/>
      <c r="Q462" s="614"/>
    </row>
    <row r="463" spans="1:17" x14ac:dyDescent="0.4">
      <c r="A463" s="601"/>
      <c r="B463" s="601" t="s">
        <v>363</v>
      </c>
      <c r="C463" s="602" t="s">
        <v>94</v>
      </c>
      <c r="D463" s="469">
        <v>35.17</v>
      </c>
      <c r="E463" s="536">
        <v>70521</v>
      </c>
      <c r="F463" s="603"/>
      <c r="G463" s="604"/>
      <c r="H463" s="605"/>
      <c r="I463" s="606"/>
      <c r="J463" s="607"/>
      <c r="K463" s="608"/>
      <c r="L463" s="609"/>
      <c r="M463" s="610"/>
      <c r="N463" s="611"/>
      <c r="O463" s="612"/>
      <c r="P463" s="613"/>
      <c r="Q463" s="614"/>
    </row>
    <row r="464" spans="1:17" x14ac:dyDescent="0.4">
      <c r="A464" s="601"/>
      <c r="B464" s="601" t="s">
        <v>365</v>
      </c>
      <c r="C464" s="602" t="s">
        <v>96</v>
      </c>
      <c r="D464" s="469">
        <v>4</v>
      </c>
      <c r="E464" s="536">
        <v>92217</v>
      </c>
      <c r="F464" s="603"/>
      <c r="G464" s="604"/>
      <c r="H464" s="605"/>
      <c r="I464" s="606"/>
      <c r="J464" s="607"/>
      <c r="K464" s="608"/>
      <c r="L464" s="609"/>
      <c r="M464" s="610"/>
      <c r="N464" s="611"/>
      <c r="O464" s="612"/>
      <c r="P464" s="613"/>
      <c r="Q464" s="614"/>
    </row>
    <row r="465" spans="1:17" x14ac:dyDescent="0.4">
      <c r="A465" s="601"/>
      <c r="B465" s="601" t="s">
        <v>366</v>
      </c>
      <c r="C465" s="602" t="s">
        <v>88</v>
      </c>
      <c r="D465" s="469">
        <v>4.87</v>
      </c>
      <c r="E465" s="536">
        <v>96680</v>
      </c>
      <c r="F465" s="603"/>
      <c r="G465" s="604"/>
      <c r="H465" s="605"/>
      <c r="I465" s="606"/>
      <c r="J465" s="607"/>
      <c r="K465" s="608"/>
      <c r="L465" s="609"/>
      <c r="M465" s="610"/>
      <c r="N465" s="611"/>
      <c r="O465" s="612"/>
      <c r="P465" s="613"/>
      <c r="Q465" s="614"/>
    </row>
    <row r="466" spans="1:17" x14ac:dyDescent="0.4">
      <c r="A466" s="557"/>
      <c r="B466" s="557"/>
      <c r="C466" s="557"/>
      <c r="D466" s="615"/>
      <c r="E466" s="562"/>
      <c r="F466" s="617">
        <f>SUM(D448:D460)</f>
        <v>60.81</v>
      </c>
      <c r="G466" s="618">
        <f>(SUMPRODUCT(D448:D460,E448:E460))</f>
        <v>6323855.5300000003</v>
      </c>
      <c r="H466" s="619">
        <f>SUM(D448:D451)</f>
        <v>3.6900000000000004</v>
      </c>
      <c r="I466" s="620">
        <f>(SUMPRODUCT(D448:D451,E448:E451))</f>
        <v>593681</v>
      </c>
      <c r="J466" s="621">
        <f>SUM(D452:D460)</f>
        <v>57.120000000000005</v>
      </c>
      <c r="K466" s="622">
        <f>(SUMPRODUCT(D452:D460,E452:E460))</f>
        <v>5730174.5300000003</v>
      </c>
      <c r="L466" s="623"/>
      <c r="M466" s="624"/>
      <c r="N466" s="625">
        <f>+H466+J466+L466</f>
        <v>60.81</v>
      </c>
      <c r="O466" s="626">
        <f>+I466+K466+M466</f>
        <v>6323855.5300000003</v>
      </c>
      <c r="P466" s="627">
        <f>SUM(D461:D465)</f>
        <v>91.830000000000013</v>
      </c>
      <c r="Q466" s="628">
        <f>(SUMPRODUCT(D461:D465,E461:E465))</f>
        <v>6273717.3200000003</v>
      </c>
    </row>
    <row r="467" spans="1:17" x14ac:dyDescent="0.4">
      <c r="A467" s="601" t="s">
        <v>447</v>
      </c>
      <c r="B467" s="601" t="s">
        <v>448</v>
      </c>
      <c r="C467" s="602"/>
      <c r="D467" s="469"/>
      <c r="E467" s="536"/>
      <c r="F467" s="603"/>
      <c r="G467" s="604"/>
      <c r="H467" s="605"/>
      <c r="I467" s="606"/>
      <c r="J467" s="607"/>
      <c r="K467" s="608"/>
      <c r="L467" s="609"/>
      <c r="M467" s="610"/>
      <c r="N467" s="611"/>
      <c r="O467" s="612"/>
      <c r="P467" s="613"/>
      <c r="Q467" s="614"/>
    </row>
    <row r="468" spans="1:17" x14ac:dyDescent="0.4">
      <c r="A468" s="601"/>
      <c r="B468" s="601" t="s">
        <v>336</v>
      </c>
      <c r="C468" s="602" t="s">
        <v>121</v>
      </c>
      <c r="D468" s="469">
        <v>0.1</v>
      </c>
      <c r="E468" s="536">
        <v>164382</v>
      </c>
      <c r="F468" s="631"/>
      <c r="G468" s="618"/>
      <c r="H468" s="605"/>
      <c r="I468" s="620"/>
      <c r="J468" s="607"/>
      <c r="K468" s="622"/>
      <c r="L468" s="609"/>
      <c r="M468" s="624"/>
      <c r="N468" s="611"/>
      <c r="O468" s="626"/>
      <c r="P468" s="613"/>
      <c r="Q468" s="628"/>
    </row>
    <row r="469" spans="1:17" x14ac:dyDescent="0.4">
      <c r="A469" s="601"/>
      <c r="B469" s="601" t="s">
        <v>361</v>
      </c>
      <c r="C469" s="602" t="s">
        <v>92</v>
      </c>
      <c r="D469" s="469">
        <v>0.1</v>
      </c>
      <c r="E469" s="536">
        <v>56139</v>
      </c>
      <c r="F469" s="631"/>
      <c r="G469" s="618"/>
      <c r="H469" s="605"/>
      <c r="I469" s="620"/>
      <c r="J469" s="607"/>
      <c r="K469" s="622"/>
      <c r="L469" s="609"/>
      <c r="M469" s="624"/>
      <c r="N469" s="611"/>
      <c r="O469" s="626"/>
      <c r="P469" s="613"/>
      <c r="Q469" s="628"/>
    </row>
    <row r="470" spans="1:17" x14ac:dyDescent="0.4">
      <c r="A470" s="557"/>
      <c r="B470" s="557"/>
      <c r="C470" s="557"/>
      <c r="D470" s="615"/>
      <c r="E470" s="562"/>
      <c r="F470" s="617">
        <f>SUM(D468:D468)</f>
        <v>0.1</v>
      </c>
      <c r="G470" s="618">
        <f>(SUMPRODUCT(D468:D468,E468:E468))</f>
        <v>16438.2</v>
      </c>
      <c r="H470" s="619">
        <f>SUM(D468:D468)</f>
        <v>0.1</v>
      </c>
      <c r="I470" s="620">
        <f>(SUMPRODUCT(D468:D468,E468:E468))</f>
        <v>16438.2</v>
      </c>
      <c r="J470" s="621"/>
      <c r="K470" s="622"/>
      <c r="L470" s="623"/>
      <c r="M470" s="624"/>
      <c r="N470" s="625">
        <f>+H470+J470+L470</f>
        <v>0.1</v>
      </c>
      <c r="O470" s="626">
        <f>+I470+K470+M470</f>
        <v>16438.2</v>
      </c>
      <c r="P470" s="627">
        <f>SUM(D469:D469)</f>
        <v>0.1</v>
      </c>
      <c r="Q470" s="628">
        <f>(SUMPRODUCT(D469:D469,E469:E469))</f>
        <v>5613.9000000000005</v>
      </c>
    </row>
    <row r="471" spans="1:17" x14ac:dyDescent="0.4">
      <c r="A471" s="601" t="s">
        <v>354</v>
      </c>
      <c r="B471" s="601" t="s">
        <v>260</v>
      </c>
      <c r="C471" s="602"/>
      <c r="D471" s="469"/>
      <c r="E471" s="536"/>
      <c r="F471" s="603"/>
      <c r="G471" s="604"/>
      <c r="H471" s="605"/>
      <c r="I471" s="606"/>
      <c r="J471" s="607"/>
      <c r="K471" s="608"/>
      <c r="L471" s="609"/>
      <c r="M471" s="610"/>
      <c r="N471" s="611"/>
      <c r="O471" s="612"/>
      <c r="P471" s="613"/>
      <c r="Q471" s="614"/>
    </row>
    <row r="472" spans="1:17" x14ac:dyDescent="0.4">
      <c r="A472" s="601"/>
      <c r="B472" s="601" t="s">
        <v>333</v>
      </c>
      <c r="C472" s="602" t="s">
        <v>113</v>
      </c>
      <c r="D472" s="469">
        <v>1.1499999999999999</v>
      </c>
      <c r="E472" s="536">
        <v>170494</v>
      </c>
      <c r="F472" s="603"/>
      <c r="G472" s="604"/>
      <c r="H472" s="605"/>
      <c r="I472" s="606"/>
      <c r="J472" s="607"/>
      <c r="K472" s="608"/>
      <c r="L472" s="609"/>
      <c r="M472" s="610"/>
      <c r="N472" s="611"/>
      <c r="O472" s="612"/>
      <c r="P472" s="613"/>
      <c r="Q472" s="614"/>
    </row>
    <row r="473" spans="1:17" x14ac:dyDescent="0.4">
      <c r="A473" s="601"/>
      <c r="B473" s="601" t="s">
        <v>334</v>
      </c>
      <c r="C473" s="602" t="s">
        <v>120</v>
      </c>
      <c r="D473" s="469">
        <v>0.46</v>
      </c>
      <c r="E473" s="536">
        <v>152477</v>
      </c>
      <c r="F473" s="603"/>
      <c r="G473" s="604"/>
      <c r="H473" s="605"/>
      <c r="I473" s="606"/>
      <c r="J473" s="607"/>
      <c r="K473" s="608"/>
      <c r="L473" s="609"/>
      <c r="M473" s="610"/>
      <c r="N473" s="611"/>
      <c r="O473" s="612"/>
      <c r="P473" s="613"/>
      <c r="Q473" s="614"/>
    </row>
    <row r="474" spans="1:17" x14ac:dyDescent="0.4">
      <c r="A474" s="601"/>
      <c r="B474" s="601" t="s">
        <v>342</v>
      </c>
      <c r="C474" s="602" t="s">
        <v>117</v>
      </c>
      <c r="D474" s="469">
        <v>3</v>
      </c>
      <c r="E474" s="536">
        <v>111578</v>
      </c>
      <c r="F474" s="603"/>
      <c r="G474" s="604"/>
      <c r="H474" s="605"/>
      <c r="I474" s="606"/>
      <c r="J474" s="607"/>
      <c r="K474" s="608"/>
      <c r="L474" s="609"/>
      <c r="M474" s="610"/>
      <c r="N474" s="611"/>
      <c r="O474" s="612"/>
      <c r="P474" s="613"/>
      <c r="Q474" s="614"/>
    </row>
    <row r="475" spans="1:17" x14ac:dyDescent="0.4">
      <c r="A475" s="601"/>
      <c r="B475" s="601" t="s">
        <v>349</v>
      </c>
      <c r="C475" s="602" t="s">
        <v>126</v>
      </c>
      <c r="D475" s="469">
        <v>1.92</v>
      </c>
      <c r="E475" s="536">
        <v>115120</v>
      </c>
      <c r="F475" s="603"/>
      <c r="G475" s="604"/>
      <c r="H475" s="605"/>
      <c r="I475" s="606"/>
      <c r="J475" s="607"/>
      <c r="K475" s="608"/>
      <c r="L475" s="609"/>
      <c r="M475" s="610"/>
      <c r="N475" s="611"/>
      <c r="O475" s="612"/>
      <c r="P475" s="613"/>
      <c r="Q475" s="614"/>
    </row>
    <row r="476" spans="1:17" x14ac:dyDescent="0.4">
      <c r="A476" s="601"/>
      <c r="B476" s="601" t="s">
        <v>357</v>
      </c>
      <c r="C476" s="602" t="s">
        <v>237</v>
      </c>
      <c r="D476" s="469">
        <v>0.7</v>
      </c>
      <c r="E476" s="536">
        <v>86353</v>
      </c>
      <c r="F476" s="603"/>
      <c r="G476" s="604"/>
      <c r="H476" s="605"/>
      <c r="I476" s="606"/>
      <c r="J476" s="607"/>
      <c r="K476" s="608"/>
      <c r="L476" s="609"/>
      <c r="M476" s="610"/>
      <c r="N476" s="611"/>
      <c r="O476" s="612"/>
      <c r="P476" s="613"/>
      <c r="Q476" s="614"/>
    </row>
    <row r="477" spans="1:17" x14ac:dyDescent="0.4">
      <c r="A477" s="601"/>
      <c r="B477" s="601" t="s">
        <v>358</v>
      </c>
      <c r="C477" s="602" t="s">
        <v>89</v>
      </c>
      <c r="D477" s="469">
        <v>116.29</v>
      </c>
      <c r="E477" s="536">
        <v>70174</v>
      </c>
      <c r="F477" s="631"/>
      <c r="G477" s="618"/>
      <c r="H477" s="605"/>
      <c r="I477" s="620"/>
      <c r="J477" s="607"/>
      <c r="K477" s="622"/>
      <c r="L477" s="609"/>
      <c r="M477" s="624"/>
      <c r="N477" s="611"/>
      <c r="O477" s="626"/>
      <c r="P477" s="613"/>
      <c r="Q477" s="628"/>
    </row>
    <row r="478" spans="1:17" x14ac:dyDescent="0.4">
      <c r="A478" s="601"/>
      <c r="B478" s="601" t="s">
        <v>361</v>
      </c>
      <c r="C478" s="602" t="s">
        <v>92</v>
      </c>
      <c r="D478" s="469">
        <v>4.68</v>
      </c>
      <c r="E478" s="536">
        <v>76487</v>
      </c>
      <c r="F478" s="631"/>
      <c r="G478" s="618"/>
      <c r="H478" s="605"/>
      <c r="I478" s="620"/>
      <c r="J478" s="607"/>
      <c r="K478" s="622"/>
      <c r="L478" s="609"/>
      <c r="M478" s="624"/>
      <c r="N478" s="611"/>
      <c r="O478" s="626"/>
      <c r="P478" s="613"/>
      <c r="Q478" s="628"/>
    </row>
    <row r="479" spans="1:17" x14ac:dyDescent="0.4">
      <c r="A479" s="601"/>
      <c r="B479" s="601" t="s">
        <v>363</v>
      </c>
      <c r="C479" s="602" t="s">
        <v>94</v>
      </c>
      <c r="D479" s="469">
        <v>21.04</v>
      </c>
      <c r="E479" s="536">
        <v>92870</v>
      </c>
      <c r="F479" s="631"/>
      <c r="G479" s="618"/>
      <c r="H479" s="605"/>
      <c r="I479" s="620"/>
      <c r="J479" s="607"/>
      <c r="K479" s="622"/>
      <c r="L479" s="609"/>
      <c r="M479" s="624"/>
      <c r="N479" s="611"/>
      <c r="O479" s="626"/>
      <c r="P479" s="613"/>
      <c r="Q479" s="628"/>
    </row>
    <row r="480" spans="1:17" x14ac:dyDescent="0.4">
      <c r="A480" s="601"/>
      <c r="B480" s="601" t="s">
        <v>365</v>
      </c>
      <c r="C480" s="602" t="s">
        <v>96</v>
      </c>
      <c r="D480" s="469">
        <v>2.7</v>
      </c>
      <c r="E480" s="536">
        <v>97551</v>
      </c>
      <c r="F480" s="631"/>
      <c r="G480" s="618"/>
      <c r="H480" s="605"/>
      <c r="I480" s="620"/>
      <c r="J480" s="607"/>
      <c r="K480" s="622"/>
      <c r="L480" s="609"/>
      <c r="M480" s="624"/>
      <c r="N480" s="611"/>
      <c r="O480" s="626"/>
      <c r="P480" s="613"/>
      <c r="Q480" s="628"/>
    </row>
    <row r="481" spans="1:17" x14ac:dyDescent="0.4">
      <c r="A481" s="601"/>
      <c r="B481" s="601" t="s">
        <v>366</v>
      </c>
      <c r="C481" s="602" t="s">
        <v>88</v>
      </c>
      <c r="D481" s="469">
        <v>0.35</v>
      </c>
      <c r="E481" s="536">
        <v>140431</v>
      </c>
      <c r="F481" s="631"/>
      <c r="G481" s="618"/>
      <c r="H481" s="605"/>
      <c r="I481" s="620"/>
      <c r="J481" s="607"/>
      <c r="K481" s="622"/>
      <c r="L481" s="609"/>
      <c r="M481" s="624"/>
      <c r="N481" s="611"/>
      <c r="O481" s="626"/>
      <c r="P481" s="613"/>
      <c r="Q481" s="628"/>
    </row>
    <row r="482" spans="1:17" x14ac:dyDescent="0.4">
      <c r="A482" s="557"/>
      <c r="B482" s="557"/>
      <c r="C482" s="557"/>
      <c r="D482" s="615"/>
      <c r="E482" s="562"/>
      <c r="F482" s="617">
        <f>SUM(D472:D475)</f>
        <v>6.5299999999999994</v>
      </c>
      <c r="G482" s="618">
        <f>(SUMPRODUCT(D472:D475,E472:E475))</f>
        <v>821971.92</v>
      </c>
      <c r="H482" s="619">
        <f>SUM(D472:D473)</f>
        <v>1.6099999999999999</v>
      </c>
      <c r="I482" s="620">
        <f>(SUMPRODUCT(D472:D473,E472:E473))</f>
        <v>266207.51999999996</v>
      </c>
      <c r="J482" s="621">
        <f>SUM(D474:D475)</f>
        <v>4.92</v>
      </c>
      <c r="K482" s="622">
        <f>(SUMPRODUCT(D474:D475,E474:E475))</f>
        <v>555764.4</v>
      </c>
      <c r="L482" s="623"/>
      <c r="M482" s="624"/>
      <c r="N482" s="625">
        <f>+H482+J482+L482</f>
        <v>6.5299999999999994</v>
      </c>
      <c r="O482" s="626">
        <f>+I482+K482+M482</f>
        <v>821971.91999999993</v>
      </c>
      <c r="P482" s="627">
        <f>SUM(D476:D481)</f>
        <v>145.76</v>
      </c>
      <c r="Q482" s="628">
        <f>(SUMPRODUCT(D476:D481,E476:E481))</f>
        <v>10845464.069999998</v>
      </c>
    </row>
    <row r="483" spans="1:17" x14ac:dyDescent="0.4">
      <c r="A483" s="601" t="s">
        <v>449</v>
      </c>
      <c r="B483" s="601" t="s">
        <v>296</v>
      </c>
      <c r="C483" s="602"/>
      <c r="D483" s="469"/>
      <c r="E483" s="536"/>
      <c r="F483" s="603"/>
      <c r="G483" s="604"/>
      <c r="H483" s="605"/>
      <c r="I483" s="606"/>
      <c r="J483" s="607"/>
      <c r="K483" s="608"/>
      <c r="L483" s="609"/>
      <c r="M483" s="610"/>
      <c r="N483" s="611"/>
      <c r="O483" s="612"/>
      <c r="P483" s="613"/>
      <c r="Q483" s="614"/>
    </row>
    <row r="484" spans="1:17" x14ac:dyDescent="0.4">
      <c r="A484" s="601"/>
      <c r="B484" s="601" t="s">
        <v>333</v>
      </c>
      <c r="C484" s="602" t="s">
        <v>113</v>
      </c>
      <c r="D484" s="469">
        <v>0.33</v>
      </c>
      <c r="E484" s="536">
        <v>178602</v>
      </c>
      <c r="F484" s="603"/>
      <c r="G484" s="604"/>
      <c r="H484" s="605"/>
      <c r="I484" s="606"/>
      <c r="J484" s="607"/>
      <c r="K484" s="608"/>
      <c r="L484" s="609"/>
      <c r="M484" s="610"/>
      <c r="N484" s="611"/>
      <c r="O484" s="612"/>
      <c r="P484" s="613"/>
      <c r="Q484" s="614"/>
    </row>
    <row r="485" spans="1:17" x14ac:dyDescent="0.4">
      <c r="A485" s="601"/>
      <c r="B485" s="601" t="s">
        <v>341</v>
      </c>
      <c r="C485" s="602" t="s">
        <v>116</v>
      </c>
      <c r="D485" s="469">
        <v>1.2</v>
      </c>
      <c r="E485" s="536">
        <v>108662</v>
      </c>
      <c r="F485" s="603"/>
      <c r="G485" s="604"/>
      <c r="H485" s="605"/>
      <c r="I485" s="606"/>
      <c r="J485" s="607"/>
      <c r="K485" s="608"/>
      <c r="L485" s="609"/>
      <c r="M485" s="610"/>
      <c r="N485" s="611"/>
      <c r="O485" s="612"/>
      <c r="P485" s="613"/>
      <c r="Q485" s="614"/>
    </row>
    <row r="486" spans="1:17" x14ac:dyDescent="0.4">
      <c r="A486" s="557"/>
      <c r="B486" s="557"/>
      <c r="C486" s="557"/>
      <c r="D486" s="615"/>
      <c r="E486" s="562"/>
      <c r="F486" s="617">
        <f>SUM(D484:D485)</f>
        <v>1.53</v>
      </c>
      <c r="G486" s="618">
        <f>(SUMPRODUCT(D484:D485,E484:E485))</f>
        <v>189333.06</v>
      </c>
      <c r="H486" s="619">
        <f>SUM(D484:D484)</f>
        <v>0.33</v>
      </c>
      <c r="I486" s="620">
        <f>(SUMPRODUCT(D484:D484,E484:E484))</f>
        <v>58938.66</v>
      </c>
      <c r="J486" s="621">
        <f>SUM(D485:D485)</f>
        <v>1.2</v>
      </c>
      <c r="K486" s="622">
        <f>(SUMPRODUCT(D485:D485,E485:E485))</f>
        <v>130394.4</v>
      </c>
      <c r="L486" s="623"/>
      <c r="M486" s="624"/>
      <c r="N486" s="625">
        <f>+H486+J486+L486</f>
        <v>1.53</v>
      </c>
      <c r="O486" s="626">
        <f>+I486+K486+M486</f>
        <v>189333.06</v>
      </c>
      <c r="P486" s="627"/>
      <c r="Q486" s="628"/>
    </row>
    <row r="487" spans="1:17" x14ac:dyDescent="0.4">
      <c r="A487" s="601" t="s">
        <v>356</v>
      </c>
      <c r="B487" s="601" t="s">
        <v>450</v>
      </c>
      <c r="C487" s="602"/>
      <c r="D487" s="469"/>
      <c r="E487" s="536"/>
      <c r="F487" s="603"/>
      <c r="G487" s="604"/>
      <c r="H487" s="605"/>
      <c r="I487" s="606"/>
      <c r="J487" s="607"/>
      <c r="K487" s="608"/>
      <c r="L487" s="609"/>
      <c r="M487" s="610"/>
      <c r="N487" s="611"/>
      <c r="O487" s="612"/>
      <c r="P487" s="613"/>
      <c r="Q487" s="614"/>
    </row>
    <row r="488" spans="1:17" x14ac:dyDescent="0.4">
      <c r="A488" s="601"/>
      <c r="B488" s="601" t="s">
        <v>333</v>
      </c>
      <c r="C488" s="602" t="s">
        <v>113</v>
      </c>
      <c r="D488" s="469">
        <v>0.17</v>
      </c>
      <c r="E488" s="536">
        <v>185141</v>
      </c>
      <c r="F488" s="603"/>
      <c r="G488" s="604"/>
      <c r="H488" s="605"/>
      <c r="I488" s="606"/>
      <c r="J488" s="607"/>
      <c r="K488" s="608"/>
      <c r="L488" s="609"/>
      <c r="M488" s="610"/>
      <c r="N488" s="611"/>
      <c r="O488" s="612"/>
      <c r="P488" s="613"/>
      <c r="Q488" s="614"/>
    </row>
    <row r="489" spans="1:17" x14ac:dyDescent="0.4">
      <c r="A489" s="601"/>
      <c r="B489" s="601" t="s">
        <v>338</v>
      </c>
      <c r="C489" s="602" t="s">
        <v>114</v>
      </c>
      <c r="D489" s="469">
        <v>2.52</v>
      </c>
      <c r="E489" s="536">
        <v>147440</v>
      </c>
      <c r="F489" s="603"/>
      <c r="G489" s="604"/>
      <c r="H489" s="605"/>
      <c r="I489" s="606"/>
      <c r="J489" s="607"/>
      <c r="K489" s="608"/>
      <c r="L489" s="609"/>
      <c r="M489" s="610"/>
      <c r="N489" s="611"/>
      <c r="O489" s="612"/>
      <c r="P489" s="613"/>
      <c r="Q489" s="614"/>
    </row>
    <row r="490" spans="1:17" x14ac:dyDescent="0.4">
      <c r="A490" s="601"/>
      <c r="B490" s="601" t="s">
        <v>339</v>
      </c>
      <c r="C490" s="602" t="s">
        <v>407</v>
      </c>
      <c r="D490" s="469">
        <v>2.79</v>
      </c>
      <c r="E490" s="536">
        <v>109852</v>
      </c>
      <c r="F490" s="631"/>
      <c r="G490" s="618"/>
      <c r="H490" s="605"/>
      <c r="I490" s="620"/>
      <c r="J490" s="607"/>
      <c r="K490" s="622"/>
      <c r="L490" s="609"/>
      <c r="M490" s="624"/>
      <c r="N490" s="611"/>
      <c r="O490" s="626"/>
      <c r="P490" s="613"/>
      <c r="Q490" s="628"/>
    </row>
    <row r="491" spans="1:17" x14ac:dyDescent="0.4">
      <c r="A491" s="601"/>
      <c r="B491" s="601" t="s">
        <v>340</v>
      </c>
      <c r="C491" s="602" t="s">
        <v>115</v>
      </c>
      <c r="D491" s="469">
        <v>1.69</v>
      </c>
      <c r="E491" s="536">
        <v>94843</v>
      </c>
      <c r="F491" s="631"/>
      <c r="G491" s="618"/>
      <c r="H491" s="605"/>
      <c r="I491" s="620"/>
      <c r="J491" s="607"/>
      <c r="K491" s="622"/>
      <c r="L491" s="609"/>
      <c r="M491" s="624"/>
      <c r="N491" s="611"/>
      <c r="O491" s="626"/>
      <c r="P491" s="613"/>
      <c r="Q491" s="628"/>
    </row>
    <row r="492" spans="1:17" x14ac:dyDescent="0.4">
      <c r="A492" s="601"/>
      <c r="B492" s="601" t="s">
        <v>341</v>
      </c>
      <c r="C492" s="602" t="s">
        <v>116</v>
      </c>
      <c r="D492" s="469">
        <v>2.31</v>
      </c>
      <c r="E492" s="536">
        <v>102709</v>
      </c>
      <c r="F492" s="631"/>
      <c r="G492" s="618"/>
      <c r="H492" s="605"/>
      <c r="I492" s="620"/>
      <c r="J492" s="607"/>
      <c r="K492" s="622"/>
      <c r="L492" s="609"/>
      <c r="M492" s="624"/>
      <c r="N492" s="611"/>
      <c r="O492" s="626"/>
      <c r="P492" s="613"/>
      <c r="Q492" s="628"/>
    </row>
    <row r="493" spans="1:17" x14ac:dyDescent="0.4">
      <c r="A493" s="601"/>
      <c r="B493" s="601" t="s">
        <v>408</v>
      </c>
      <c r="C493" s="602" t="s">
        <v>409</v>
      </c>
      <c r="D493" s="469">
        <v>1.1000000000000001</v>
      </c>
      <c r="E493" s="536">
        <v>109723</v>
      </c>
      <c r="F493" s="603"/>
      <c r="G493" s="604"/>
      <c r="H493" s="605"/>
      <c r="I493" s="606"/>
      <c r="J493" s="607"/>
      <c r="K493" s="608"/>
      <c r="L493" s="609"/>
      <c r="M493" s="610"/>
      <c r="N493" s="611"/>
      <c r="O493" s="612"/>
      <c r="P493" s="613"/>
      <c r="Q493" s="614"/>
    </row>
    <row r="494" spans="1:17" x14ac:dyDescent="0.4">
      <c r="A494" s="601"/>
      <c r="B494" s="601" t="s">
        <v>342</v>
      </c>
      <c r="C494" s="602" t="s">
        <v>117</v>
      </c>
      <c r="D494" s="469">
        <v>50.83</v>
      </c>
      <c r="E494" s="536">
        <v>114164</v>
      </c>
      <c r="F494" s="631"/>
      <c r="G494" s="618"/>
      <c r="H494" s="605"/>
      <c r="I494" s="620"/>
      <c r="J494" s="607"/>
      <c r="K494" s="622"/>
      <c r="L494" s="609"/>
      <c r="M494" s="624"/>
      <c r="N494" s="611"/>
      <c r="O494" s="626"/>
      <c r="P494" s="613"/>
      <c r="Q494" s="628"/>
    </row>
    <row r="495" spans="1:17" x14ac:dyDescent="0.4">
      <c r="A495" s="601"/>
      <c r="B495" s="601" t="s">
        <v>344</v>
      </c>
      <c r="C495" s="602" t="s">
        <v>122</v>
      </c>
      <c r="D495" s="469">
        <v>1</v>
      </c>
      <c r="E495" s="536">
        <v>72070</v>
      </c>
      <c r="F495" s="631"/>
      <c r="G495" s="618"/>
      <c r="H495" s="605"/>
      <c r="I495" s="620"/>
      <c r="J495" s="607"/>
      <c r="K495" s="622"/>
      <c r="L495" s="609"/>
      <c r="M495" s="624"/>
      <c r="N495" s="611"/>
      <c r="O495" s="626"/>
      <c r="P495" s="613"/>
      <c r="Q495" s="628"/>
    </row>
    <row r="496" spans="1:17" x14ac:dyDescent="0.4">
      <c r="A496" s="601"/>
      <c r="B496" s="601" t="s">
        <v>358</v>
      </c>
      <c r="C496" s="602" t="s">
        <v>89</v>
      </c>
      <c r="D496" s="469">
        <v>13.42</v>
      </c>
      <c r="E496" s="536">
        <v>62005</v>
      </c>
      <c r="F496" s="631"/>
      <c r="G496" s="618"/>
      <c r="H496" s="605"/>
      <c r="I496" s="620"/>
      <c r="J496" s="607"/>
      <c r="K496" s="622"/>
      <c r="L496" s="609"/>
      <c r="M496" s="624"/>
      <c r="N496" s="611"/>
      <c r="O496" s="626"/>
      <c r="P496" s="613"/>
      <c r="Q496" s="628"/>
    </row>
    <row r="497" spans="1:17" x14ac:dyDescent="0.4">
      <c r="A497" s="601"/>
      <c r="B497" s="601" t="s">
        <v>361</v>
      </c>
      <c r="C497" s="602" t="s">
        <v>92</v>
      </c>
      <c r="D497" s="469">
        <v>1.31</v>
      </c>
      <c r="E497" s="536">
        <v>60643</v>
      </c>
      <c r="F497" s="631"/>
      <c r="G497" s="618"/>
      <c r="H497" s="605"/>
      <c r="I497" s="620"/>
      <c r="J497" s="607"/>
      <c r="K497" s="622"/>
      <c r="L497" s="609"/>
      <c r="M497" s="624"/>
      <c r="N497" s="611"/>
      <c r="O497" s="626"/>
      <c r="P497" s="613"/>
      <c r="Q497" s="628"/>
    </row>
    <row r="498" spans="1:17" x14ac:dyDescent="0.4">
      <c r="A498" s="601"/>
      <c r="B498" s="601" t="s">
        <v>363</v>
      </c>
      <c r="C498" s="602" t="s">
        <v>94</v>
      </c>
      <c r="D498" s="469">
        <v>4.01</v>
      </c>
      <c r="E498" s="536">
        <v>79337</v>
      </c>
      <c r="F498" s="631"/>
      <c r="G498" s="618"/>
      <c r="H498" s="605"/>
      <c r="I498" s="620"/>
      <c r="J498" s="607"/>
      <c r="K498" s="622"/>
      <c r="L498" s="609"/>
      <c r="M498" s="624"/>
      <c r="N498" s="611"/>
      <c r="O498" s="626"/>
      <c r="P498" s="613"/>
      <c r="Q498" s="628"/>
    </row>
    <row r="499" spans="1:17" x14ac:dyDescent="0.4">
      <c r="A499" s="601"/>
      <c r="B499" s="601" t="s">
        <v>365</v>
      </c>
      <c r="C499" s="602" t="s">
        <v>96</v>
      </c>
      <c r="D499" s="469">
        <v>0.05</v>
      </c>
      <c r="E499" s="536">
        <v>105020</v>
      </c>
      <c r="F499" s="631"/>
      <c r="G499" s="618"/>
      <c r="H499" s="605"/>
      <c r="I499" s="620"/>
      <c r="J499" s="607"/>
      <c r="K499" s="622"/>
      <c r="L499" s="609"/>
      <c r="M499" s="624"/>
      <c r="N499" s="611"/>
      <c r="O499" s="626"/>
      <c r="P499" s="613"/>
      <c r="Q499" s="628"/>
    </row>
    <row r="500" spans="1:17" x14ac:dyDescent="0.4">
      <c r="A500" s="557"/>
      <c r="B500" s="557"/>
      <c r="C500" s="557"/>
      <c r="D500" s="615"/>
      <c r="E500" s="562"/>
      <c r="F500" s="617">
        <f>SUM(D488:D495)</f>
        <v>62.41</v>
      </c>
      <c r="G500" s="618">
        <f>(SUMPRODUCT(D488:D495,E488:E495))</f>
        <v>7102773.7300000004</v>
      </c>
      <c r="H500" s="619">
        <f>SUM(D488:D489)</f>
        <v>2.69</v>
      </c>
      <c r="I500" s="620">
        <f>(SUMPRODUCT(D488:D489,E488:E489))</f>
        <v>403022.77</v>
      </c>
      <c r="J500" s="621">
        <f>SUM(D490:D495)</f>
        <v>59.72</v>
      </c>
      <c r="K500" s="622">
        <f>(SUMPRODUCT(D490:D495,E490:E495))</f>
        <v>6699750.96</v>
      </c>
      <c r="L500" s="623"/>
      <c r="M500" s="624"/>
      <c r="N500" s="625">
        <f>+H500+J500+L500</f>
        <v>62.41</v>
      </c>
      <c r="O500" s="626">
        <f>+I500+K500+M500</f>
        <v>7102773.7300000004</v>
      </c>
      <c r="P500" s="627">
        <f>SUM(D496:D499)</f>
        <v>18.790000000000003</v>
      </c>
      <c r="Q500" s="628">
        <f>(SUMPRODUCT(D496:D499,E496:E499))</f>
        <v>1234941.7999999998</v>
      </c>
    </row>
    <row r="501" spans="1:17" x14ac:dyDescent="0.4">
      <c r="A501" s="601" t="s">
        <v>451</v>
      </c>
      <c r="B501" s="601" t="s">
        <v>261</v>
      </c>
      <c r="C501" s="602"/>
      <c r="D501" s="469"/>
      <c r="E501" s="536"/>
      <c r="F501" s="603"/>
      <c r="G501" s="604"/>
      <c r="H501" s="605"/>
      <c r="I501" s="606"/>
      <c r="J501" s="607"/>
      <c r="K501" s="608"/>
      <c r="L501" s="609"/>
      <c r="M501" s="610"/>
      <c r="N501" s="611"/>
      <c r="O501" s="612"/>
      <c r="P501" s="613"/>
      <c r="Q501" s="614"/>
    </row>
    <row r="502" spans="1:17" x14ac:dyDescent="0.4">
      <c r="A502" s="601"/>
      <c r="B502" s="601" t="s">
        <v>331</v>
      </c>
      <c r="C502" s="602" t="s">
        <v>136</v>
      </c>
      <c r="D502" s="469">
        <v>0.05</v>
      </c>
      <c r="E502" s="536">
        <v>120640</v>
      </c>
      <c r="F502" s="603"/>
      <c r="G502" s="604"/>
      <c r="H502" s="605"/>
      <c r="I502" s="606"/>
      <c r="J502" s="607"/>
      <c r="K502" s="608"/>
      <c r="L502" s="609"/>
      <c r="M502" s="610"/>
      <c r="N502" s="611"/>
      <c r="O502" s="612"/>
      <c r="P502" s="613"/>
      <c r="Q502" s="614"/>
    </row>
    <row r="503" spans="1:17" x14ac:dyDescent="0.4">
      <c r="A503" s="601"/>
      <c r="B503" s="601" t="s">
        <v>332</v>
      </c>
      <c r="C503" s="602" t="s">
        <v>112</v>
      </c>
      <c r="D503" s="469">
        <v>0.75</v>
      </c>
      <c r="E503" s="536">
        <v>159309</v>
      </c>
      <c r="F503" s="603"/>
      <c r="G503" s="604"/>
      <c r="H503" s="605"/>
      <c r="I503" s="606"/>
      <c r="J503" s="607"/>
      <c r="K503" s="608"/>
      <c r="L503" s="609"/>
      <c r="M503" s="610"/>
      <c r="N503" s="611"/>
      <c r="O503" s="612"/>
      <c r="P503" s="613"/>
      <c r="Q503" s="614"/>
    </row>
    <row r="504" spans="1:17" x14ac:dyDescent="0.4">
      <c r="A504" s="601"/>
      <c r="B504" s="601" t="s">
        <v>333</v>
      </c>
      <c r="C504" s="602" t="s">
        <v>113</v>
      </c>
      <c r="D504" s="469">
        <v>30.83</v>
      </c>
      <c r="E504" s="536">
        <v>167591</v>
      </c>
      <c r="F504" s="603"/>
      <c r="G504" s="604"/>
      <c r="H504" s="605"/>
      <c r="I504" s="606"/>
      <c r="J504" s="607"/>
      <c r="K504" s="608"/>
      <c r="L504" s="609"/>
      <c r="M504" s="610"/>
      <c r="N504" s="611"/>
      <c r="O504" s="612"/>
      <c r="P504" s="613"/>
      <c r="Q504" s="614"/>
    </row>
    <row r="505" spans="1:17" x14ac:dyDescent="0.4">
      <c r="A505" s="601"/>
      <c r="B505" s="601" t="s">
        <v>336</v>
      </c>
      <c r="C505" s="602" t="s">
        <v>121</v>
      </c>
      <c r="D505" s="469">
        <v>0.05</v>
      </c>
      <c r="E505" s="536">
        <v>100820</v>
      </c>
      <c r="F505" s="603"/>
      <c r="G505" s="604"/>
      <c r="H505" s="605"/>
      <c r="I505" s="606"/>
      <c r="J505" s="607"/>
      <c r="K505" s="608"/>
      <c r="L505" s="609"/>
      <c r="M505" s="610"/>
      <c r="N505" s="611"/>
      <c r="O505" s="612"/>
      <c r="P505" s="613"/>
      <c r="Q505" s="614"/>
    </row>
    <row r="506" spans="1:17" x14ac:dyDescent="0.4">
      <c r="A506" s="601"/>
      <c r="B506" s="601" t="s">
        <v>338</v>
      </c>
      <c r="C506" s="602" t="s">
        <v>114</v>
      </c>
      <c r="D506" s="469">
        <v>2.71</v>
      </c>
      <c r="E506" s="536">
        <v>152557</v>
      </c>
      <c r="F506" s="603"/>
      <c r="G506" s="604"/>
      <c r="H506" s="605"/>
      <c r="I506" s="606"/>
      <c r="J506" s="607"/>
      <c r="K506" s="608"/>
      <c r="L506" s="609"/>
      <c r="M506" s="610"/>
      <c r="N506" s="611"/>
      <c r="O506" s="612"/>
      <c r="P506" s="613"/>
      <c r="Q506" s="614"/>
    </row>
    <row r="507" spans="1:17" x14ac:dyDescent="0.4">
      <c r="A507" s="601"/>
      <c r="B507" s="601" t="s">
        <v>339</v>
      </c>
      <c r="C507" s="602" t="s">
        <v>407</v>
      </c>
      <c r="D507" s="469">
        <v>103</v>
      </c>
      <c r="E507" s="536">
        <v>97691</v>
      </c>
      <c r="F507" s="603"/>
      <c r="G507" s="604"/>
      <c r="H507" s="605"/>
      <c r="I507" s="606"/>
      <c r="J507" s="607"/>
      <c r="K507" s="608"/>
      <c r="L507" s="609"/>
      <c r="M507" s="610"/>
      <c r="N507" s="611"/>
      <c r="O507" s="612"/>
      <c r="P507" s="613"/>
      <c r="Q507" s="614"/>
    </row>
    <row r="508" spans="1:17" x14ac:dyDescent="0.4">
      <c r="A508" s="601"/>
      <c r="B508" s="601" t="s">
        <v>340</v>
      </c>
      <c r="C508" s="602" t="s">
        <v>115</v>
      </c>
      <c r="D508" s="469">
        <v>217.3</v>
      </c>
      <c r="E508" s="536">
        <v>94214</v>
      </c>
      <c r="F508" s="603"/>
      <c r="G508" s="604"/>
      <c r="H508" s="605"/>
      <c r="I508" s="606"/>
      <c r="J508" s="607"/>
      <c r="K508" s="608"/>
      <c r="L508" s="609"/>
      <c r="M508" s="610"/>
      <c r="N508" s="611"/>
      <c r="O508" s="612"/>
      <c r="P508" s="613"/>
      <c r="Q508" s="614"/>
    </row>
    <row r="509" spans="1:17" x14ac:dyDescent="0.4">
      <c r="A509" s="601"/>
      <c r="B509" s="601" t="s">
        <v>341</v>
      </c>
      <c r="C509" s="602" t="s">
        <v>116</v>
      </c>
      <c r="D509" s="469">
        <v>692.89</v>
      </c>
      <c r="E509" s="536">
        <v>100111</v>
      </c>
      <c r="F509" s="603"/>
      <c r="G509" s="604"/>
      <c r="H509" s="605"/>
      <c r="I509" s="606"/>
      <c r="J509" s="607"/>
      <c r="K509" s="608"/>
      <c r="L509" s="609"/>
      <c r="M509" s="610"/>
      <c r="N509" s="611"/>
      <c r="O509" s="612"/>
      <c r="P509" s="613"/>
      <c r="Q509" s="614"/>
    </row>
    <row r="510" spans="1:17" x14ac:dyDescent="0.4">
      <c r="A510" s="601"/>
      <c r="B510" s="601" t="s">
        <v>408</v>
      </c>
      <c r="C510" s="602" t="s">
        <v>409</v>
      </c>
      <c r="D510" s="469">
        <v>140</v>
      </c>
      <c r="E510" s="536">
        <v>97385</v>
      </c>
      <c r="F510" s="603"/>
      <c r="G510" s="604"/>
      <c r="H510" s="605"/>
      <c r="I510" s="606"/>
      <c r="J510" s="607"/>
      <c r="K510" s="608"/>
      <c r="L510" s="609"/>
      <c r="M510" s="610"/>
      <c r="N510" s="611"/>
      <c r="O510" s="612"/>
      <c r="P510" s="613"/>
      <c r="Q510" s="614"/>
    </row>
    <row r="511" spans="1:17" x14ac:dyDescent="0.4">
      <c r="A511" s="601"/>
      <c r="B511" s="601" t="s">
        <v>342</v>
      </c>
      <c r="C511" s="602" t="s">
        <v>117</v>
      </c>
      <c r="D511" s="469">
        <v>119.49</v>
      </c>
      <c r="E511" s="536">
        <v>103009</v>
      </c>
      <c r="F511" s="603"/>
      <c r="G511" s="604"/>
      <c r="H511" s="605"/>
      <c r="I511" s="606"/>
      <c r="J511" s="607"/>
      <c r="K511" s="608"/>
      <c r="L511" s="609"/>
      <c r="M511" s="610"/>
      <c r="N511" s="611"/>
      <c r="O511" s="612"/>
      <c r="P511" s="613"/>
      <c r="Q511" s="614"/>
    </row>
    <row r="512" spans="1:17" x14ac:dyDescent="0.4">
      <c r="A512" s="601"/>
      <c r="B512" s="601" t="s">
        <v>344</v>
      </c>
      <c r="C512" s="602" t="s">
        <v>122</v>
      </c>
      <c r="D512" s="469">
        <v>3</v>
      </c>
      <c r="E512" s="536">
        <v>91849</v>
      </c>
      <c r="F512" s="603"/>
      <c r="G512" s="604"/>
      <c r="H512" s="605"/>
      <c r="I512" s="606"/>
      <c r="J512" s="607"/>
      <c r="K512" s="608"/>
      <c r="L512" s="609"/>
      <c r="M512" s="610"/>
      <c r="N512" s="611"/>
      <c r="O512" s="612"/>
      <c r="P512" s="613"/>
      <c r="Q512" s="614"/>
    </row>
    <row r="513" spans="1:17" x14ac:dyDescent="0.4">
      <c r="A513" s="601"/>
      <c r="B513" s="601" t="s">
        <v>353</v>
      </c>
      <c r="C513" s="602" t="s">
        <v>119</v>
      </c>
      <c r="D513" s="469">
        <v>5.47</v>
      </c>
      <c r="E513" s="536">
        <v>95951</v>
      </c>
      <c r="F513" s="603"/>
      <c r="G513" s="604"/>
      <c r="H513" s="605"/>
      <c r="I513" s="606"/>
      <c r="J513" s="607"/>
      <c r="K513" s="608"/>
      <c r="L513" s="609"/>
      <c r="M513" s="610"/>
      <c r="N513" s="611"/>
      <c r="O513" s="612"/>
      <c r="P513" s="613"/>
      <c r="Q513" s="614"/>
    </row>
    <row r="514" spans="1:17" x14ac:dyDescent="0.4">
      <c r="A514" s="601"/>
      <c r="B514" s="601" t="s">
        <v>355</v>
      </c>
      <c r="C514" s="602" t="s">
        <v>169</v>
      </c>
      <c r="D514" s="469">
        <v>2</v>
      </c>
      <c r="E514" s="536">
        <v>76958</v>
      </c>
      <c r="F514" s="603"/>
      <c r="G514" s="604"/>
      <c r="H514" s="605"/>
      <c r="I514" s="606"/>
      <c r="J514" s="607"/>
      <c r="K514" s="608"/>
      <c r="L514" s="609"/>
      <c r="M514" s="610"/>
      <c r="N514" s="611"/>
      <c r="O514" s="612"/>
      <c r="P514" s="613"/>
      <c r="Q514" s="614"/>
    </row>
    <row r="515" spans="1:17" x14ac:dyDescent="0.4">
      <c r="A515" s="601"/>
      <c r="B515" s="601" t="s">
        <v>358</v>
      </c>
      <c r="C515" s="602" t="s">
        <v>89</v>
      </c>
      <c r="D515" s="469">
        <v>761.46</v>
      </c>
      <c r="E515" s="536">
        <v>61490</v>
      </c>
      <c r="F515" s="603"/>
      <c r="G515" s="604"/>
      <c r="H515" s="605"/>
      <c r="I515" s="606"/>
      <c r="J515" s="607"/>
      <c r="K515" s="608"/>
      <c r="L515" s="609"/>
      <c r="M515" s="610"/>
      <c r="N515" s="611"/>
      <c r="O515" s="612"/>
      <c r="P515" s="613"/>
      <c r="Q515" s="614"/>
    </row>
    <row r="516" spans="1:17" x14ac:dyDescent="0.4">
      <c r="A516" s="601"/>
      <c r="B516" s="601" t="s">
        <v>361</v>
      </c>
      <c r="C516" s="602" t="s">
        <v>92</v>
      </c>
      <c r="D516" s="469">
        <v>44.18</v>
      </c>
      <c r="E516" s="536">
        <v>70814</v>
      </c>
      <c r="F516" s="603"/>
      <c r="G516" s="604"/>
      <c r="H516" s="605"/>
      <c r="I516" s="606"/>
      <c r="J516" s="607"/>
      <c r="K516" s="608"/>
      <c r="L516" s="609"/>
      <c r="M516" s="610"/>
      <c r="N516" s="611"/>
      <c r="O516" s="612"/>
      <c r="P516" s="613"/>
      <c r="Q516" s="614"/>
    </row>
    <row r="517" spans="1:17" x14ac:dyDescent="0.4">
      <c r="A517" s="601"/>
      <c r="B517" s="601" t="s">
        <v>363</v>
      </c>
      <c r="C517" s="602" t="s">
        <v>94</v>
      </c>
      <c r="D517" s="469">
        <v>25.5</v>
      </c>
      <c r="E517" s="536">
        <v>63449</v>
      </c>
      <c r="F517" s="603"/>
      <c r="G517" s="604"/>
      <c r="H517" s="605"/>
      <c r="I517" s="606"/>
      <c r="J517" s="607"/>
      <c r="K517" s="608"/>
      <c r="L517" s="609"/>
      <c r="M517" s="610"/>
      <c r="N517" s="611"/>
      <c r="O517" s="612"/>
      <c r="P517" s="613"/>
      <c r="Q517" s="614"/>
    </row>
    <row r="518" spans="1:17" x14ac:dyDescent="0.4">
      <c r="A518" s="601"/>
      <c r="B518" s="601" t="s">
        <v>365</v>
      </c>
      <c r="C518" s="602" t="s">
        <v>96</v>
      </c>
      <c r="D518" s="469">
        <v>6.29</v>
      </c>
      <c r="E518" s="536">
        <v>79680</v>
      </c>
      <c r="F518" s="603"/>
      <c r="G518" s="604"/>
      <c r="H518" s="605"/>
      <c r="I518" s="606"/>
      <c r="J518" s="607"/>
      <c r="K518" s="608"/>
      <c r="L518" s="609"/>
      <c r="M518" s="610"/>
      <c r="N518" s="611"/>
      <c r="O518" s="612"/>
      <c r="P518" s="613"/>
      <c r="Q518" s="614"/>
    </row>
    <row r="519" spans="1:17" x14ac:dyDescent="0.4">
      <c r="A519" s="557"/>
      <c r="B519" s="601" t="s">
        <v>366</v>
      </c>
      <c r="C519" s="602" t="s">
        <v>88</v>
      </c>
      <c r="D519" s="469">
        <v>2.0299999999999998</v>
      </c>
      <c r="E519" s="536">
        <v>121703</v>
      </c>
      <c r="F519" s="603"/>
      <c r="G519" s="604"/>
      <c r="H519" s="605"/>
      <c r="I519" s="606"/>
      <c r="J519" s="607"/>
      <c r="K519" s="608"/>
      <c r="L519" s="609"/>
      <c r="M519" s="610"/>
      <c r="N519" s="611"/>
      <c r="O519" s="612"/>
      <c r="P519" s="613"/>
      <c r="Q519" s="614"/>
    </row>
    <row r="520" spans="1:17" x14ac:dyDescent="0.4">
      <c r="A520" s="557"/>
      <c r="B520" s="557"/>
      <c r="C520" s="557"/>
      <c r="D520" s="615"/>
      <c r="E520" s="562"/>
      <c r="F520" s="617">
        <f>SUM(D502:D514)</f>
        <v>1317.54</v>
      </c>
      <c r="G520" s="618">
        <f>(SUMPRODUCT(D502:D514,E502:E514))</f>
        <v>132508361.11999999</v>
      </c>
      <c r="H520" s="619">
        <f>SUM(D502:D506)</f>
        <v>34.39</v>
      </c>
      <c r="I520" s="620">
        <f>(SUMPRODUCT(D502:D506,E502:E506))</f>
        <v>5710814.7499999991</v>
      </c>
      <c r="J520" s="621">
        <f>SUM(D507:D512,D514:D514)</f>
        <v>1277.68</v>
      </c>
      <c r="K520" s="622">
        <f>(SUMPRODUCT(D507:D512,E507:E512))+(SUMPRODUCT(D514:D514,E514:E514))</f>
        <v>126272694.39999999</v>
      </c>
      <c r="L520" s="623">
        <f>SUM(D513:D513)</f>
        <v>5.47</v>
      </c>
      <c r="M520" s="624">
        <f>(SUMPRODUCT(D513:D513,E513:E513))</f>
        <v>524851.97</v>
      </c>
      <c r="N520" s="625">
        <f>+H520+J520+L520</f>
        <v>1317.5400000000002</v>
      </c>
      <c r="O520" s="626">
        <f>+I520+K520+M520</f>
        <v>132508361.11999999</v>
      </c>
      <c r="P520" s="627">
        <f>SUM(D515:D519)</f>
        <v>839.45999999999992</v>
      </c>
      <c r="Q520" s="628">
        <f>(SUMPRODUCT(D515:D519,E515:E519))</f>
        <v>52316931.710000016</v>
      </c>
    </row>
    <row r="521" spans="1:17" x14ac:dyDescent="0.4">
      <c r="A521" s="601" t="s">
        <v>452</v>
      </c>
      <c r="B521" s="601" t="s">
        <v>262</v>
      </c>
      <c r="C521" s="602"/>
      <c r="D521" s="469"/>
      <c r="E521" s="536"/>
      <c r="F521" s="603"/>
      <c r="G521" s="604"/>
      <c r="H521" s="605"/>
      <c r="I521" s="606"/>
      <c r="J521" s="607"/>
      <c r="K521" s="608"/>
      <c r="L521" s="609"/>
      <c r="M521" s="610"/>
      <c r="N521" s="611"/>
      <c r="O521" s="612"/>
      <c r="P521" s="613"/>
      <c r="Q521" s="614"/>
    </row>
    <row r="522" spans="1:17" x14ac:dyDescent="0.4">
      <c r="A522" s="601"/>
      <c r="B522" s="601" t="s">
        <v>363</v>
      </c>
      <c r="C522" s="602" t="s">
        <v>94</v>
      </c>
      <c r="D522" s="469">
        <v>0.55000000000000004</v>
      </c>
      <c r="E522" s="536">
        <v>50925</v>
      </c>
      <c r="F522" s="603"/>
      <c r="G522" s="604"/>
      <c r="H522" s="605"/>
      <c r="I522" s="606"/>
      <c r="J522" s="607"/>
      <c r="K522" s="608"/>
      <c r="L522" s="609"/>
      <c r="M522" s="610"/>
      <c r="N522" s="611"/>
      <c r="O522" s="612"/>
      <c r="P522" s="613"/>
      <c r="Q522" s="614"/>
    </row>
    <row r="523" spans="1:17" x14ac:dyDescent="0.4">
      <c r="A523" s="557"/>
      <c r="B523" s="557"/>
      <c r="C523" s="557"/>
      <c r="D523" s="615"/>
      <c r="E523" s="562"/>
      <c r="F523" s="617"/>
      <c r="G523" s="618"/>
      <c r="H523" s="619"/>
      <c r="I523" s="620"/>
      <c r="J523" s="621"/>
      <c r="K523" s="622"/>
      <c r="L523" s="623"/>
      <c r="M523" s="624"/>
      <c r="N523" s="625">
        <f>+H523+J523+L523</f>
        <v>0</v>
      </c>
      <c r="O523" s="626">
        <f>+I523+K523+M523</f>
        <v>0</v>
      </c>
      <c r="P523" s="627">
        <f>SUM(D522:D522)</f>
        <v>0.55000000000000004</v>
      </c>
      <c r="Q523" s="628">
        <f>(SUMPRODUCT(D522:D522,E522:E522))</f>
        <v>28008.750000000004</v>
      </c>
    </row>
    <row r="524" spans="1:17" x14ac:dyDescent="0.4">
      <c r="A524" s="601" t="s">
        <v>453</v>
      </c>
      <c r="B524" s="601" t="s">
        <v>263</v>
      </c>
      <c r="C524" s="602"/>
      <c r="D524" s="469"/>
      <c r="E524" s="536"/>
      <c r="F524" s="603"/>
      <c r="G524" s="604"/>
      <c r="H524" s="605"/>
      <c r="I524" s="606"/>
      <c r="J524" s="607"/>
      <c r="K524" s="608"/>
      <c r="L524" s="609"/>
      <c r="M524" s="610"/>
      <c r="N524" s="611"/>
      <c r="O524" s="612"/>
      <c r="P524" s="613"/>
      <c r="Q524" s="614"/>
    </row>
    <row r="525" spans="1:17" x14ac:dyDescent="0.4">
      <c r="A525" s="601"/>
      <c r="B525" s="601" t="s">
        <v>333</v>
      </c>
      <c r="C525" s="602" t="s">
        <v>113</v>
      </c>
      <c r="D525" s="469">
        <v>1.5</v>
      </c>
      <c r="E525" s="536">
        <v>176204</v>
      </c>
      <c r="F525" s="603"/>
      <c r="G525" s="604"/>
      <c r="H525" s="605"/>
      <c r="I525" s="606"/>
      <c r="J525" s="607"/>
      <c r="K525" s="608"/>
      <c r="L525" s="609"/>
      <c r="M525" s="610"/>
      <c r="N525" s="611"/>
      <c r="O525" s="612"/>
      <c r="P525" s="613"/>
      <c r="Q525" s="614"/>
    </row>
    <row r="526" spans="1:17" x14ac:dyDescent="0.4">
      <c r="A526" s="601"/>
      <c r="B526" s="601" t="s">
        <v>338</v>
      </c>
      <c r="C526" s="602" t="s">
        <v>114</v>
      </c>
      <c r="D526" s="469">
        <v>1.28</v>
      </c>
      <c r="E526" s="536">
        <v>153228</v>
      </c>
      <c r="F526" s="603"/>
      <c r="G526" s="604"/>
      <c r="H526" s="605"/>
      <c r="I526" s="606"/>
      <c r="J526" s="607"/>
      <c r="K526" s="608"/>
      <c r="L526" s="609"/>
      <c r="M526" s="610"/>
      <c r="N526" s="611"/>
      <c r="O526" s="612"/>
      <c r="P526" s="613"/>
      <c r="Q526" s="614"/>
    </row>
    <row r="527" spans="1:17" x14ac:dyDescent="0.4">
      <c r="A527" s="601"/>
      <c r="B527" s="601" t="s">
        <v>339</v>
      </c>
      <c r="C527" s="602" t="s">
        <v>407</v>
      </c>
      <c r="D527" s="469">
        <v>11.56</v>
      </c>
      <c r="E527" s="536">
        <v>67838</v>
      </c>
      <c r="F527" s="603"/>
      <c r="G527" s="604"/>
      <c r="H527" s="605"/>
      <c r="I527" s="606"/>
      <c r="J527" s="607"/>
      <c r="K527" s="608"/>
      <c r="L527" s="609"/>
      <c r="M527" s="610"/>
      <c r="N527" s="611"/>
      <c r="O527" s="612"/>
      <c r="P527" s="613"/>
      <c r="Q527" s="614"/>
    </row>
    <row r="528" spans="1:17" x14ac:dyDescent="0.4">
      <c r="A528" s="601"/>
      <c r="B528" s="601" t="s">
        <v>340</v>
      </c>
      <c r="C528" s="602" t="s">
        <v>115</v>
      </c>
      <c r="D528" s="469">
        <v>11.25</v>
      </c>
      <c r="E528" s="536">
        <v>83900</v>
      </c>
      <c r="F528" s="603"/>
      <c r="G528" s="604"/>
      <c r="H528" s="605"/>
      <c r="I528" s="606"/>
      <c r="J528" s="607"/>
      <c r="K528" s="608"/>
      <c r="L528" s="609"/>
      <c r="M528" s="610"/>
      <c r="N528" s="611"/>
      <c r="O528" s="612"/>
      <c r="P528" s="613"/>
      <c r="Q528" s="614"/>
    </row>
    <row r="529" spans="1:17" x14ac:dyDescent="0.4">
      <c r="A529" s="601"/>
      <c r="B529" s="601" t="s">
        <v>341</v>
      </c>
      <c r="C529" s="601" t="s">
        <v>116</v>
      </c>
      <c r="D529" s="469">
        <v>6.09</v>
      </c>
      <c r="E529" s="536">
        <v>108301</v>
      </c>
      <c r="F529" s="603"/>
      <c r="G529" s="604"/>
      <c r="H529" s="605"/>
      <c r="I529" s="606"/>
      <c r="J529" s="607"/>
      <c r="K529" s="608"/>
      <c r="L529" s="609"/>
      <c r="M529" s="610"/>
      <c r="N529" s="611"/>
      <c r="O529" s="612"/>
      <c r="P529" s="613"/>
      <c r="Q529" s="614"/>
    </row>
    <row r="530" spans="1:17" x14ac:dyDescent="0.4">
      <c r="A530" s="601"/>
      <c r="B530" s="601" t="s">
        <v>408</v>
      </c>
      <c r="C530" s="601" t="s">
        <v>409</v>
      </c>
      <c r="D530" s="469">
        <v>0.32</v>
      </c>
      <c r="E530" s="536">
        <v>92028</v>
      </c>
      <c r="F530" s="603"/>
      <c r="G530" s="604"/>
      <c r="H530" s="605"/>
      <c r="I530" s="606"/>
      <c r="J530" s="607"/>
      <c r="K530" s="608"/>
      <c r="L530" s="609"/>
      <c r="M530" s="610"/>
      <c r="N530" s="611"/>
      <c r="O530" s="612"/>
      <c r="P530" s="613"/>
      <c r="Q530" s="614"/>
    </row>
    <row r="531" spans="1:17" x14ac:dyDescent="0.4">
      <c r="A531" s="601"/>
      <c r="B531" s="601" t="s">
        <v>342</v>
      </c>
      <c r="C531" s="653" t="s">
        <v>117</v>
      </c>
      <c r="D531" s="469">
        <v>2.33</v>
      </c>
      <c r="E531" s="536">
        <v>90119</v>
      </c>
      <c r="F531" s="631"/>
      <c r="G531" s="618"/>
      <c r="H531" s="605"/>
      <c r="I531" s="620"/>
      <c r="J531" s="607"/>
      <c r="K531" s="622"/>
      <c r="L531" s="609"/>
      <c r="M531" s="624"/>
      <c r="N531" s="611"/>
      <c r="O531" s="626"/>
      <c r="P531" s="613"/>
      <c r="Q531" s="628"/>
    </row>
    <row r="532" spans="1:17" x14ac:dyDescent="0.4">
      <c r="A532" s="601"/>
      <c r="B532" s="601" t="s">
        <v>344</v>
      </c>
      <c r="C532" s="653" t="s">
        <v>122</v>
      </c>
      <c r="D532" s="469">
        <v>0.57999999999999996</v>
      </c>
      <c r="E532" s="536">
        <v>92066</v>
      </c>
      <c r="F532" s="631"/>
      <c r="G532" s="618"/>
      <c r="H532" s="605"/>
      <c r="I532" s="620"/>
      <c r="J532" s="607"/>
      <c r="K532" s="622"/>
      <c r="L532" s="609"/>
      <c r="M532" s="624"/>
      <c r="N532" s="611"/>
      <c r="O532" s="626"/>
      <c r="P532" s="613"/>
      <c r="Q532" s="628"/>
    </row>
    <row r="533" spans="1:17" x14ac:dyDescent="0.4">
      <c r="A533" s="601"/>
      <c r="B533" s="601" t="s">
        <v>345</v>
      </c>
      <c r="C533" s="653" t="s">
        <v>123</v>
      </c>
      <c r="D533" s="469">
        <v>0.98</v>
      </c>
      <c r="E533" s="536">
        <v>122820</v>
      </c>
      <c r="F533" s="631"/>
      <c r="G533" s="618"/>
      <c r="H533" s="605"/>
      <c r="I533" s="620"/>
      <c r="J533" s="607"/>
      <c r="K533" s="622"/>
      <c r="L533" s="609"/>
      <c r="M533" s="624"/>
      <c r="N533" s="611"/>
      <c r="O533" s="626"/>
      <c r="P533" s="613"/>
      <c r="Q533" s="628"/>
    </row>
    <row r="534" spans="1:17" x14ac:dyDescent="0.4">
      <c r="A534" s="601"/>
      <c r="B534" s="601" t="s">
        <v>346</v>
      </c>
      <c r="C534" s="653" t="s">
        <v>124</v>
      </c>
      <c r="D534" s="469">
        <v>0.98</v>
      </c>
      <c r="E534" s="536">
        <v>88752</v>
      </c>
      <c r="F534" s="631"/>
      <c r="G534" s="618"/>
      <c r="H534" s="605"/>
      <c r="I534" s="620"/>
      <c r="J534" s="607"/>
      <c r="K534" s="622"/>
      <c r="L534" s="609"/>
      <c r="M534" s="624"/>
      <c r="N534" s="611"/>
      <c r="O534" s="626"/>
      <c r="P534" s="613"/>
      <c r="Q534" s="628"/>
    </row>
    <row r="535" spans="1:17" x14ac:dyDescent="0.4">
      <c r="A535" s="601"/>
      <c r="B535" s="601" t="s">
        <v>348</v>
      </c>
      <c r="C535" s="653" t="s">
        <v>125</v>
      </c>
      <c r="D535" s="469">
        <v>0.98</v>
      </c>
      <c r="E535" s="536">
        <v>120210</v>
      </c>
      <c r="F535" s="631"/>
      <c r="G535" s="618"/>
      <c r="H535" s="605"/>
      <c r="I535" s="620"/>
      <c r="J535" s="607"/>
      <c r="K535" s="622"/>
      <c r="L535" s="609"/>
      <c r="M535" s="624"/>
      <c r="N535" s="611"/>
      <c r="O535" s="626"/>
      <c r="P535" s="613"/>
      <c r="Q535" s="628"/>
    </row>
    <row r="536" spans="1:17" x14ac:dyDescent="0.4">
      <c r="A536" s="601"/>
      <c r="B536" s="601" t="s">
        <v>353</v>
      </c>
      <c r="C536" s="601" t="s">
        <v>119</v>
      </c>
      <c r="D536" s="469">
        <v>0.3</v>
      </c>
      <c r="E536" s="536">
        <v>99880</v>
      </c>
      <c r="F536" s="631"/>
      <c r="G536" s="618"/>
      <c r="H536" s="605"/>
      <c r="I536" s="620"/>
      <c r="J536" s="607"/>
      <c r="K536" s="622"/>
      <c r="L536" s="609"/>
      <c r="M536" s="624"/>
      <c r="N536" s="611"/>
      <c r="O536" s="626"/>
      <c r="P536" s="613"/>
      <c r="Q536" s="628"/>
    </row>
    <row r="537" spans="1:17" x14ac:dyDescent="0.4">
      <c r="A537" s="601"/>
      <c r="B537" s="601" t="s">
        <v>358</v>
      </c>
      <c r="C537" s="653" t="s">
        <v>89</v>
      </c>
      <c r="D537" s="469">
        <v>23.74</v>
      </c>
      <c r="E537" s="536">
        <v>55174</v>
      </c>
      <c r="F537" s="631"/>
      <c r="G537" s="618"/>
      <c r="H537" s="605"/>
      <c r="I537" s="620"/>
      <c r="J537" s="607"/>
      <c r="K537" s="622"/>
      <c r="L537" s="609"/>
      <c r="M537" s="624"/>
      <c r="N537" s="611"/>
      <c r="O537" s="612"/>
      <c r="P537" s="613"/>
      <c r="Q537" s="614"/>
    </row>
    <row r="538" spans="1:17" x14ac:dyDescent="0.4">
      <c r="A538" s="601"/>
      <c r="B538" s="601" t="s">
        <v>361</v>
      </c>
      <c r="C538" s="653" t="s">
        <v>92</v>
      </c>
      <c r="D538" s="469">
        <v>3.55</v>
      </c>
      <c r="E538" s="536">
        <v>66839</v>
      </c>
      <c r="F538" s="631"/>
      <c r="G538" s="618"/>
      <c r="H538" s="605"/>
      <c r="I538" s="620"/>
      <c r="J538" s="607"/>
      <c r="K538" s="622"/>
      <c r="L538" s="609"/>
      <c r="M538" s="624"/>
      <c r="N538" s="611"/>
      <c r="O538" s="626"/>
      <c r="P538" s="613"/>
      <c r="Q538" s="628"/>
    </row>
    <row r="539" spans="1:17" x14ac:dyDescent="0.4">
      <c r="A539" s="601"/>
      <c r="B539" s="601" t="s">
        <v>363</v>
      </c>
      <c r="C539" s="601" t="s">
        <v>94</v>
      </c>
      <c r="D539" s="469">
        <v>8.6999999999999993</v>
      </c>
      <c r="E539" s="536">
        <v>90218</v>
      </c>
      <c r="F539" s="631"/>
      <c r="G539" s="618"/>
      <c r="H539" s="605"/>
      <c r="I539" s="620"/>
      <c r="J539" s="607"/>
      <c r="K539" s="622"/>
      <c r="L539" s="609"/>
      <c r="M539" s="624"/>
      <c r="N539" s="611"/>
      <c r="O539" s="612"/>
      <c r="P539" s="613"/>
      <c r="Q539" s="614"/>
    </row>
    <row r="540" spans="1:17" x14ac:dyDescent="0.4">
      <c r="A540" s="601"/>
      <c r="B540" s="601" t="s">
        <v>365</v>
      </c>
      <c r="C540" s="653" t="s">
        <v>96</v>
      </c>
      <c r="D540" s="469">
        <v>1.56</v>
      </c>
      <c r="E540" s="536">
        <v>88654</v>
      </c>
      <c r="F540" s="631"/>
      <c r="G540" s="618"/>
      <c r="H540" s="605"/>
      <c r="I540" s="620"/>
      <c r="J540" s="607"/>
      <c r="K540" s="622"/>
      <c r="L540" s="609"/>
      <c r="M540" s="624"/>
      <c r="N540" s="611"/>
      <c r="O540" s="626"/>
      <c r="P540" s="613"/>
      <c r="Q540" s="628"/>
    </row>
    <row r="541" spans="1:17" x14ac:dyDescent="0.4">
      <c r="A541" s="601"/>
      <c r="B541" s="601" t="s">
        <v>366</v>
      </c>
      <c r="C541" s="653" t="s">
        <v>88</v>
      </c>
      <c r="D541" s="469">
        <v>3.33</v>
      </c>
      <c r="E541" s="536">
        <v>87647</v>
      </c>
      <c r="F541" s="631"/>
      <c r="G541" s="618"/>
      <c r="H541" s="605"/>
      <c r="I541" s="620"/>
      <c r="J541" s="607"/>
      <c r="K541" s="622"/>
      <c r="L541" s="609"/>
      <c r="M541" s="624"/>
      <c r="N541" s="611"/>
      <c r="O541" s="612"/>
      <c r="P541" s="613"/>
      <c r="Q541" s="614"/>
    </row>
    <row r="542" spans="1:17" x14ac:dyDescent="0.4">
      <c r="A542" s="557"/>
      <c r="B542" s="557"/>
      <c r="C542" s="557"/>
      <c r="D542" s="615"/>
      <c r="E542" s="562"/>
      <c r="F542" s="617">
        <f>SUM(D525:D536)</f>
        <v>38.149999999999984</v>
      </c>
      <c r="G542" s="618">
        <f>(SUMPRODUCT(D525:D536,E525:E536))</f>
        <v>3496008.0799999996</v>
      </c>
      <c r="H542" s="619">
        <f>SUM(D525:D526)</f>
        <v>2.7800000000000002</v>
      </c>
      <c r="I542" s="620">
        <f>(SUMPRODUCT(D525:D526,E525:E526))</f>
        <v>460437.83999999997</v>
      </c>
      <c r="J542" s="621">
        <f>SUM(D527:D535)</f>
        <v>35.069999999999993</v>
      </c>
      <c r="K542" s="622">
        <f>(SUMPRODUCT(D527:D535,E527:E535))</f>
        <v>3005606.2399999998</v>
      </c>
      <c r="L542" s="623">
        <f>SUM(D536:D536)</f>
        <v>0.3</v>
      </c>
      <c r="M542" s="624">
        <f>(SUMPRODUCT(D536:D536,E536:E536))</f>
        <v>29964</v>
      </c>
      <c r="N542" s="625">
        <f>+H542+J542+L542</f>
        <v>38.149999999999991</v>
      </c>
      <c r="O542" s="626">
        <f>+I542+K542+M542</f>
        <v>3496008.0799999996</v>
      </c>
      <c r="P542" s="627">
        <f>SUM(D537:D541)</f>
        <v>40.879999999999995</v>
      </c>
      <c r="Q542" s="628">
        <f>(SUMPRODUCT(D537:D541,E537:E541))</f>
        <v>2762170.5599999996</v>
      </c>
    </row>
    <row r="543" spans="1:17" x14ac:dyDescent="0.4">
      <c r="A543" s="601" t="s">
        <v>454</v>
      </c>
      <c r="B543" s="601" t="s">
        <v>264</v>
      </c>
      <c r="C543" s="602"/>
      <c r="D543" s="469"/>
      <c r="E543" s="536"/>
      <c r="F543" s="603"/>
      <c r="G543" s="604"/>
      <c r="H543" s="605"/>
      <c r="I543" s="606"/>
      <c r="J543" s="607"/>
      <c r="K543" s="608"/>
      <c r="L543" s="609"/>
      <c r="M543" s="610"/>
      <c r="N543" s="611"/>
      <c r="O543" s="612"/>
      <c r="P543" s="613"/>
      <c r="Q543" s="614"/>
    </row>
    <row r="544" spans="1:17" x14ac:dyDescent="0.4">
      <c r="A544" s="601"/>
      <c r="B544" s="601" t="s">
        <v>333</v>
      </c>
      <c r="C544" s="653" t="s">
        <v>113</v>
      </c>
      <c r="D544" s="469">
        <v>2</v>
      </c>
      <c r="E544" s="536">
        <v>109798</v>
      </c>
      <c r="F544" s="603"/>
      <c r="G544" s="604"/>
      <c r="H544" s="605"/>
      <c r="I544" s="606"/>
      <c r="J544" s="607"/>
      <c r="K544" s="608"/>
      <c r="L544" s="609"/>
      <c r="M544" s="610"/>
      <c r="N544" s="611"/>
      <c r="O544" s="612"/>
      <c r="P544" s="613"/>
      <c r="Q544" s="614"/>
    </row>
    <row r="545" spans="1:17" x14ac:dyDescent="0.4">
      <c r="A545" s="601"/>
      <c r="B545" s="601" t="s">
        <v>335</v>
      </c>
      <c r="C545" s="653" t="s">
        <v>130</v>
      </c>
      <c r="D545" s="469">
        <v>0.25</v>
      </c>
      <c r="E545" s="536">
        <v>142552</v>
      </c>
      <c r="F545" s="603"/>
      <c r="G545" s="604"/>
      <c r="H545" s="605"/>
      <c r="I545" s="606"/>
      <c r="J545" s="607"/>
      <c r="K545" s="608"/>
      <c r="L545" s="609"/>
      <c r="M545" s="610"/>
      <c r="N545" s="611"/>
      <c r="O545" s="612"/>
      <c r="P545" s="613"/>
      <c r="Q545" s="614"/>
    </row>
    <row r="546" spans="1:17" x14ac:dyDescent="0.4">
      <c r="A546" s="601"/>
      <c r="B546" s="601" t="s">
        <v>338</v>
      </c>
      <c r="C546" s="653" t="s">
        <v>114</v>
      </c>
      <c r="D546" s="469">
        <v>0.45</v>
      </c>
      <c r="E546" s="536">
        <v>134278</v>
      </c>
      <c r="F546" s="603"/>
      <c r="G546" s="604"/>
      <c r="H546" s="605"/>
      <c r="I546" s="606"/>
      <c r="J546" s="607"/>
      <c r="K546" s="608"/>
      <c r="L546" s="609"/>
      <c r="M546" s="610"/>
      <c r="N546" s="611"/>
      <c r="O546" s="612"/>
      <c r="P546" s="613"/>
      <c r="Q546" s="614"/>
    </row>
    <row r="547" spans="1:17" x14ac:dyDescent="0.4">
      <c r="A547" s="601"/>
      <c r="B547" s="601" t="s">
        <v>339</v>
      </c>
      <c r="C547" s="653" t="s">
        <v>407</v>
      </c>
      <c r="D547" s="469">
        <v>2.96</v>
      </c>
      <c r="E547" s="536">
        <v>80272</v>
      </c>
      <c r="F547" s="603"/>
      <c r="G547" s="604"/>
      <c r="H547" s="605"/>
      <c r="I547" s="606"/>
      <c r="J547" s="607"/>
      <c r="K547" s="608"/>
      <c r="L547" s="609"/>
      <c r="M547" s="610"/>
      <c r="N547" s="611"/>
      <c r="O547" s="612"/>
      <c r="P547" s="613"/>
      <c r="Q547" s="614"/>
    </row>
    <row r="548" spans="1:17" x14ac:dyDescent="0.4">
      <c r="A548" s="601"/>
      <c r="B548" s="601" t="s">
        <v>340</v>
      </c>
      <c r="C548" s="653" t="s">
        <v>115</v>
      </c>
      <c r="D548" s="469">
        <v>3.17</v>
      </c>
      <c r="E548" s="536">
        <v>88139</v>
      </c>
      <c r="F548" s="603"/>
      <c r="G548" s="604"/>
      <c r="H548" s="605"/>
      <c r="I548" s="606"/>
      <c r="J548" s="607"/>
      <c r="K548" s="608"/>
      <c r="L548" s="609"/>
      <c r="M548" s="610"/>
      <c r="N548" s="611"/>
      <c r="O548" s="612"/>
      <c r="P548" s="613"/>
      <c r="Q548" s="614"/>
    </row>
    <row r="549" spans="1:17" x14ac:dyDescent="0.4">
      <c r="A549" s="601"/>
      <c r="B549" s="601" t="s">
        <v>341</v>
      </c>
      <c r="C549" s="653" t="s">
        <v>116</v>
      </c>
      <c r="D549" s="469">
        <v>0.5</v>
      </c>
      <c r="E549" s="536">
        <v>84324</v>
      </c>
      <c r="F549" s="603"/>
      <c r="G549" s="604"/>
      <c r="H549" s="605"/>
      <c r="I549" s="606"/>
      <c r="J549" s="607"/>
      <c r="K549" s="608"/>
      <c r="L549" s="609"/>
      <c r="M549" s="610"/>
      <c r="N549" s="611"/>
      <c r="O549" s="612"/>
      <c r="P549" s="613"/>
      <c r="Q549" s="614"/>
    </row>
    <row r="550" spans="1:17" x14ac:dyDescent="0.4">
      <c r="A550" s="601"/>
      <c r="B550" s="601" t="s">
        <v>408</v>
      </c>
      <c r="C550" s="653" t="s">
        <v>409</v>
      </c>
      <c r="D550" s="469">
        <v>1.27</v>
      </c>
      <c r="E550" s="536">
        <v>96681</v>
      </c>
      <c r="F550" s="603"/>
      <c r="G550" s="604"/>
      <c r="H550" s="605"/>
      <c r="I550" s="606"/>
      <c r="J550" s="607"/>
      <c r="K550" s="608"/>
      <c r="L550" s="609"/>
      <c r="M550" s="610"/>
      <c r="N550" s="611"/>
      <c r="O550" s="612"/>
      <c r="P550" s="613"/>
      <c r="Q550" s="614"/>
    </row>
    <row r="551" spans="1:17" x14ac:dyDescent="0.4">
      <c r="A551" s="601"/>
      <c r="B551" s="601" t="s">
        <v>342</v>
      </c>
      <c r="C551" s="653" t="s">
        <v>117</v>
      </c>
      <c r="D551" s="469">
        <v>2.86</v>
      </c>
      <c r="E551" s="536">
        <v>83659</v>
      </c>
      <c r="F551" s="603"/>
      <c r="G551" s="604"/>
      <c r="H551" s="605"/>
      <c r="I551" s="606"/>
      <c r="J551" s="607"/>
      <c r="K551" s="608"/>
      <c r="L551" s="609"/>
      <c r="M551" s="610"/>
      <c r="N551" s="611"/>
      <c r="O551" s="612"/>
      <c r="P551" s="613"/>
      <c r="Q551" s="614"/>
    </row>
    <row r="552" spans="1:17" x14ac:dyDescent="0.4">
      <c r="A552" s="601"/>
      <c r="B552" s="601" t="s">
        <v>344</v>
      </c>
      <c r="C552" s="653" t="s">
        <v>122</v>
      </c>
      <c r="D552" s="469">
        <v>0.2</v>
      </c>
      <c r="E552" s="536">
        <v>78540</v>
      </c>
      <c r="F552" s="603"/>
      <c r="G552" s="604"/>
      <c r="H552" s="605"/>
      <c r="I552" s="606"/>
      <c r="J552" s="607"/>
      <c r="K552" s="608"/>
      <c r="L552" s="609"/>
      <c r="M552" s="610"/>
      <c r="N552" s="611"/>
      <c r="O552" s="612"/>
      <c r="P552" s="613"/>
      <c r="Q552" s="614"/>
    </row>
    <row r="553" spans="1:17" x14ac:dyDescent="0.4">
      <c r="A553" s="601"/>
      <c r="B553" s="601" t="s">
        <v>346</v>
      </c>
      <c r="C553" s="653" t="s">
        <v>124</v>
      </c>
      <c r="D553" s="469">
        <v>0.7</v>
      </c>
      <c r="E553" s="536">
        <v>72106</v>
      </c>
      <c r="F553" s="603"/>
      <c r="G553" s="604"/>
      <c r="H553" s="605"/>
      <c r="I553" s="606"/>
      <c r="J553" s="607"/>
      <c r="K553" s="608"/>
      <c r="L553" s="609"/>
      <c r="M553" s="610"/>
      <c r="N553" s="611"/>
      <c r="O553" s="612"/>
      <c r="P553" s="613"/>
      <c r="Q553" s="614"/>
    </row>
    <row r="554" spans="1:17" x14ac:dyDescent="0.4">
      <c r="A554" s="601"/>
      <c r="B554" s="601" t="s">
        <v>358</v>
      </c>
      <c r="C554" s="653" t="s">
        <v>89</v>
      </c>
      <c r="D554" s="469">
        <v>23.44</v>
      </c>
      <c r="E554" s="536">
        <v>69041</v>
      </c>
      <c r="F554" s="603"/>
      <c r="G554" s="604"/>
      <c r="H554" s="605"/>
      <c r="I554" s="606"/>
      <c r="J554" s="607"/>
      <c r="K554" s="608"/>
      <c r="L554" s="609"/>
      <c r="M554" s="610"/>
      <c r="N554" s="611"/>
      <c r="O554" s="612"/>
      <c r="P554" s="613"/>
      <c r="Q554" s="614"/>
    </row>
    <row r="555" spans="1:17" x14ac:dyDescent="0.4">
      <c r="A555" s="601"/>
      <c r="B555" s="601" t="s">
        <v>361</v>
      </c>
      <c r="C555" s="653" t="s">
        <v>92</v>
      </c>
      <c r="D555" s="469">
        <v>6.42</v>
      </c>
      <c r="E555" s="536">
        <v>67329</v>
      </c>
      <c r="F555" s="603"/>
      <c r="G555" s="604"/>
      <c r="H555" s="605"/>
      <c r="I555" s="606"/>
      <c r="J555" s="607"/>
      <c r="K555" s="608"/>
      <c r="L555" s="609"/>
      <c r="M555" s="610"/>
      <c r="N555" s="611"/>
      <c r="O555" s="612"/>
      <c r="P555" s="613"/>
      <c r="Q555" s="614"/>
    </row>
    <row r="556" spans="1:17" x14ac:dyDescent="0.4">
      <c r="A556" s="601"/>
      <c r="B556" s="601" t="s">
        <v>363</v>
      </c>
      <c r="C556" s="653" t="s">
        <v>94</v>
      </c>
      <c r="D556" s="469">
        <v>18.05</v>
      </c>
      <c r="E556" s="536">
        <v>89248</v>
      </c>
      <c r="F556" s="603"/>
      <c r="G556" s="604"/>
      <c r="H556" s="605"/>
      <c r="I556" s="606"/>
      <c r="J556" s="607"/>
      <c r="K556" s="608"/>
      <c r="L556" s="609"/>
      <c r="M556" s="610"/>
      <c r="N556" s="611"/>
      <c r="O556" s="612"/>
      <c r="P556" s="613"/>
      <c r="Q556" s="614"/>
    </row>
    <row r="557" spans="1:17" x14ac:dyDescent="0.4">
      <c r="A557" s="601"/>
      <c r="B557" s="601" t="s">
        <v>364</v>
      </c>
      <c r="C557" s="653" t="s">
        <v>95</v>
      </c>
      <c r="D557" s="469">
        <v>4.3499999999999996</v>
      </c>
      <c r="E557" s="536">
        <v>66708</v>
      </c>
      <c r="F557" s="603"/>
      <c r="G557" s="604"/>
      <c r="H557" s="605"/>
      <c r="I557" s="606"/>
      <c r="J557" s="607"/>
      <c r="K557" s="608"/>
      <c r="L557" s="609"/>
      <c r="M557" s="610"/>
      <c r="N557" s="611"/>
      <c r="O557" s="612"/>
      <c r="P557" s="613"/>
      <c r="Q557" s="614"/>
    </row>
    <row r="558" spans="1:17" x14ac:dyDescent="0.4">
      <c r="A558" s="601"/>
      <c r="B558" s="601" t="s">
        <v>365</v>
      </c>
      <c r="C558" s="653" t="s">
        <v>96</v>
      </c>
      <c r="D558" s="469">
        <v>0.64</v>
      </c>
      <c r="E558" s="536">
        <v>101396</v>
      </c>
      <c r="F558" s="603"/>
      <c r="G558" s="604"/>
      <c r="H558" s="605"/>
      <c r="I558" s="606"/>
      <c r="J558" s="607"/>
      <c r="K558" s="608"/>
      <c r="L558" s="609"/>
      <c r="M558" s="610"/>
      <c r="N558" s="611"/>
      <c r="O558" s="612"/>
      <c r="P558" s="613"/>
      <c r="Q558" s="614"/>
    </row>
    <row r="559" spans="1:17" x14ac:dyDescent="0.4">
      <c r="A559" s="601"/>
      <c r="B559" s="601" t="s">
        <v>366</v>
      </c>
      <c r="C559" s="653" t="s">
        <v>88</v>
      </c>
      <c r="D559" s="469">
        <v>8.35</v>
      </c>
      <c r="E559" s="536">
        <v>102207</v>
      </c>
      <c r="F559" s="631"/>
      <c r="G559" s="618"/>
      <c r="H559" s="605"/>
      <c r="I559" s="620"/>
      <c r="J559" s="607"/>
      <c r="K559" s="622"/>
      <c r="L559" s="609"/>
      <c r="M559" s="624"/>
      <c r="N559" s="611"/>
      <c r="O559" s="626"/>
      <c r="P559" s="613"/>
      <c r="Q559" s="628"/>
    </row>
    <row r="560" spans="1:17" x14ac:dyDescent="0.4">
      <c r="A560" s="557"/>
      <c r="B560" s="557"/>
      <c r="C560" s="557"/>
      <c r="D560" s="615"/>
      <c r="E560" s="562"/>
      <c r="F560" s="617">
        <f>SUM(D544:D553)</f>
        <v>14.359999999999998</v>
      </c>
      <c r="G560" s="618">
        <f>(SUMPRODUCT(D544:D553,E544:E553))</f>
        <v>1303058.6599999999</v>
      </c>
      <c r="H560" s="619">
        <f>SUM(D544:D546)</f>
        <v>2.7</v>
      </c>
      <c r="I560" s="620">
        <f>(SUMPRODUCT(D544:D546,E544:E546))</f>
        <v>315659.09999999998</v>
      </c>
      <c r="J560" s="621">
        <f>SUM(D547:D553)</f>
        <v>11.659999999999998</v>
      </c>
      <c r="K560" s="622">
        <f>(SUMPRODUCT(D547:D553,E547:E553))</f>
        <v>987399.55999999994</v>
      </c>
      <c r="L560" s="623"/>
      <c r="M560" s="624"/>
      <c r="N560" s="625">
        <f>+H560+J560+L560</f>
        <v>14.36</v>
      </c>
      <c r="O560" s="626">
        <f>+I560+K560+M560</f>
        <v>1303058.6599999999</v>
      </c>
      <c r="P560" s="627">
        <f>SUM(D554:D559)</f>
        <v>61.25</v>
      </c>
      <c r="Q560" s="628">
        <f>(SUMPRODUCT(D554:D559,E554:E559))</f>
        <v>4870001.3099999996</v>
      </c>
    </row>
    <row r="561" spans="1:17" x14ac:dyDescent="0.4">
      <c r="A561" s="601" t="s">
        <v>455</v>
      </c>
      <c r="B561" s="601" t="s">
        <v>131</v>
      </c>
      <c r="C561" s="602"/>
      <c r="D561" s="469"/>
      <c r="E561" s="536"/>
      <c r="F561" s="603"/>
      <c r="G561" s="604"/>
      <c r="H561" s="605"/>
      <c r="I561" s="606"/>
      <c r="J561" s="607"/>
      <c r="K561" s="608"/>
      <c r="L561" s="609"/>
      <c r="M561" s="610"/>
      <c r="N561" s="611"/>
      <c r="O561" s="612"/>
      <c r="P561" s="613"/>
      <c r="Q561" s="614"/>
    </row>
    <row r="562" spans="1:17" x14ac:dyDescent="0.4">
      <c r="A562" s="601"/>
      <c r="B562" s="601" t="s">
        <v>340</v>
      </c>
      <c r="C562" s="653" t="s">
        <v>115</v>
      </c>
      <c r="D562" s="469">
        <v>1.1000000000000001</v>
      </c>
      <c r="E562" s="536">
        <v>97061</v>
      </c>
      <c r="F562" s="603"/>
      <c r="G562" s="604"/>
      <c r="H562" s="605"/>
      <c r="I562" s="606"/>
      <c r="J562" s="607"/>
      <c r="K562" s="608"/>
      <c r="L562" s="609"/>
      <c r="M562" s="610"/>
      <c r="N562" s="611"/>
      <c r="O562" s="612"/>
      <c r="P562" s="613"/>
      <c r="Q562" s="614"/>
    </row>
    <row r="563" spans="1:17" x14ac:dyDescent="0.4">
      <c r="A563" s="601"/>
      <c r="B563" s="601" t="s">
        <v>341</v>
      </c>
      <c r="C563" s="653" t="s">
        <v>116</v>
      </c>
      <c r="D563" s="469">
        <v>0.5</v>
      </c>
      <c r="E563" s="536">
        <v>82834</v>
      </c>
      <c r="F563" s="603"/>
      <c r="G563" s="604"/>
      <c r="H563" s="605"/>
      <c r="I563" s="606"/>
      <c r="J563" s="607"/>
      <c r="K563" s="608"/>
      <c r="L563" s="609"/>
      <c r="M563" s="610"/>
      <c r="N563" s="611"/>
      <c r="O563" s="612"/>
      <c r="P563" s="613"/>
      <c r="Q563" s="614"/>
    </row>
    <row r="564" spans="1:17" x14ac:dyDescent="0.4">
      <c r="A564" s="601"/>
      <c r="B564" s="601" t="s">
        <v>363</v>
      </c>
      <c r="C564" s="653" t="s">
        <v>94</v>
      </c>
      <c r="D564" s="469">
        <v>0.5</v>
      </c>
      <c r="E564" s="536">
        <v>83928</v>
      </c>
      <c r="F564" s="603"/>
      <c r="G564" s="604"/>
      <c r="H564" s="605"/>
      <c r="I564" s="606"/>
      <c r="J564" s="607"/>
      <c r="K564" s="608"/>
      <c r="L564" s="609"/>
      <c r="M564" s="610"/>
      <c r="N564" s="611"/>
      <c r="O564" s="612"/>
      <c r="P564" s="613"/>
      <c r="Q564" s="614"/>
    </row>
    <row r="565" spans="1:17" x14ac:dyDescent="0.4">
      <c r="A565" s="557"/>
      <c r="B565" s="557"/>
      <c r="C565" s="557"/>
      <c r="D565" s="615"/>
      <c r="E565" s="562"/>
      <c r="F565" s="617">
        <f>SUM(D562:D563)</f>
        <v>1.6</v>
      </c>
      <c r="G565" s="618">
        <f>(SUMPRODUCT(D562:D563,E562:E563))</f>
        <v>148184.1</v>
      </c>
      <c r="H565" s="619"/>
      <c r="I565" s="620"/>
      <c r="J565" s="621">
        <f>SUM(D562:D563)</f>
        <v>1.6</v>
      </c>
      <c r="K565" s="622">
        <f>(SUMPRODUCT(D562:D563,E562:E563))</f>
        <v>148184.1</v>
      </c>
      <c r="L565" s="623"/>
      <c r="M565" s="624"/>
      <c r="N565" s="625">
        <f>+H565+J565+L565</f>
        <v>1.6</v>
      </c>
      <c r="O565" s="626">
        <f>+I565+K565+M565</f>
        <v>148184.1</v>
      </c>
      <c r="P565" s="627">
        <f>SUM(D564:D564)</f>
        <v>0.5</v>
      </c>
      <c r="Q565" s="628">
        <f>(SUMPRODUCT(D564:D564,E564:E564))</f>
        <v>41964</v>
      </c>
    </row>
    <row r="566" spans="1:17" x14ac:dyDescent="0.4">
      <c r="A566" s="601" t="s">
        <v>456</v>
      </c>
      <c r="B566" s="601" t="s">
        <v>132</v>
      </c>
      <c r="C566" s="602"/>
      <c r="D566" s="469"/>
      <c r="E566" s="536"/>
      <c r="F566" s="603"/>
      <c r="G566" s="604"/>
      <c r="H566" s="605"/>
      <c r="I566" s="606"/>
      <c r="J566" s="607"/>
      <c r="K566" s="608"/>
      <c r="L566" s="609"/>
      <c r="M566" s="610"/>
      <c r="N566" s="611"/>
      <c r="O566" s="612"/>
      <c r="P566" s="613"/>
      <c r="Q566" s="614"/>
    </row>
    <row r="567" spans="1:17" x14ac:dyDescent="0.4">
      <c r="A567" s="601"/>
      <c r="B567" s="601" t="s">
        <v>358</v>
      </c>
      <c r="C567" s="653" t="s">
        <v>89</v>
      </c>
      <c r="D567" s="469">
        <v>0.04</v>
      </c>
      <c r="E567" s="536">
        <v>53083</v>
      </c>
      <c r="F567" s="603"/>
      <c r="G567" s="604"/>
      <c r="H567" s="605"/>
      <c r="I567" s="606"/>
      <c r="J567" s="607"/>
      <c r="K567" s="608"/>
      <c r="L567" s="609"/>
      <c r="M567" s="610"/>
      <c r="N567" s="611"/>
      <c r="O567" s="612"/>
      <c r="P567" s="613"/>
      <c r="Q567" s="614"/>
    </row>
    <row r="568" spans="1:17" x14ac:dyDescent="0.4">
      <c r="A568" s="601"/>
      <c r="B568" s="601" t="s">
        <v>361</v>
      </c>
      <c r="C568" s="653" t="s">
        <v>92</v>
      </c>
      <c r="D568" s="469">
        <v>0.45</v>
      </c>
      <c r="E568" s="536">
        <v>95641</v>
      </c>
      <c r="F568" s="603"/>
      <c r="G568" s="604"/>
      <c r="H568" s="605"/>
      <c r="I568" s="606"/>
      <c r="J568" s="607"/>
      <c r="K568" s="608"/>
      <c r="L568" s="609"/>
      <c r="M568" s="610"/>
      <c r="N568" s="611"/>
      <c r="O568" s="612"/>
      <c r="P568" s="613"/>
      <c r="Q568" s="614"/>
    </row>
    <row r="569" spans="1:17" x14ac:dyDescent="0.4">
      <c r="A569" s="557"/>
      <c r="B569" s="557"/>
      <c r="C569" s="557"/>
      <c r="D569" s="615"/>
      <c r="E569" s="562"/>
      <c r="F569" s="617"/>
      <c r="G569" s="618"/>
      <c r="H569" s="619"/>
      <c r="I569" s="620"/>
      <c r="J569" s="621"/>
      <c r="K569" s="622"/>
      <c r="L569" s="623"/>
      <c r="M569" s="624"/>
      <c r="N569" s="625">
        <f>+H569+J569+L569</f>
        <v>0</v>
      </c>
      <c r="O569" s="626">
        <f>+I569+K569+M569</f>
        <v>0</v>
      </c>
      <c r="P569" s="627">
        <f>SUM(D567:D568)</f>
        <v>0.49</v>
      </c>
      <c r="Q569" s="628">
        <f>(SUMPRODUCT(D567:D568,E567:E568))</f>
        <v>45161.770000000004</v>
      </c>
    </row>
    <row r="570" spans="1:17" x14ac:dyDescent="0.4">
      <c r="A570" s="601" t="s">
        <v>457</v>
      </c>
      <c r="B570" s="601" t="s">
        <v>133</v>
      </c>
      <c r="C570" s="602"/>
      <c r="D570" s="469"/>
      <c r="E570" s="536"/>
      <c r="F570" s="603"/>
      <c r="G570" s="604"/>
      <c r="H570" s="605"/>
      <c r="I570" s="606"/>
      <c r="J570" s="607"/>
      <c r="K570" s="608"/>
      <c r="L570" s="609"/>
      <c r="M570" s="610"/>
      <c r="N570" s="611"/>
      <c r="O570" s="612"/>
      <c r="P570" s="613"/>
      <c r="Q570" s="614"/>
    </row>
    <row r="571" spans="1:17" x14ac:dyDescent="0.4">
      <c r="A571" s="601"/>
      <c r="B571" s="601" t="s">
        <v>333</v>
      </c>
      <c r="C571" s="653" t="s">
        <v>113</v>
      </c>
      <c r="D571" s="469">
        <v>6.82</v>
      </c>
      <c r="E571" s="536">
        <v>169472</v>
      </c>
      <c r="F571" s="603"/>
      <c r="G571" s="604"/>
      <c r="H571" s="605"/>
      <c r="I571" s="606"/>
      <c r="J571" s="607"/>
      <c r="K571" s="608"/>
      <c r="L571" s="609"/>
      <c r="M571" s="610"/>
      <c r="N571" s="611"/>
      <c r="O571" s="612"/>
      <c r="P571" s="613"/>
      <c r="Q571" s="614"/>
    </row>
    <row r="572" spans="1:17" x14ac:dyDescent="0.4">
      <c r="A572" s="601"/>
      <c r="B572" s="601" t="s">
        <v>338</v>
      </c>
      <c r="C572" s="653" t="s">
        <v>114</v>
      </c>
      <c r="D572" s="469">
        <v>0.69</v>
      </c>
      <c r="E572" s="536">
        <v>160310</v>
      </c>
      <c r="F572" s="603"/>
      <c r="G572" s="604"/>
      <c r="H572" s="605"/>
      <c r="I572" s="606"/>
      <c r="J572" s="607"/>
      <c r="K572" s="608"/>
      <c r="L572" s="609"/>
      <c r="M572" s="610"/>
      <c r="N572" s="611"/>
      <c r="O572" s="612"/>
      <c r="P572" s="613"/>
      <c r="Q572" s="614"/>
    </row>
    <row r="573" spans="1:17" x14ac:dyDescent="0.4">
      <c r="A573" s="601"/>
      <c r="B573" s="601" t="s">
        <v>339</v>
      </c>
      <c r="C573" s="653" t="s">
        <v>407</v>
      </c>
      <c r="D573" s="469">
        <v>59.62</v>
      </c>
      <c r="E573" s="536">
        <v>103295</v>
      </c>
      <c r="F573" s="603"/>
      <c r="G573" s="604"/>
      <c r="H573" s="605"/>
      <c r="I573" s="606"/>
      <c r="J573" s="607"/>
      <c r="K573" s="608"/>
      <c r="L573" s="609"/>
      <c r="M573" s="610"/>
      <c r="N573" s="611"/>
      <c r="O573" s="612"/>
      <c r="P573" s="613"/>
      <c r="Q573" s="614"/>
    </row>
    <row r="574" spans="1:17" x14ac:dyDescent="0.4">
      <c r="A574" s="601"/>
      <c r="B574" s="601" t="s">
        <v>340</v>
      </c>
      <c r="C574" s="653" t="s">
        <v>115</v>
      </c>
      <c r="D574" s="469">
        <v>60.4</v>
      </c>
      <c r="E574" s="536">
        <v>102841</v>
      </c>
      <c r="F574" s="603"/>
      <c r="G574" s="604"/>
      <c r="H574" s="605"/>
      <c r="I574" s="606"/>
      <c r="J574" s="607"/>
      <c r="K574" s="608"/>
      <c r="L574" s="609"/>
      <c r="M574" s="610"/>
      <c r="N574" s="611"/>
      <c r="O574" s="612"/>
      <c r="P574" s="613"/>
      <c r="Q574" s="614"/>
    </row>
    <row r="575" spans="1:17" x14ac:dyDescent="0.4">
      <c r="A575" s="601"/>
      <c r="B575" s="601" t="s">
        <v>341</v>
      </c>
      <c r="C575" s="653" t="s">
        <v>116</v>
      </c>
      <c r="D575" s="469">
        <v>52.15</v>
      </c>
      <c r="E575" s="536">
        <v>100217</v>
      </c>
      <c r="F575" s="603"/>
      <c r="G575" s="604"/>
      <c r="H575" s="605"/>
      <c r="I575" s="606"/>
      <c r="J575" s="607"/>
      <c r="K575" s="608"/>
      <c r="L575" s="609"/>
      <c r="M575" s="610"/>
      <c r="N575" s="611"/>
      <c r="O575" s="612"/>
      <c r="P575" s="613"/>
      <c r="Q575" s="614"/>
    </row>
    <row r="576" spans="1:17" x14ac:dyDescent="0.4">
      <c r="A576" s="601"/>
      <c r="B576" s="601" t="s">
        <v>408</v>
      </c>
      <c r="C576" s="653" t="s">
        <v>409</v>
      </c>
      <c r="D576" s="469">
        <v>3.89</v>
      </c>
      <c r="E576" s="536">
        <v>102717</v>
      </c>
      <c r="F576" s="603"/>
      <c r="G576" s="604"/>
      <c r="H576" s="605"/>
      <c r="I576" s="606"/>
      <c r="J576" s="607"/>
      <c r="K576" s="608"/>
      <c r="L576" s="609"/>
      <c r="M576" s="610"/>
      <c r="N576" s="611"/>
      <c r="O576" s="612"/>
      <c r="P576" s="613"/>
      <c r="Q576" s="614"/>
    </row>
    <row r="577" spans="1:17" x14ac:dyDescent="0.4">
      <c r="A577" s="601"/>
      <c r="B577" s="601" t="s">
        <v>342</v>
      </c>
      <c r="C577" s="653" t="s">
        <v>117</v>
      </c>
      <c r="D577" s="469">
        <v>35.880000000000003</v>
      </c>
      <c r="E577" s="536">
        <v>114482</v>
      </c>
      <c r="F577" s="603"/>
      <c r="G577" s="604"/>
      <c r="H577" s="605"/>
      <c r="I577" s="606"/>
      <c r="J577" s="607"/>
      <c r="K577" s="608"/>
      <c r="L577" s="609"/>
      <c r="M577" s="610"/>
      <c r="N577" s="611"/>
      <c r="O577" s="612"/>
      <c r="P577" s="613"/>
      <c r="Q577" s="614"/>
    </row>
    <row r="578" spans="1:17" x14ac:dyDescent="0.4">
      <c r="A578" s="601"/>
      <c r="B578" s="601" t="s">
        <v>344</v>
      </c>
      <c r="C578" s="653" t="s">
        <v>122</v>
      </c>
      <c r="D578" s="469">
        <v>1.24</v>
      </c>
      <c r="E578" s="536">
        <v>116801</v>
      </c>
      <c r="F578" s="603"/>
      <c r="G578" s="604"/>
      <c r="H578" s="605"/>
      <c r="I578" s="606"/>
      <c r="J578" s="607"/>
      <c r="K578" s="608"/>
      <c r="L578" s="609"/>
      <c r="M578" s="610"/>
      <c r="N578" s="611"/>
      <c r="O578" s="612"/>
      <c r="P578" s="613"/>
      <c r="Q578" s="614"/>
    </row>
    <row r="579" spans="1:17" x14ac:dyDescent="0.4">
      <c r="A579" s="601"/>
      <c r="B579" s="601" t="s">
        <v>348</v>
      </c>
      <c r="C579" s="653" t="s">
        <v>125</v>
      </c>
      <c r="D579" s="469">
        <v>0.2</v>
      </c>
      <c r="E579" s="536">
        <v>130385</v>
      </c>
      <c r="F579" s="603"/>
      <c r="G579" s="604"/>
      <c r="H579" s="605"/>
      <c r="I579" s="606"/>
      <c r="J579" s="607"/>
      <c r="K579" s="608"/>
      <c r="L579" s="609"/>
      <c r="M579" s="610"/>
      <c r="N579" s="611"/>
      <c r="O579" s="612"/>
      <c r="P579" s="613"/>
      <c r="Q579" s="614"/>
    </row>
    <row r="580" spans="1:17" x14ac:dyDescent="0.4">
      <c r="A580" s="601"/>
      <c r="B580" s="601" t="s">
        <v>358</v>
      </c>
      <c r="C580" s="653" t="s">
        <v>89</v>
      </c>
      <c r="D580" s="469">
        <v>6.9</v>
      </c>
      <c r="E580" s="536">
        <v>57846</v>
      </c>
      <c r="F580" s="603"/>
      <c r="G580" s="604"/>
      <c r="H580" s="605"/>
      <c r="I580" s="606"/>
      <c r="J580" s="607"/>
      <c r="K580" s="608"/>
      <c r="L580" s="609"/>
      <c r="M580" s="610"/>
      <c r="N580" s="611"/>
      <c r="O580" s="612"/>
      <c r="P580" s="613"/>
      <c r="Q580" s="614"/>
    </row>
    <row r="581" spans="1:17" x14ac:dyDescent="0.4">
      <c r="A581" s="601"/>
      <c r="B581" s="601" t="s">
        <v>361</v>
      </c>
      <c r="C581" s="653" t="s">
        <v>92</v>
      </c>
      <c r="D581" s="469">
        <v>15.27</v>
      </c>
      <c r="E581" s="536">
        <v>74805</v>
      </c>
      <c r="F581" s="603"/>
      <c r="G581" s="604"/>
      <c r="H581" s="605"/>
      <c r="I581" s="606"/>
      <c r="J581" s="607"/>
      <c r="K581" s="608"/>
      <c r="L581" s="609"/>
      <c r="M581" s="610"/>
      <c r="N581" s="611"/>
      <c r="O581" s="612"/>
      <c r="P581" s="613"/>
      <c r="Q581" s="614"/>
    </row>
    <row r="582" spans="1:17" x14ac:dyDescent="0.4">
      <c r="A582" s="601"/>
      <c r="B582" s="601" t="s">
        <v>363</v>
      </c>
      <c r="C582" s="653" t="s">
        <v>94</v>
      </c>
      <c r="D582" s="469">
        <v>7.03</v>
      </c>
      <c r="E582" s="536">
        <v>96320</v>
      </c>
      <c r="F582" s="603"/>
      <c r="G582" s="604"/>
      <c r="H582" s="605"/>
      <c r="I582" s="606"/>
      <c r="J582" s="607"/>
      <c r="K582" s="608"/>
      <c r="L582" s="609"/>
      <c r="M582" s="610"/>
      <c r="N582" s="611"/>
      <c r="O582" s="612"/>
      <c r="P582" s="613"/>
      <c r="Q582" s="614"/>
    </row>
    <row r="583" spans="1:17" x14ac:dyDescent="0.4">
      <c r="A583" s="601"/>
      <c r="B583" s="601" t="s">
        <v>365</v>
      </c>
      <c r="C583" s="653" t="s">
        <v>96</v>
      </c>
      <c r="D583" s="469">
        <v>1.46</v>
      </c>
      <c r="E583" s="536">
        <v>99748</v>
      </c>
      <c r="F583" s="603"/>
      <c r="G583" s="604"/>
      <c r="H583" s="605"/>
      <c r="I583" s="606"/>
      <c r="J583" s="607"/>
      <c r="K583" s="608"/>
      <c r="L583" s="609"/>
      <c r="M583" s="610"/>
      <c r="N583" s="611"/>
      <c r="O583" s="612"/>
      <c r="P583" s="613"/>
      <c r="Q583" s="614"/>
    </row>
    <row r="584" spans="1:17" s="164" customFormat="1" x14ac:dyDescent="0.4">
      <c r="A584" s="601"/>
      <c r="B584" s="601" t="s">
        <v>366</v>
      </c>
      <c r="C584" s="653" t="s">
        <v>88</v>
      </c>
      <c r="D584" s="469">
        <v>0.06</v>
      </c>
      <c r="E584" s="536">
        <v>85349</v>
      </c>
      <c r="F584" s="603"/>
      <c r="G584" s="604"/>
      <c r="H584" s="605"/>
      <c r="I584" s="606"/>
      <c r="J584" s="607"/>
      <c r="K584" s="608"/>
      <c r="L584" s="609"/>
      <c r="M584" s="610"/>
      <c r="N584" s="611"/>
      <c r="O584" s="612"/>
      <c r="P584" s="613"/>
      <c r="Q584" s="614"/>
    </row>
    <row r="585" spans="1:17" x14ac:dyDescent="0.4">
      <c r="A585" s="557"/>
      <c r="B585" s="557"/>
      <c r="C585" s="557"/>
      <c r="D585" s="615"/>
      <c r="E585" s="562"/>
      <c r="F585" s="617">
        <f>SUM(D571:D579)</f>
        <v>220.89</v>
      </c>
      <c r="G585" s="618">
        <f>(SUMPRODUCT(D571:D579,E571:E579))</f>
        <v>23540867.319999997</v>
      </c>
      <c r="H585" s="619">
        <f>SUM(D571:D572)</f>
        <v>7.51</v>
      </c>
      <c r="I585" s="620">
        <f>(SUMPRODUCT(D571:D572,E571:E572))</f>
        <v>1266412.94</v>
      </c>
      <c r="J585" s="621">
        <f>SUM(D573:D579)</f>
        <v>213.37999999999997</v>
      </c>
      <c r="K585" s="622">
        <f>(SUMPRODUCT(D573:D579,E573:E579))</f>
        <v>22274454.379999995</v>
      </c>
      <c r="L585" s="623"/>
      <c r="M585" s="624"/>
      <c r="N585" s="625">
        <f>+H585+J585+L585</f>
        <v>220.88999999999996</v>
      </c>
      <c r="O585" s="626">
        <f>+I585+K585+M585</f>
        <v>23540867.319999997</v>
      </c>
      <c r="P585" s="627">
        <f>SUM(D580:D584)</f>
        <v>30.720000000000002</v>
      </c>
      <c r="Q585" s="628">
        <f>(SUMPRODUCT(D580:D584,E580:E584))</f>
        <v>2369292.37</v>
      </c>
    </row>
    <row r="586" spans="1:17" x14ac:dyDescent="0.4">
      <c r="A586" s="601" t="s">
        <v>458</v>
      </c>
      <c r="B586" s="601" t="s">
        <v>265</v>
      </c>
      <c r="C586" s="602"/>
      <c r="D586" s="469"/>
      <c r="E586" s="536"/>
      <c r="F586" s="603"/>
      <c r="G586" s="604"/>
      <c r="H586" s="605"/>
      <c r="I586" s="606"/>
      <c r="J586" s="607"/>
      <c r="K586" s="608"/>
      <c r="L586" s="609"/>
      <c r="M586" s="610"/>
      <c r="N586" s="611"/>
      <c r="O586" s="612"/>
      <c r="P586" s="613"/>
      <c r="Q586" s="614"/>
    </row>
    <row r="587" spans="1:17" x14ac:dyDescent="0.4">
      <c r="A587" s="601"/>
      <c r="B587" s="601" t="s">
        <v>358</v>
      </c>
      <c r="C587" s="653" t="s">
        <v>89</v>
      </c>
      <c r="D587" s="469">
        <v>1.32</v>
      </c>
      <c r="E587" s="536">
        <v>47454</v>
      </c>
      <c r="F587" s="603"/>
      <c r="G587" s="604"/>
      <c r="H587" s="605"/>
      <c r="I587" s="606"/>
      <c r="J587" s="607"/>
      <c r="K587" s="608"/>
      <c r="L587" s="609"/>
      <c r="M587" s="610"/>
      <c r="N587" s="611"/>
      <c r="O587" s="612"/>
      <c r="P587" s="613"/>
      <c r="Q587" s="614"/>
    </row>
    <row r="588" spans="1:17" x14ac:dyDescent="0.4">
      <c r="A588" s="601"/>
      <c r="B588" s="601" t="s">
        <v>361</v>
      </c>
      <c r="C588" s="653" t="s">
        <v>92</v>
      </c>
      <c r="D588" s="469">
        <v>1.53</v>
      </c>
      <c r="E588" s="536">
        <v>49160</v>
      </c>
      <c r="F588" s="641"/>
      <c r="G588" s="642"/>
      <c r="H588" s="643"/>
      <c r="I588" s="644"/>
      <c r="J588" s="645"/>
      <c r="K588" s="646"/>
      <c r="L588" s="647"/>
      <c r="M588" s="648"/>
      <c r="N588" s="649"/>
      <c r="O588" s="650"/>
      <c r="P588" s="651"/>
      <c r="Q588" s="652"/>
    </row>
    <row r="589" spans="1:17" x14ac:dyDescent="0.4">
      <c r="A589" s="601"/>
      <c r="B589" s="601" t="s">
        <v>366</v>
      </c>
      <c r="C589" s="653" t="s">
        <v>88</v>
      </c>
      <c r="D589" s="469">
        <v>2.31</v>
      </c>
      <c r="E589" s="536">
        <v>129268</v>
      </c>
      <c r="F589" s="603"/>
      <c r="G589" s="604"/>
      <c r="H589" s="605"/>
      <c r="I589" s="606"/>
      <c r="J589" s="607"/>
      <c r="K589" s="608"/>
      <c r="L589" s="609"/>
      <c r="M589" s="610"/>
      <c r="N589" s="611"/>
      <c r="O589" s="612"/>
      <c r="P589" s="613"/>
      <c r="Q589" s="614"/>
    </row>
    <row r="590" spans="1:17" x14ac:dyDescent="0.4">
      <c r="A590" s="557"/>
      <c r="B590" s="557"/>
      <c r="C590" s="557"/>
      <c r="D590" s="615"/>
      <c r="E590" s="562"/>
      <c r="F590" s="617"/>
      <c r="G590" s="618"/>
      <c r="H590" s="619"/>
      <c r="I590" s="620"/>
      <c r="J590" s="621"/>
      <c r="K590" s="622"/>
      <c r="L590" s="623"/>
      <c r="M590" s="624"/>
      <c r="N590" s="625">
        <f>+H590+J590+L590</f>
        <v>0</v>
      </c>
      <c r="O590" s="626">
        <f>+I590+K590+M590</f>
        <v>0</v>
      </c>
      <c r="P590" s="627">
        <f>SUM(D587:D589)</f>
        <v>5.16</v>
      </c>
      <c r="Q590" s="628">
        <f>(SUMPRODUCT(D587:D589,E587:E589))</f>
        <v>436463.16000000003</v>
      </c>
    </row>
    <row r="591" spans="1:17" x14ac:dyDescent="0.4">
      <c r="A591" s="601" t="s">
        <v>459</v>
      </c>
      <c r="B591" s="601" t="s">
        <v>266</v>
      </c>
      <c r="C591" s="602"/>
      <c r="D591" s="469"/>
      <c r="E591" s="536"/>
      <c r="F591" s="603"/>
      <c r="G591" s="604"/>
      <c r="H591" s="605"/>
      <c r="I591" s="606"/>
      <c r="J591" s="607"/>
      <c r="K591" s="608"/>
      <c r="L591" s="609"/>
      <c r="M591" s="610"/>
      <c r="N591" s="611"/>
      <c r="O591" s="612"/>
      <c r="P591" s="613"/>
      <c r="Q591" s="614"/>
    </row>
    <row r="592" spans="1:17" x14ac:dyDescent="0.4">
      <c r="A592" s="601"/>
      <c r="B592" s="601" t="s">
        <v>340</v>
      </c>
      <c r="C592" s="653" t="s">
        <v>115</v>
      </c>
      <c r="D592" s="469">
        <v>2.97</v>
      </c>
      <c r="E592" s="536">
        <v>90610</v>
      </c>
      <c r="F592" s="603"/>
      <c r="G592" s="604"/>
      <c r="H592" s="605"/>
      <c r="I592" s="606"/>
      <c r="J592" s="607"/>
      <c r="K592" s="608"/>
      <c r="L592" s="609"/>
      <c r="M592" s="610"/>
      <c r="N592" s="611"/>
      <c r="O592" s="612"/>
      <c r="P592" s="613"/>
      <c r="Q592" s="614"/>
    </row>
    <row r="593" spans="1:17" x14ac:dyDescent="0.4">
      <c r="A593" s="601"/>
      <c r="B593" s="601" t="s">
        <v>342</v>
      </c>
      <c r="C593" s="653" t="s">
        <v>117</v>
      </c>
      <c r="D593" s="469">
        <v>0.5</v>
      </c>
      <c r="E593" s="536">
        <v>115392</v>
      </c>
      <c r="F593" s="603"/>
      <c r="G593" s="604"/>
      <c r="H593" s="605"/>
      <c r="I593" s="606"/>
      <c r="J593" s="607"/>
      <c r="K593" s="608"/>
      <c r="L593" s="609"/>
      <c r="M593" s="610"/>
      <c r="N593" s="611"/>
      <c r="O593" s="612"/>
      <c r="P593" s="613"/>
      <c r="Q593" s="614"/>
    </row>
    <row r="594" spans="1:17" x14ac:dyDescent="0.4">
      <c r="A594" s="601"/>
      <c r="B594" s="601" t="s">
        <v>361</v>
      </c>
      <c r="C594" s="653" t="s">
        <v>92</v>
      </c>
      <c r="D594" s="469">
        <v>1</v>
      </c>
      <c r="E594" s="536">
        <v>58629</v>
      </c>
      <c r="F594" s="603"/>
      <c r="G594" s="604"/>
      <c r="H594" s="605"/>
      <c r="I594" s="606"/>
      <c r="J594" s="607"/>
      <c r="K594" s="608"/>
      <c r="L594" s="609"/>
      <c r="M594" s="610"/>
      <c r="N594" s="611"/>
      <c r="O594" s="612"/>
      <c r="P594" s="613"/>
      <c r="Q594" s="614"/>
    </row>
    <row r="595" spans="1:17" x14ac:dyDescent="0.4">
      <c r="A595" s="601"/>
      <c r="B595" s="601" t="s">
        <v>366</v>
      </c>
      <c r="C595" s="653" t="s">
        <v>88</v>
      </c>
      <c r="D595" s="469">
        <v>1</v>
      </c>
      <c r="E595" s="536">
        <v>84093</v>
      </c>
      <c r="F595" s="603"/>
      <c r="G595" s="604"/>
      <c r="H595" s="605"/>
      <c r="I595" s="606"/>
      <c r="J595" s="607"/>
      <c r="K595" s="608"/>
      <c r="L595" s="609"/>
      <c r="M595" s="610"/>
      <c r="N595" s="611"/>
      <c r="O595" s="612"/>
      <c r="P595" s="613"/>
      <c r="Q595" s="614"/>
    </row>
    <row r="596" spans="1:17" x14ac:dyDescent="0.4">
      <c r="A596" s="557"/>
      <c r="B596" s="557"/>
      <c r="C596" s="557"/>
      <c r="D596" s="615"/>
      <c r="E596" s="562"/>
      <c r="F596" s="617">
        <f>SUM(D592:D593)</f>
        <v>3.47</v>
      </c>
      <c r="G596" s="618">
        <f>(SUMPRODUCT(D592:D593,E592:E593))</f>
        <v>326807.7</v>
      </c>
      <c r="H596" s="619"/>
      <c r="I596" s="620"/>
      <c r="J596" s="621">
        <f>SUM(D592:D593)</f>
        <v>3.47</v>
      </c>
      <c r="K596" s="622">
        <f>(SUMPRODUCT(D592:D593,E592:E593))</f>
        <v>326807.7</v>
      </c>
      <c r="L596" s="623"/>
      <c r="M596" s="624"/>
      <c r="N596" s="625">
        <f>+H596+J596+L596</f>
        <v>3.47</v>
      </c>
      <c r="O596" s="626">
        <f>+I596+K596+M596</f>
        <v>326807.7</v>
      </c>
      <c r="P596" s="627">
        <f>SUM(D594:D595)</f>
        <v>2</v>
      </c>
      <c r="Q596" s="628">
        <f>(SUMPRODUCT(D594:D595,E594:E595))</f>
        <v>142722</v>
      </c>
    </row>
    <row r="597" spans="1:17" x14ac:dyDescent="0.4">
      <c r="A597" s="601" t="s">
        <v>460</v>
      </c>
      <c r="B597" s="601" t="s">
        <v>267</v>
      </c>
      <c r="C597" s="602"/>
      <c r="D597" s="469"/>
      <c r="E597" s="536"/>
      <c r="F597" s="603"/>
      <c r="G597" s="604"/>
      <c r="H597" s="605"/>
      <c r="I597" s="606"/>
      <c r="J597" s="607"/>
      <c r="K597" s="608"/>
      <c r="L597" s="609"/>
      <c r="M597" s="610"/>
      <c r="N597" s="611"/>
      <c r="O597" s="612"/>
      <c r="P597" s="613"/>
      <c r="Q597" s="614"/>
    </row>
    <row r="598" spans="1:17" x14ac:dyDescent="0.4">
      <c r="A598" s="601"/>
      <c r="B598" s="601" t="s">
        <v>331</v>
      </c>
      <c r="C598" s="653" t="s">
        <v>136</v>
      </c>
      <c r="D598" s="469">
        <v>0.2</v>
      </c>
      <c r="E598" s="536">
        <v>120640</v>
      </c>
      <c r="F598" s="603"/>
      <c r="G598" s="604"/>
      <c r="H598" s="605"/>
      <c r="I598" s="606"/>
      <c r="J598" s="607"/>
      <c r="K598" s="608"/>
      <c r="L598" s="609"/>
      <c r="M598" s="610"/>
      <c r="N598" s="611"/>
      <c r="O598" s="612"/>
      <c r="P598" s="613"/>
      <c r="Q598" s="614"/>
    </row>
    <row r="599" spans="1:17" x14ac:dyDescent="0.4">
      <c r="A599" s="601"/>
      <c r="B599" s="601" t="s">
        <v>333</v>
      </c>
      <c r="C599" s="653" t="s">
        <v>113</v>
      </c>
      <c r="D599" s="469">
        <v>4.9800000000000004</v>
      </c>
      <c r="E599" s="536">
        <v>159391</v>
      </c>
      <c r="F599" s="603"/>
      <c r="G599" s="604"/>
      <c r="H599" s="605"/>
      <c r="I599" s="606"/>
      <c r="J599" s="607"/>
      <c r="K599" s="608"/>
      <c r="L599" s="609"/>
      <c r="M599" s="610"/>
      <c r="N599" s="611"/>
      <c r="O599" s="612"/>
      <c r="P599" s="613"/>
      <c r="Q599" s="614"/>
    </row>
    <row r="600" spans="1:17" x14ac:dyDescent="0.4">
      <c r="A600" s="601"/>
      <c r="B600" s="601" t="s">
        <v>334</v>
      </c>
      <c r="C600" s="653" t="s">
        <v>120</v>
      </c>
      <c r="D600" s="469">
        <v>2</v>
      </c>
      <c r="E600" s="536">
        <v>153861</v>
      </c>
      <c r="F600" s="603"/>
      <c r="G600" s="604"/>
      <c r="H600" s="605"/>
      <c r="I600" s="606"/>
      <c r="J600" s="607"/>
      <c r="K600" s="608"/>
      <c r="L600" s="609"/>
      <c r="M600" s="610"/>
      <c r="N600" s="611"/>
      <c r="O600" s="612"/>
      <c r="P600" s="613"/>
      <c r="Q600" s="614"/>
    </row>
    <row r="601" spans="1:17" x14ac:dyDescent="0.4">
      <c r="A601" s="601"/>
      <c r="B601" s="601" t="s">
        <v>335</v>
      </c>
      <c r="C601" s="653" t="s">
        <v>130</v>
      </c>
      <c r="D601" s="469">
        <v>3.87</v>
      </c>
      <c r="E601" s="536">
        <v>166144</v>
      </c>
      <c r="F601" s="603"/>
      <c r="G601" s="604"/>
      <c r="H601" s="605"/>
      <c r="I601" s="606"/>
      <c r="J601" s="607"/>
      <c r="K601" s="608"/>
      <c r="L601" s="609"/>
      <c r="M601" s="610"/>
      <c r="N601" s="611"/>
      <c r="O601" s="612"/>
      <c r="P601" s="613"/>
      <c r="Q601" s="614"/>
    </row>
    <row r="602" spans="1:17" x14ac:dyDescent="0.4">
      <c r="A602" s="601"/>
      <c r="B602" s="601" t="s">
        <v>336</v>
      </c>
      <c r="C602" s="653" t="s">
        <v>121</v>
      </c>
      <c r="D602" s="469">
        <v>1.75</v>
      </c>
      <c r="E602" s="536">
        <v>187157</v>
      </c>
      <c r="F602" s="603"/>
      <c r="G602" s="604"/>
      <c r="H602" s="605"/>
      <c r="I602" s="606"/>
      <c r="J602" s="607"/>
      <c r="K602" s="608"/>
      <c r="L602" s="609"/>
      <c r="M602" s="610"/>
      <c r="N602" s="611"/>
      <c r="O602" s="612"/>
      <c r="P602" s="613"/>
      <c r="Q602" s="614"/>
    </row>
    <row r="603" spans="1:17" x14ac:dyDescent="0.4">
      <c r="A603" s="601"/>
      <c r="B603" s="601" t="s">
        <v>337</v>
      </c>
      <c r="C603" s="653" t="s">
        <v>129</v>
      </c>
      <c r="D603" s="469">
        <v>4</v>
      </c>
      <c r="E603" s="536">
        <v>178315</v>
      </c>
      <c r="F603" s="603"/>
      <c r="G603" s="604"/>
      <c r="H603" s="605"/>
      <c r="I603" s="606"/>
      <c r="J603" s="607"/>
      <c r="K603" s="608"/>
      <c r="L603" s="609"/>
      <c r="M603" s="610"/>
      <c r="N603" s="611"/>
      <c r="O603" s="612"/>
      <c r="P603" s="613"/>
      <c r="Q603" s="614"/>
    </row>
    <row r="604" spans="1:17" x14ac:dyDescent="0.4">
      <c r="A604" s="601"/>
      <c r="B604" s="601" t="s">
        <v>338</v>
      </c>
      <c r="C604" s="653" t="s">
        <v>114</v>
      </c>
      <c r="D604" s="469">
        <v>1.18</v>
      </c>
      <c r="E604" s="536">
        <v>164048</v>
      </c>
      <c r="F604" s="603"/>
      <c r="G604" s="604"/>
      <c r="H604" s="605"/>
      <c r="I604" s="606"/>
      <c r="J604" s="607"/>
      <c r="K604" s="608"/>
      <c r="L604" s="609"/>
      <c r="M604" s="610"/>
      <c r="N604" s="611"/>
      <c r="O604" s="612"/>
      <c r="P604" s="613"/>
      <c r="Q604" s="614"/>
    </row>
    <row r="605" spans="1:17" x14ac:dyDescent="0.4">
      <c r="A605" s="601"/>
      <c r="B605" s="601" t="s">
        <v>339</v>
      </c>
      <c r="C605" s="653" t="s">
        <v>407</v>
      </c>
      <c r="D605" s="469">
        <v>12.65</v>
      </c>
      <c r="E605" s="536">
        <v>86637</v>
      </c>
      <c r="F605" s="603"/>
      <c r="G605" s="604"/>
      <c r="H605" s="605"/>
      <c r="I605" s="606"/>
      <c r="J605" s="607"/>
      <c r="K605" s="608"/>
      <c r="L605" s="609"/>
      <c r="M605" s="610"/>
      <c r="N605" s="611"/>
      <c r="O605" s="612"/>
      <c r="P605" s="613"/>
      <c r="Q605" s="614"/>
    </row>
    <row r="606" spans="1:17" x14ac:dyDescent="0.4">
      <c r="A606" s="601"/>
      <c r="B606" s="601" t="s">
        <v>340</v>
      </c>
      <c r="C606" s="653" t="s">
        <v>115</v>
      </c>
      <c r="D606" s="469">
        <v>52.36</v>
      </c>
      <c r="E606" s="536">
        <v>98615</v>
      </c>
      <c r="F606" s="603"/>
      <c r="G606" s="604"/>
      <c r="H606" s="605"/>
      <c r="I606" s="606"/>
      <c r="J606" s="607"/>
      <c r="K606" s="608"/>
      <c r="L606" s="609"/>
      <c r="M606" s="610"/>
      <c r="N606" s="611"/>
      <c r="O606" s="612"/>
      <c r="P606" s="613"/>
      <c r="Q606" s="614"/>
    </row>
    <row r="607" spans="1:17" x14ac:dyDescent="0.4">
      <c r="A607" s="601"/>
      <c r="B607" s="601" t="s">
        <v>341</v>
      </c>
      <c r="C607" s="653" t="s">
        <v>116</v>
      </c>
      <c r="D607" s="469">
        <v>68.53</v>
      </c>
      <c r="E607" s="536">
        <v>87750</v>
      </c>
      <c r="F607" s="603"/>
      <c r="G607" s="604"/>
      <c r="H607" s="605"/>
      <c r="I607" s="606"/>
      <c r="J607" s="607"/>
      <c r="K607" s="608"/>
      <c r="L607" s="609"/>
      <c r="M607" s="610"/>
      <c r="N607" s="611"/>
      <c r="O607" s="612"/>
      <c r="P607" s="613"/>
      <c r="Q607" s="614"/>
    </row>
    <row r="608" spans="1:17" x14ac:dyDescent="0.4">
      <c r="A608" s="601"/>
      <c r="B608" s="601" t="s">
        <v>408</v>
      </c>
      <c r="C608" s="653" t="s">
        <v>409</v>
      </c>
      <c r="D608" s="469">
        <v>8.3699999999999992</v>
      </c>
      <c r="E608" s="536">
        <v>103460</v>
      </c>
      <c r="F608" s="603"/>
      <c r="G608" s="604"/>
      <c r="H608" s="605"/>
      <c r="I608" s="606"/>
      <c r="J608" s="607"/>
      <c r="K608" s="608"/>
      <c r="L608" s="609"/>
      <c r="M608" s="610"/>
      <c r="N608" s="611"/>
      <c r="O608" s="612"/>
      <c r="P608" s="613"/>
      <c r="Q608" s="614"/>
    </row>
    <row r="609" spans="1:17" x14ac:dyDescent="0.4">
      <c r="A609" s="601"/>
      <c r="B609" s="601" t="s">
        <v>342</v>
      </c>
      <c r="C609" s="653" t="s">
        <v>117</v>
      </c>
      <c r="D609" s="469">
        <v>34.340000000000003</v>
      </c>
      <c r="E609" s="536">
        <v>91300</v>
      </c>
      <c r="F609" s="603"/>
      <c r="G609" s="604"/>
      <c r="H609" s="605"/>
      <c r="I609" s="606"/>
      <c r="J609" s="607"/>
      <c r="K609" s="608"/>
      <c r="L609" s="609"/>
      <c r="M609" s="610"/>
      <c r="N609" s="611"/>
      <c r="O609" s="612"/>
      <c r="P609" s="613"/>
      <c r="Q609" s="614"/>
    </row>
    <row r="610" spans="1:17" x14ac:dyDescent="0.4">
      <c r="A610" s="601"/>
      <c r="B610" s="601" t="s">
        <v>343</v>
      </c>
      <c r="C610" s="653" t="s">
        <v>128</v>
      </c>
      <c r="D610" s="469">
        <v>3.7</v>
      </c>
      <c r="E610" s="536">
        <v>92543</v>
      </c>
      <c r="F610" s="603"/>
      <c r="G610" s="604"/>
      <c r="H610" s="605"/>
      <c r="I610" s="606"/>
      <c r="J610" s="607"/>
      <c r="K610" s="608"/>
      <c r="L610" s="609"/>
      <c r="M610" s="610"/>
      <c r="N610" s="611"/>
      <c r="O610" s="612"/>
      <c r="P610" s="613"/>
      <c r="Q610" s="614"/>
    </row>
    <row r="611" spans="1:17" x14ac:dyDescent="0.4">
      <c r="A611" s="601"/>
      <c r="B611" s="601" t="s">
        <v>344</v>
      </c>
      <c r="C611" s="653" t="s">
        <v>122</v>
      </c>
      <c r="D611" s="469">
        <v>15.75</v>
      </c>
      <c r="E611" s="536">
        <v>90073</v>
      </c>
      <c r="F611" s="603"/>
      <c r="G611" s="604"/>
      <c r="H611" s="605"/>
      <c r="I611" s="606"/>
      <c r="J611" s="607"/>
      <c r="K611" s="608"/>
      <c r="L611" s="609"/>
      <c r="M611" s="610"/>
      <c r="N611" s="611"/>
      <c r="O611" s="612"/>
      <c r="P611" s="613"/>
      <c r="Q611" s="614"/>
    </row>
    <row r="612" spans="1:17" x14ac:dyDescent="0.4">
      <c r="A612" s="601"/>
      <c r="B612" s="601" t="s">
        <v>346</v>
      </c>
      <c r="C612" s="653" t="s">
        <v>124</v>
      </c>
      <c r="D612" s="469">
        <v>11.34</v>
      </c>
      <c r="E612" s="536">
        <v>87014</v>
      </c>
      <c r="F612" s="603"/>
      <c r="G612" s="604"/>
      <c r="H612" s="605"/>
      <c r="I612" s="606"/>
      <c r="J612" s="607"/>
      <c r="K612" s="608"/>
      <c r="L612" s="609"/>
      <c r="M612" s="610"/>
      <c r="N612" s="611"/>
      <c r="O612" s="612"/>
      <c r="P612" s="613"/>
      <c r="Q612" s="614"/>
    </row>
    <row r="613" spans="1:17" x14ac:dyDescent="0.4">
      <c r="A613" s="601"/>
      <c r="B613" s="601" t="s">
        <v>349</v>
      </c>
      <c r="C613" s="601" t="s">
        <v>126</v>
      </c>
      <c r="D613" s="469">
        <v>8.76</v>
      </c>
      <c r="E613" s="536">
        <v>96770</v>
      </c>
      <c r="F613" s="603"/>
      <c r="G613" s="604"/>
      <c r="H613" s="605"/>
      <c r="I613" s="606"/>
      <c r="J613" s="607"/>
      <c r="K613" s="608"/>
      <c r="L613" s="609"/>
      <c r="M613" s="610"/>
      <c r="N613" s="611"/>
      <c r="O613" s="612"/>
      <c r="P613" s="613"/>
      <c r="Q613" s="614"/>
    </row>
    <row r="614" spans="1:17" x14ac:dyDescent="0.4">
      <c r="A614" s="601"/>
      <c r="B614" s="601" t="s">
        <v>352</v>
      </c>
      <c r="C614" s="601" t="s">
        <v>118</v>
      </c>
      <c r="D614" s="469">
        <v>5.6</v>
      </c>
      <c r="E614" s="536">
        <v>87905</v>
      </c>
      <c r="F614" s="603"/>
      <c r="G614" s="604"/>
      <c r="H614" s="605"/>
      <c r="I614" s="606"/>
      <c r="J614" s="607"/>
      <c r="K614" s="608"/>
      <c r="L614" s="609"/>
      <c r="M614" s="610"/>
      <c r="N614" s="611"/>
      <c r="O614" s="612"/>
      <c r="P614" s="613"/>
      <c r="Q614" s="614"/>
    </row>
    <row r="615" spans="1:17" x14ac:dyDescent="0.4">
      <c r="A615" s="601"/>
      <c r="B615" s="601" t="s">
        <v>353</v>
      </c>
      <c r="C615" s="601" t="s">
        <v>119</v>
      </c>
      <c r="D615" s="469">
        <v>6</v>
      </c>
      <c r="E615" s="536">
        <v>43629</v>
      </c>
      <c r="F615" s="603"/>
      <c r="G615" s="604"/>
      <c r="H615" s="605"/>
      <c r="I615" s="606"/>
      <c r="J615" s="607"/>
      <c r="K615" s="608"/>
      <c r="L615" s="609"/>
      <c r="M615" s="610"/>
      <c r="N615" s="611"/>
      <c r="O615" s="612"/>
      <c r="P615" s="613"/>
      <c r="Q615" s="614"/>
    </row>
    <row r="616" spans="1:17" x14ac:dyDescent="0.4">
      <c r="A616" s="601"/>
      <c r="B616" s="601" t="s">
        <v>354</v>
      </c>
      <c r="C616" s="601" t="s">
        <v>236</v>
      </c>
      <c r="D616" s="469">
        <v>13</v>
      </c>
      <c r="E616" s="536">
        <v>116342</v>
      </c>
      <c r="F616" s="603"/>
      <c r="G616" s="604"/>
      <c r="H616" s="605"/>
      <c r="I616" s="606"/>
      <c r="J616" s="607"/>
      <c r="K616" s="608"/>
      <c r="L616" s="609"/>
      <c r="M616" s="610"/>
      <c r="N616" s="611"/>
      <c r="O616" s="612"/>
      <c r="P616" s="613"/>
      <c r="Q616" s="614"/>
    </row>
    <row r="617" spans="1:17" x14ac:dyDescent="0.4">
      <c r="A617" s="601"/>
      <c r="B617" s="601" t="s">
        <v>357</v>
      </c>
      <c r="C617" s="601" t="s">
        <v>237</v>
      </c>
      <c r="D617" s="469">
        <v>0.6</v>
      </c>
      <c r="E617" s="536">
        <v>73320</v>
      </c>
      <c r="F617" s="603"/>
      <c r="G617" s="604"/>
      <c r="H617" s="605"/>
      <c r="I617" s="606"/>
      <c r="J617" s="607"/>
      <c r="K617" s="608"/>
      <c r="L617" s="609"/>
      <c r="M617" s="610"/>
      <c r="N617" s="611"/>
      <c r="O617" s="612"/>
      <c r="P617" s="613"/>
      <c r="Q617" s="614"/>
    </row>
    <row r="618" spans="1:17" x14ac:dyDescent="0.4">
      <c r="A618" s="601"/>
      <c r="B618" s="601" t="s">
        <v>358</v>
      </c>
      <c r="C618" s="601" t="s">
        <v>89</v>
      </c>
      <c r="D618" s="469">
        <v>208.21</v>
      </c>
      <c r="E618" s="536">
        <v>80434</v>
      </c>
      <c r="F618" s="603"/>
      <c r="G618" s="604"/>
      <c r="H618" s="605"/>
      <c r="I618" s="606"/>
      <c r="J618" s="607"/>
      <c r="K618" s="608"/>
      <c r="L618" s="609"/>
      <c r="M618" s="610"/>
      <c r="N618" s="611"/>
      <c r="O618" s="612"/>
      <c r="P618" s="613"/>
      <c r="Q618" s="614"/>
    </row>
    <row r="619" spans="1:17" x14ac:dyDescent="0.4">
      <c r="A619" s="601"/>
      <c r="B619" s="601" t="s">
        <v>361</v>
      </c>
      <c r="C619" s="601" t="s">
        <v>92</v>
      </c>
      <c r="D619" s="469">
        <v>34.25</v>
      </c>
      <c r="E619" s="536">
        <v>78587</v>
      </c>
      <c r="F619" s="603"/>
      <c r="G619" s="604"/>
      <c r="H619" s="605"/>
      <c r="I619" s="606"/>
      <c r="J619" s="607"/>
      <c r="K619" s="608"/>
      <c r="L619" s="609"/>
      <c r="M619" s="610"/>
      <c r="N619" s="611"/>
      <c r="O619" s="612"/>
      <c r="P619" s="613"/>
      <c r="Q619" s="614"/>
    </row>
    <row r="620" spans="1:17" x14ac:dyDescent="0.4">
      <c r="A620" s="601"/>
      <c r="B620" s="601" t="s">
        <v>363</v>
      </c>
      <c r="C620" s="601" t="s">
        <v>94</v>
      </c>
      <c r="D620" s="469">
        <v>76.88</v>
      </c>
      <c r="E620" s="536">
        <v>86907</v>
      </c>
      <c r="F620" s="603"/>
      <c r="G620" s="604"/>
      <c r="H620" s="605"/>
      <c r="I620" s="606"/>
      <c r="J620" s="607"/>
      <c r="K620" s="608"/>
      <c r="L620" s="609"/>
      <c r="M620" s="610"/>
      <c r="N620" s="611"/>
      <c r="O620" s="612"/>
      <c r="P620" s="613"/>
      <c r="Q620" s="614"/>
    </row>
    <row r="621" spans="1:17" x14ac:dyDescent="0.4">
      <c r="A621" s="601"/>
      <c r="B621" s="601" t="s">
        <v>364</v>
      </c>
      <c r="C621" s="601" t="s">
        <v>95</v>
      </c>
      <c r="D621" s="469">
        <v>1.48</v>
      </c>
      <c r="E621" s="536">
        <v>57196</v>
      </c>
      <c r="F621" s="603"/>
      <c r="G621" s="604"/>
      <c r="H621" s="605"/>
      <c r="I621" s="606"/>
      <c r="J621" s="607"/>
      <c r="K621" s="608"/>
      <c r="L621" s="609"/>
      <c r="M621" s="610"/>
      <c r="N621" s="611"/>
      <c r="O621" s="612"/>
      <c r="P621" s="613"/>
      <c r="Q621" s="614"/>
    </row>
    <row r="622" spans="1:17" x14ac:dyDescent="0.4">
      <c r="A622" s="601"/>
      <c r="B622" s="601" t="s">
        <v>365</v>
      </c>
      <c r="C622" s="601" t="s">
        <v>96</v>
      </c>
      <c r="D622" s="469">
        <v>11.53</v>
      </c>
      <c r="E622" s="536">
        <v>90681</v>
      </c>
      <c r="F622" s="603"/>
      <c r="G622" s="604"/>
      <c r="H622" s="605"/>
      <c r="I622" s="606"/>
      <c r="J622" s="607"/>
      <c r="K622" s="608"/>
      <c r="L622" s="609"/>
      <c r="M622" s="610"/>
      <c r="N622" s="611"/>
      <c r="O622" s="612"/>
      <c r="P622" s="613"/>
      <c r="Q622" s="614"/>
    </row>
    <row r="623" spans="1:17" x14ac:dyDescent="0.4">
      <c r="A623" s="601"/>
      <c r="B623" s="601" t="s">
        <v>366</v>
      </c>
      <c r="C623" s="601" t="s">
        <v>88</v>
      </c>
      <c r="D623" s="469">
        <v>19.18</v>
      </c>
      <c r="E623" s="536">
        <v>91960</v>
      </c>
      <c r="F623" s="603"/>
      <c r="G623" s="604"/>
      <c r="H623" s="605"/>
      <c r="I623" s="606"/>
      <c r="J623" s="607"/>
      <c r="K623" s="608"/>
      <c r="L623" s="609"/>
      <c r="M623" s="610"/>
      <c r="N623" s="611"/>
      <c r="O623" s="612"/>
      <c r="P623" s="613"/>
      <c r="Q623" s="614"/>
    </row>
    <row r="624" spans="1:17" x14ac:dyDescent="0.4">
      <c r="A624" s="557"/>
      <c r="B624" s="557"/>
      <c r="C624" s="557"/>
      <c r="D624" s="615"/>
      <c r="E624" s="562"/>
      <c r="F624" s="617">
        <f>SUM(D598:D616)</f>
        <v>258.38</v>
      </c>
      <c r="G624" s="618">
        <f>(SUMPRODUCT(D598:D616,E598:E616))</f>
        <v>25139095.810000002</v>
      </c>
      <c r="H624" s="619">
        <f>SUM(D598:D604)</f>
        <v>17.98</v>
      </c>
      <c r="I624" s="620">
        <f>(SUMPRODUCT(D598:D604,E598:E604))</f>
        <v>3002955.85</v>
      </c>
      <c r="J624" s="621">
        <f>SUM(D605:D613)</f>
        <v>215.8</v>
      </c>
      <c r="K624" s="622">
        <f>(SUMPRODUCT(D605:D613,E605:E613))</f>
        <v>19869651.960000001</v>
      </c>
      <c r="L624" s="623">
        <f>SUM(D614:D616)</f>
        <v>24.6</v>
      </c>
      <c r="M624" s="624">
        <f>(SUMPRODUCT(D614:D616,E614:E616))</f>
        <v>2266488</v>
      </c>
      <c r="N624" s="625">
        <f>+H624+J624+L624</f>
        <v>258.38</v>
      </c>
      <c r="O624" s="626">
        <f>+I624+K624+M624</f>
        <v>25139095.810000002</v>
      </c>
      <c r="P624" s="627">
        <f>SUM(D617:D623)</f>
        <v>352.13</v>
      </c>
      <c r="Q624" s="628">
        <f>(SUMPRODUCT(D617:D623,E617:E623))</f>
        <v>29058164.859999999</v>
      </c>
    </row>
    <row r="625" spans="1:17" x14ac:dyDescent="0.4">
      <c r="A625" s="601" t="s">
        <v>461</v>
      </c>
      <c r="B625" s="601" t="s">
        <v>134</v>
      </c>
      <c r="C625" s="653"/>
      <c r="D625" s="469"/>
      <c r="E625" s="536"/>
      <c r="F625" s="603"/>
      <c r="G625" s="604"/>
      <c r="H625" s="605"/>
      <c r="I625" s="606"/>
      <c r="J625" s="607"/>
      <c r="K625" s="608"/>
      <c r="L625" s="609"/>
      <c r="M625" s="610"/>
      <c r="N625" s="611"/>
      <c r="O625" s="612"/>
      <c r="P625" s="613"/>
      <c r="Q625" s="614"/>
    </row>
    <row r="626" spans="1:17" x14ac:dyDescent="0.4">
      <c r="A626" s="601"/>
      <c r="B626" s="601" t="s">
        <v>358</v>
      </c>
      <c r="C626" s="601" t="s">
        <v>89</v>
      </c>
      <c r="D626" s="469">
        <v>1.1000000000000001</v>
      </c>
      <c r="E626" s="536">
        <v>77798</v>
      </c>
      <c r="F626" s="603"/>
      <c r="G626" s="604"/>
      <c r="H626" s="605"/>
      <c r="I626" s="606"/>
      <c r="J626" s="607"/>
      <c r="K626" s="608"/>
      <c r="L626" s="609"/>
      <c r="M626" s="610"/>
      <c r="N626" s="611"/>
      <c r="O626" s="612"/>
      <c r="P626" s="613"/>
      <c r="Q626" s="614"/>
    </row>
    <row r="627" spans="1:17" x14ac:dyDescent="0.4">
      <c r="A627" s="601"/>
      <c r="B627" s="601" t="s">
        <v>361</v>
      </c>
      <c r="C627" s="601" t="s">
        <v>92</v>
      </c>
      <c r="D627" s="469">
        <v>2.19</v>
      </c>
      <c r="E627" s="536">
        <v>83306</v>
      </c>
      <c r="F627" s="603"/>
      <c r="G627" s="604"/>
      <c r="H627" s="605"/>
      <c r="I627" s="606"/>
      <c r="J627" s="607"/>
      <c r="K627" s="608"/>
      <c r="L627" s="609"/>
      <c r="M627" s="610"/>
      <c r="N627" s="611"/>
      <c r="O627" s="612"/>
      <c r="P627" s="613"/>
      <c r="Q627" s="614"/>
    </row>
    <row r="628" spans="1:17" x14ac:dyDescent="0.4">
      <c r="A628" s="601"/>
      <c r="B628" s="601" t="s">
        <v>363</v>
      </c>
      <c r="C628" s="601" t="s">
        <v>94</v>
      </c>
      <c r="D628" s="469">
        <v>4.5</v>
      </c>
      <c r="E628" s="536">
        <v>100482</v>
      </c>
      <c r="F628" s="603"/>
      <c r="G628" s="604"/>
      <c r="H628" s="605"/>
      <c r="I628" s="606"/>
      <c r="J628" s="607"/>
      <c r="K628" s="608"/>
      <c r="L628" s="609"/>
      <c r="M628" s="610"/>
      <c r="N628" s="611"/>
      <c r="O628" s="612"/>
      <c r="P628" s="613"/>
      <c r="Q628" s="614"/>
    </row>
    <row r="629" spans="1:17" x14ac:dyDescent="0.4">
      <c r="A629" s="601"/>
      <c r="B629" s="601" t="s">
        <v>365</v>
      </c>
      <c r="C629" s="601" t="s">
        <v>96</v>
      </c>
      <c r="D629" s="469">
        <v>1</v>
      </c>
      <c r="E629" s="536">
        <v>125724</v>
      </c>
      <c r="F629" s="603"/>
      <c r="G629" s="604"/>
      <c r="H629" s="605"/>
      <c r="I629" s="606"/>
      <c r="J629" s="607"/>
      <c r="K629" s="608"/>
      <c r="L629" s="609"/>
      <c r="M629" s="610"/>
      <c r="N629" s="611"/>
      <c r="O629" s="612"/>
      <c r="P629" s="613"/>
      <c r="Q629" s="614"/>
    </row>
    <row r="630" spans="1:17" x14ac:dyDescent="0.4">
      <c r="A630" s="601"/>
      <c r="B630" s="601" t="s">
        <v>366</v>
      </c>
      <c r="C630" s="601" t="s">
        <v>88</v>
      </c>
      <c r="D630" s="469">
        <v>1.65</v>
      </c>
      <c r="E630" s="536">
        <v>141565</v>
      </c>
      <c r="F630" s="603"/>
      <c r="G630" s="604"/>
      <c r="H630" s="605"/>
      <c r="I630" s="606"/>
      <c r="J630" s="607"/>
      <c r="K630" s="608"/>
      <c r="L630" s="609"/>
      <c r="M630" s="610"/>
      <c r="N630" s="611"/>
      <c r="O630" s="612"/>
      <c r="P630" s="613"/>
      <c r="Q630" s="614"/>
    </row>
    <row r="631" spans="1:17" x14ac:dyDescent="0.4">
      <c r="A631" s="557"/>
      <c r="B631" s="557"/>
      <c r="C631" s="557"/>
      <c r="D631" s="615"/>
      <c r="E631" s="562"/>
      <c r="F631" s="617"/>
      <c r="G631" s="618"/>
      <c r="H631" s="619"/>
      <c r="I631" s="620"/>
      <c r="J631" s="621"/>
      <c r="K631" s="622"/>
      <c r="L631" s="623"/>
      <c r="M631" s="624"/>
      <c r="N631" s="625">
        <f>+H631+J631+L631</f>
        <v>0</v>
      </c>
      <c r="O631" s="626">
        <f>+I631+K631+M631</f>
        <v>0</v>
      </c>
      <c r="P631" s="627">
        <f>SUM(D626:D630)</f>
        <v>10.44</v>
      </c>
      <c r="Q631" s="628">
        <f>(SUMPRODUCT(D626:D630,E626:E630))</f>
        <v>1079493.19</v>
      </c>
    </row>
    <row r="632" spans="1:17" x14ac:dyDescent="0.4">
      <c r="A632" s="601" t="s">
        <v>462</v>
      </c>
      <c r="B632" s="601" t="s">
        <v>135</v>
      </c>
      <c r="C632" s="653"/>
      <c r="D632" s="469"/>
      <c r="E632" s="536"/>
      <c r="F632" s="603"/>
      <c r="G632" s="604"/>
      <c r="H632" s="605"/>
      <c r="I632" s="606"/>
      <c r="J632" s="607"/>
      <c r="K632" s="608"/>
      <c r="L632" s="609"/>
      <c r="M632" s="610"/>
      <c r="N632" s="611"/>
      <c r="O632" s="612"/>
      <c r="P632" s="613"/>
      <c r="Q632" s="614"/>
    </row>
    <row r="633" spans="1:17" x14ac:dyDescent="0.4">
      <c r="A633" s="601"/>
      <c r="B633" s="601" t="s">
        <v>338</v>
      </c>
      <c r="C633" s="601" t="s">
        <v>114</v>
      </c>
      <c r="D633" s="469">
        <v>0.25</v>
      </c>
      <c r="E633" s="536">
        <v>122624</v>
      </c>
      <c r="F633" s="603"/>
      <c r="G633" s="604"/>
      <c r="H633" s="605"/>
      <c r="I633" s="606"/>
      <c r="J633" s="607"/>
      <c r="K633" s="608"/>
      <c r="L633" s="609"/>
      <c r="M633" s="610"/>
      <c r="N633" s="611"/>
      <c r="O633" s="612"/>
      <c r="P633" s="613"/>
      <c r="Q633" s="614"/>
    </row>
    <row r="634" spans="1:17" x14ac:dyDescent="0.4">
      <c r="A634" s="601"/>
      <c r="B634" s="601" t="s">
        <v>342</v>
      </c>
      <c r="C634" s="601" t="s">
        <v>117</v>
      </c>
      <c r="D634" s="469">
        <v>1</v>
      </c>
      <c r="E634" s="536">
        <v>110191</v>
      </c>
      <c r="F634" s="603"/>
      <c r="G634" s="604"/>
      <c r="H634" s="605"/>
      <c r="I634" s="606"/>
      <c r="J634" s="607"/>
      <c r="K634" s="608"/>
      <c r="L634" s="609"/>
      <c r="M634" s="610"/>
      <c r="N634" s="611"/>
      <c r="O634" s="612"/>
      <c r="P634" s="613"/>
      <c r="Q634" s="614"/>
    </row>
    <row r="635" spans="1:17" x14ac:dyDescent="0.4">
      <c r="A635" s="601"/>
      <c r="B635" s="601" t="s">
        <v>358</v>
      </c>
      <c r="C635" s="601" t="s">
        <v>89</v>
      </c>
      <c r="D635" s="469">
        <v>2.62</v>
      </c>
      <c r="E635" s="536">
        <v>48791</v>
      </c>
      <c r="F635" s="603"/>
      <c r="G635" s="604"/>
      <c r="H635" s="605"/>
      <c r="I635" s="606"/>
      <c r="J635" s="607"/>
      <c r="K635" s="608"/>
      <c r="L635" s="609"/>
      <c r="M635" s="610"/>
      <c r="N635" s="611"/>
      <c r="O635" s="612"/>
      <c r="P635" s="613"/>
      <c r="Q635" s="614"/>
    </row>
    <row r="636" spans="1:17" x14ac:dyDescent="0.4">
      <c r="A636" s="601"/>
      <c r="B636" s="601" t="s">
        <v>361</v>
      </c>
      <c r="C636" s="601" t="s">
        <v>92</v>
      </c>
      <c r="D636" s="469">
        <v>2.7</v>
      </c>
      <c r="E636" s="536">
        <v>75746</v>
      </c>
      <c r="F636" s="603"/>
      <c r="G636" s="604"/>
      <c r="H636" s="605"/>
      <c r="I636" s="606"/>
      <c r="J636" s="607"/>
      <c r="K636" s="608"/>
      <c r="L636" s="609"/>
      <c r="M636" s="610"/>
      <c r="N636" s="611"/>
      <c r="O636" s="612"/>
      <c r="P636" s="613"/>
      <c r="Q636" s="614"/>
    </row>
    <row r="637" spans="1:17" x14ac:dyDescent="0.4">
      <c r="A637" s="601"/>
      <c r="B637" s="601" t="s">
        <v>363</v>
      </c>
      <c r="C637" s="601" t="s">
        <v>94</v>
      </c>
      <c r="D637" s="469">
        <v>5.33</v>
      </c>
      <c r="E637" s="536">
        <v>55394</v>
      </c>
      <c r="F637" s="603"/>
      <c r="G637" s="604"/>
      <c r="H637" s="605"/>
      <c r="I637" s="606"/>
      <c r="J637" s="607"/>
      <c r="K637" s="608"/>
      <c r="L637" s="609"/>
      <c r="M637" s="610"/>
      <c r="N637" s="611"/>
      <c r="O637" s="612"/>
      <c r="P637" s="613"/>
      <c r="Q637" s="614"/>
    </row>
    <row r="638" spans="1:17" x14ac:dyDescent="0.4">
      <c r="A638" s="601"/>
      <c r="B638" s="601" t="s">
        <v>365</v>
      </c>
      <c r="C638" s="601" t="s">
        <v>96</v>
      </c>
      <c r="D638" s="469">
        <v>0.68</v>
      </c>
      <c r="E638" s="536">
        <v>74819</v>
      </c>
      <c r="F638" s="603"/>
      <c r="G638" s="604"/>
      <c r="H638" s="605"/>
      <c r="I638" s="606"/>
      <c r="J638" s="607"/>
      <c r="K638" s="608"/>
      <c r="L638" s="609"/>
      <c r="M638" s="610"/>
      <c r="N638" s="611"/>
      <c r="O638" s="612"/>
      <c r="P638" s="613"/>
      <c r="Q638" s="614"/>
    </row>
    <row r="639" spans="1:17" x14ac:dyDescent="0.4">
      <c r="A639" s="601"/>
      <c r="B639" s="601" t="s">
        <v>366</v>
      </c>
      <c r="C639" s="601" t="s">
        <v>88</v>
      </c>
      <c r="D639" s="469">
        <v>3.48</v>
      </c>
      <c r="E639" s="536">
        <v>121854</v>
      </c>
      <c r="F639" s="603"/>
      <c r="G639" s="604"/>
      <c r="H639" s="605"/>
      <c r="I639" s="606"/>
      <c r="J639" s="607"/>
      <c r="K639" s="608"/>
      <c r="L639" s="609"/>
      <c r="M639" s="610"/>
      <c r="N639" s="611"/>
      <c r="O639" s="612"/>
      <c r="P639" s="613"/>
      <c r="Q639" s="614"/>
    </row>
    <row r="640" spans="1:17" x14ac:dyDescent="0.4">
      <c r="A640" s="557"/>
      <c r="B640" s="557"/>
      <c r="C640" s="557"/>
      <c r="D640" s="615"/>
      <c r="E640" s="562"/>
      <c r="F640" s="617">
        <f>SUM(D633:D634)</f>
        <v>1.25</v>
      </c>
      <c r="G640" s="618">
        <f>(SUMPRODUCT(D633:D634,E633:E634))</f>
        <v>140847</v>
      </c>
      <c r="H640" s="619">
        <f>SUM(D633:D633)</f>
        <v>0.25</v>
      </c>
      <c r="I640" s="620">
        <f>(SUMPRODUCT(D633:D633,E633:E633))</f>
        <v>30656</v>
      </c>
      <c r="J640" s="621">
        <f>SUM(D634:D634)</f>
        <v>1</v>
      </c>
      <c r="K640" s="622">
        <f>(SUMPRODUCT(D634:D634,E634:E634))</f>
        <v>110191</v>
      </c>
      <c r="L640" s="623"/>
      <c r="M640" s="624"/>
      <c r="N640" s="625">
        <f>+H640+J640+L640</f>
        <v>1.25</v>
      </c>
      <c r="O640" s="626">
        <f>+I640+K640+M640</f>
        <v>140847</v>
      </c>
      <c r="P640" s="627">
        <f>SUM(D635:D639)</f>
        <v>14.81</v>
      </c>
      <c r="Q640" s="628">
        <f>(SUMPRODUCT(D635:D639,E635:E639))</f>
        <v>1102525.48</v>
      </c>
    </row>
    <row r="641" spans="1:17" x14ac:dyDescent="0.4">
      <c r="A641" s="601" t="s">
        <v>463</v>
      </c>
      <c r="B641" s="601" t="s">
        <v>464</v>
      </c>
      <c r="C641" s="653"/>
      <c r="D641" s="469"/>
      <c r="E641" s="536"/>
      <c r="F641" s="603"/>
      <c r="G641" s="604"/>
      <c r="H641" s="605"/>
      <c r="I641" s="606"/>
      <c r="J641" s="607"/>
      <c r="K641" s="608"/>
      <c r="L641" s="609"/>
      <c r="M641" s="610"/>
      <c r="N641" s="611"/>
      <c r="O641" s="612"/>
      <c r="P641" s="613"/>
      <c r="Q641" s="614"/>
    </row>
    <row r="642" spans="1:17" x14ac:dyDescent="0.4">
      <c r="A642" s="601"/>
      <c r="B642" s="601" t="s">
        <v>333</v>
      </c>
      <c r="C642" s="601" t="s">
        <v>113</v>
      </c>
      <c r="D642" s="469">
        <v>9.86</v>
      </c>
      <c r="E642" s="536">
        <v>162681</v>
      </c>
      <c r="F642" s="603"/>
      <c r="G642" s="604"/>
      <c r="H642" s="605"/>
      <c r="I642" s="606"/>
      <c r="J642" s="607"/>
      <c r="K642" s="608"/>
      <c r="L642" s="609"/>
      <c r="M642" s="610"/>
      <c r="N642" s="611"/>
      <c r="O642" s="612"/>
      <c r="P642" s="613"/>
      <c r="Q642" s="614"/>
    </row>
    <row r="643" spans="1:17" x14ac:dyDescent="0.4">
      <c r="A643" s="601"/>
      <c r="B643" s="601" t="s">
        <v>338</v>
      </c>
      <c r="C643" s="601" t="s">
        <v>114</v>
      </c>
      <c r="D643" s="469">
        <v>5.74</v>
      </c>
      <c r="E643" s="536">
        <v>141698</v>
      </c>
      <c r="F643" s="603"/>
      <c r="G643" s="604"/>
      <c r="H643" s="605"/>
      <c r="I643" s="606"/>
      <c r="J643" s="607"/>
      <c r="K643" s="608"/>
      <c r="L643" s="609"/>
      <c r="M643" s="610"/>
      <c r="N643" s="611"/>
      <c r="O643" s="612"/>
      <c r="P643" s="613"/>
      <c r="Q643" s="614"/>
    </row>
    <row r="644" spans="1:17" x14ac:dyDescent="0.4">
      <c r="A644" s="601"/>
      <c r="B644" s="601" t="s">
        <v>339</v>
      </c>
      <c r="C644" s="601" t="s">
        <v>407</v>
      </c>
      <c r="D644" s="469">
        <v>14.14</v>
      </c>
      <c r="E644" s="536">
        <v>82816</v>
      </c>
      <c r="F644" s="603"/>
      <c r="G644" s="604"/>
      <c r="H644" s="605"/>
      <c r="I644" s="606"/>
      <c r="J644" s="607"/>
      <c r="K644" s="608"/>
      <c r="L644" s="609"/>
      <c r="M644" s="610"/>
      <c r="N644" s="611"/>
      <c r="O644" s="612"/>
      <c r="P644" s="613"/>
      <c r="Q644" s="614"/>
    </row>
    <row r="645" spans="1:17" x14ac:dyDescent="0.4">
      <c r="A645" s="601"/>
      <c r="B645" s="601" t="s">
        <v>341</v>
      </c>
      <c r="C645" s="601" t="s">
        <v>116</v>
      </c>
      <c r="D645" s="469">
        <v>81.58</v>
      </c>
      <c r="E645" s="536">
        <v>84244</v>
      </c>
      <c r="F645" s="603"/>
      <c r="G645" s="604"/>
      <c r="H645" s="605"/>
      <c r="I645" s="606"/>
      <c r="J645" s="607"/>
      <c r="K645" s="608"/>
      <c r="L645" s="609"/>
      <c r="M645" s="610"/>
      <c r="N645" s="611"/>
      <c r="O645" s="612"/>
      <c r="P645" s="613"/>
      <c r="Q645" s="614"/>
    </row>
    <row r="646" spans="1:17" x14ac:dyDescent="0.4">
      <c r="A646" s="601"/>
      <c r="B646" s="601" t="s">
        <v>342</v>
      </c>
      <c r="C646" s="601" t="s">
        <v>117</v>
      </c>
      <c r="D646" s="469">
        <v>6.82</v>
      </c>
      <c r="E646" s="536">
        <v>92594</v>
      </c>
      <c r="F646" s="603"/>
      <c r="G646" s="604"/>
      <c r="H646" s="605"/>
      <c r="I646" s="606"/>
      <c r="J646" s="607"/>
      <c r="K646" s="608"/>
      <c r="L646" s="609"/>
      <c r="M646" s="610"/>
      <c r="N646" s="611"/>
      <c r="O646" s="612"/>
      <c r="P646" s="613"/>
      <c r="Q646" s="614"/>
    </row>
    <row r="647" spans="1:17" x14ac:dyDescent="0.4">
      <c r="A647" s="601"/>
      <c r="B647" s="601" t="s">
        <v>344</v>
      </c>
      <c r="C647" s="601" t="s">
        <v>122</v>
      </c>
      <c r="D647" s="469">
        <v>2.2999999999999998</v>
      </c>
      <c r="E647" s="536">
        <v>73275</v>
      </c>
      <c r="F647" s="603"/>
      <c r="G647" s="604"/>
      <c r="H647" s="605"/>
      <c r="I647" s="606"/>
      <c r="J647" s="607"/>
      <c r="K647" s="608"/>
      <c r="L647" s="609"/>
      <c r="M647" s="610"/>
      <c r="N647" s="611"/>
      <c r="O647" s="612"/>
      <c r="P647" s="613"/>
      <c r="Q647" s="614"/>
    </row>
    <row r="648" spans="1:17" x14ac:dyDescent="0.4">
      <c r="A648" s="601"/>
      <c r="B648" s="601" t="s">
        <v>347</v>
      </c>
      <c r="C648" s="601" t="s">
        <v>235</v>
      </c>
      <c r="D648" s="469">
        <v>0.33</v>
      </c>
      <c r="E648" s="536">
        <v>80858</v>
      </c>
      <c r="F648" s="603"/>
      <c r="G648" s="604"/>
      <c r="H648" s="605"/>
      <c r="I648" s="606"/>
      <c r="J648" s="607"/>
      <c r="K648" s="608"/>
      <c r="L648" s="609"/>
      <c r="M648" s="610"/>
      <c r="N648" s="611"/>
      <c r="O648" s="612"/>
      <c r="P648" s="613"/>
      <c r="Q648" s="614"/>
    </row>
    <row r="649" spans="1:17" x14ac:dyDescent="0.4">
      <c r="A649" s="601"/>
      <c r="B649" s="601" t="s">
        <v>348</v>
      </c>
      <c r="C649" s="601" t="s">
        <v>125</v>
      </c>
      <c r="D649" s="469">
        <v>0.77</v>
      </c>
      <c r="E649" s="536">
        <v>89590</v>
      </c>
      <c r="F649" s="603"/>
      <c r="G649" s="604"/>
      <c r="H649" s="605"/>
      <c r="I649" s="606"/>
      <c r="J649" s="607"/>
      <c r="K649" s="608"/>
      <c r="L649" s="609"/>
      <c r="M649" s="610"/>
      <c r="N649" s="611"/>
      <c r="O649" s="612"/>
      <c r="P649" s="613"/>
      <c r="Q649" s="614"/>
    </row>
    <row r="650" spans="1:17" x14ac:dyDescent="0.4">
      <c r="A650" s="601"/>
      <c r="B650" s="601" t="s">
        <v>349</v>
      </c>
      <c r="C650" s="601" t="s">
        <v>126</v>
      </c>
      <c r="D650" s="469">
        <v>1.79</v>
      </c>
      <c r="E650" s="536">
        <v>78328</v>
      </c>
      <c r="F650" s="603"/>
      <c r="G650" s="604"/>
      <c r="H650" s="605"/>
      <c r="I650" s="606"/>
      <c r="J650" s="607"/>
      <c r="K650" s="608"/>
      <c r="L650" s="609"/>
      <c r="M650" s="610"/>
      <c r="N650" s="611"/>
      <c r="O650" s="612"/>
      <c r="P650" s="613"/>
      <c r="Q650" s="614"/>
    </row>
    <row r="651" spans="1:17" x14ac:dyDescent="0.4">
      <c r="A651" s="601"/>
      <c r="B651" s="601" t="s">
        <v>353</v>
      </c>
      <c r="C651" s="601" t="s">
        <v>119</v>
      </c>
      <c r="D651" s="469">
        <v>2</v>
      </c>
      <c r="E651" s="536">
        <v>57621</v>
      </c>
      <c r="F651" s="603"/>
      <c r="G651" s="604"/>
      <c r="H651" s="605"/>
      <c r="I651" s="606"/>
      <c r="J651" s="607"/>
      <c r="K651" s="608"/>
      <c r="L651" s="609"/>
      <c r="M651" s="610"/>
      <c r="N651" s="611"/>
      <c r="O651" s="612"/>
      <c r="P651" s="613"/>
      <c r="Q651" s="614"/>
    </row>
    <row r="652" spans="1:17" x14ac:dyDescent="0.4">
      <c r="A652" s="601"/>
      <c r="B652" s="601" t="s">
        <v>357</v>
      </c>
      <c r="C652" s="601" t="s">
        <v>237</v>
      </c>
      <c r="D652" s="469">
        <v>0.26</v>
      </c>
      <c r="E652" s="536">
        <v>66199</v>
      </c>
      <c r="F652" s="603"/>
      <c r="G652" s="604"/>
      <c r="H652" s="605"/>
      <c r="I652" s="606"/>
      <c r="J652" s="607"/>
      <c r="K652" s="608"/>
      <c r="L652" s="609"/>
      <c r="M652" s="610"/>
      <c r="N652" s="611"/>
      <c r="O652" s="612"/>
      <c r="P652" s="613"/>
      <c r="Q652" s="614"/>
    </row>
    <row r="653" spans="1:17" x14ac:dyDescent="0.4">
      <c r="A653" s="601"/>
      <c r="B653" s="601" t="s">
        <v>358</v>
      </c>
      <c r="C653" s="601" t="s">
        <v>89</v>
      </c>
      <c r="D653" s="469">
        <v>668.46</v>
      </c>
      <c r="E653" s="536">
        <v>56611</v>
      </c>
      <c r="F653" s="603"/>
      <c r="G653" s="604"/>
      <c r="H653" s="605"/>
      <c r="I653" s="606"/>
      <c r="J653" s="607"/>
      <c r="K653" s="608"/>
      <c r="L653" s="609"/>
      <c r="M653" s="610"/>
      <c r="N653" s="611"/>
      <c r="O653" s="612"/>
      <c r="P653" s="613"/>
      <c r="Q653" s="614"/>
    </row>
    <row r="654" spans="1:17" x14ac:dyDescent="0.4">
      <c r="A654" s="601"/>
      <c r="B654" s="601" t="s">
        <v>361</v>
      </c>
      <c r="C654" s="601" t="s">
        <v>92</v>
      </c>
      <c r="D654" s="469">
        <v>34.909999999999997</v>
      </c>
      <c r="E654" s="536">
        <v>67422</v>
      </c>
      <c r="F654" s="603"/>
      <c r="G654" s="604"/>
      <c r="H654" s="605"/>
      <c r="I654" s="606"/>
      <c r="J654" s="607"/>
      <c r="K654" s="608"/>
      <c r="L654" s="609"/>
      <c r="M654" s="610"/>
      <c r="N654" s="611"/>
      <c r="O654" s="612"/>
      <c r="P654" s="613"/>
      <c r="Q654" s="614"/>
    </row>
    <row r="655" spans="1:17" x14ac:dyDescent="0.4">
      <c r="A655" s="601"/>
      <c r="B655" s="601" t="s">
        <v>363</v>
      </c>
      <c r="C655" s="601" t="s">
        <v>94</v>
      </c>
      <c r="D655" s="469">
        <v>123.45</v>
      </c>
      <c r="E655" s="536">
        <v>75714</v>
      </c>
      <c r="F655" s="603"/>
      <c r="G655" s="604"/>
      <c r="H655" s="605"/>
      <c r="I655" s="606"/>
      <c r="J655" s="607"/>
      <c r="K655" s="608"/>
      <c r="L655" s="609"/>
      <c r="M655" s="610"/>
      <c r="N655" s="611"/>
      <c r="O655" s="612"/>
      <c r="P655" s="613"/>
      <c r="Q655" s="614"/>
    </row>
    <row r="656" spans="1:17" x14ac:dyDescent="0.4">
      <c r="A656" s="601"/>
      <c r="B656" s="601" t="s">
        <v>364</v>
      </c>
      <c r="C656" s="601" t="s">
        <v>95</v>
      </c>
      <c r="D656" s="469">
        <v>8.09</v>
      </c>
      <c r="E656" s="536">
        <v>54363</v>
      </c>
      <c r="F656" s="603"/>
      <c r="G656" s="604"/>
      <c r="H656" s="605"/>
      <c r="I656" s="606"/>
      <c r="J656" s="607"/>
      <c r="K656" s="608"/>
      <c r="L656" s="609"/>
      <c r="M656" s="610"/>
      <c r="N656" s="611"/>
      <c r="O656" s="612"/>
      <c r="P656" s="613"/>
      <c r="Q656" s="614"/>
    </row>
    <row r="657" spans="1:17" x14ac:dyDescent="0.4">
      <c r="A657" s="601"/>
      <c r="B657" s="601" t="s">
        <v>365</v>
      </c>
      <c r="C657" s="601" t="s">
        <v>96</v>
      </c>
      <c r="D657" s="469">
        <v>13.95</v>
      </c>
      <c r="E657" s="536">
        <v>92812</v>
      </c>
      <c r="F657" s="603"/>
      <c r="G657" s="604"/>
      <c r="H657" s="605"/>
      <c r="I657" s="606"/>
      <c r="J657" s="607"/>
      <c r="K657" s="608"/>
      <c r="L657" s="609"/>
      <c r="M657" s="610"/>
      <c r="N657" s="611"/>
      <c r="O657" s="612"/>
      <c r="P657" s="613"/>
      <c r="Q657" s="614"/>
    </row>
    <row r="658" spans="1:17" x14ac:dyDescent="0.4">
      <c r="A658" s="601"/>
      <c r="B658" s="601" t="s">
        <v>366</v>
      </c>
      <c r="C658" s="601" t="s">
        <v>88</v>
      </c>
      <c r="D658" s="469">
        <v>32.56</v>
      </c>
      <c r="E658" s="536">
        <v>95076</v>
      </c>
      <c r="F658" s="631"/>
      <c r="G658" s="618"/>
      <c r="H658" s="605"/>
      <c r="I658" s="620"/>
      <c r="J658" s="607"/>
      <c r="K658" s="622"/>
      <c r="L658" s="609"/>
      <c r="M658" s="624"/>
      <c r="N658" s="611"/>
      <c r="O658" s="626"/>
      <c r="P658" s="613"/>
      <c r="Q658" s="628"/>
    </row>
    <row r="659" spans="1:17" x14ac:dyDescent="0.4">
      <c r="A659" s="557"/>
      <c r="B659" s="557"/>
      <c r="C659" s="557"/>
      <c r="D659" s="615"/>
      <c r="E659" s="562"/>
      <c r="F659" s="617">
        <f>SUM(D642:D651)</f>
        <v>125.32999999999998</v>
      </c>
      <c r="G659" s="618">
        <f>(SUMPRODUCT(D642:D651,E642:E651))</f>
        <v>11612165.08</v>
      </c>
      <c r="H659" s="619">
        <f>SUM(D642:D643)</f>
        <v>15.6</v>
      </c>
      <c r="I659" s="620">
        <f>(SUMPRODUCT(D642:D643,E642:E643))</f>
        <v>2417381.1799999997</v>
      </c>
      <c r="J659" s="621">
        <f>SUM(D644:D650)</f>
        <v>107.72999999999999</v>
      </c>
      <c r="K659" s="622">
        <f>(SUMPRODUCT(D644:D650,E644:E650))</f>
        <v>9079541.9000000004</v>
      </c>
      <c r="L659" s="623">
        <f>SUM(D651:D651)</f>
        <v>2</v>
      </c>
      <c r="M659" s="624">
        <f>(SUMPRODUCT(D651:D651,E651:E651))</f>
        <v>115242</v>
      </c>
      <c r="N659" s="625">
        <f>+H659+J659+L659</f>
        <v>125.32999999999998</v>
      </c>
      <c r="O659" s="626">
        <f>+I659+K659+M659</f>
        <v>11612165.08</v>
      </c>
      <c r="P659" s="627">
        <f>SUM(D652:D658)</f>
        <v>881.68000000000006</v>
      </c>
      <c r="Q659" s="628">
        <f>(SUMPRODUCT(D652:D658,E652:E658))</f>
        <v>54390194.750000007</v>
      </c>
    </row>
    <row r="660" spans="1:17" x14ac:dyDescent="0.4">
      <c r="A660" s="601" t="s">
        <v>465</v>
      </c>
      <c r="B660" s="601" t="s">
        <v>268</v>
      </c>
      <c r="C660" s="653"/>
      <c r="D660" s="469"/>
      <c r="E660" s="536"/>
      <c r="F660" s="603"/>
      <c r="G660" s="604"/>
      <c r="H660" s="605"/>
      <c r="I660" s="606"/>
      <c r="J660" s="607"/>
      <c r="K660" s="608"/>
      <c r="L660" s="609"/>
      <c r="M660" s="610"/>
      <c r="N660" s="611"/>
      <c r="O660" s="612"/>
      <c r="P660" s="613"/>
      <c r="Q660" s="614"/>
    </row>
    <row r="661" spans="1:17" x14ac:dyDescent="0.4">
      <c r="A661" s="601"/>
      <c r="B661" s="601" t="s">
        <v>333</v>
      </c>
      <c r="C661" s="601" t="s">
        <v>113</v>
      </c>
      <c r="D661" s="469">
        <v>2.4500000000000002</v>
      </c>
      <c r="E661" s="536">
        <v>174923</v>
      </c>
      <c r="F661" s="603"/>
      <c r="G661" s="604"/>
      <c r="H661" s="605"/>
      <c r="I661" s="606"/>
      <c r="J661" s="607"/>
      <c r="K661" s="608"/>
      <c r="L661" s="609"/>
      <c r="M661" s="610"/>
      <c r="N661" s="611"/>
      <c r="O661" s="612"/>
      <c r="P661" s="613"/>
      <c r="Q661" s="614"/>
    </row>
    <row r="662" spans="1:17" x14ac:dyDescent="0.4">
      <c r="A662" s="601"/>
      <c r="B662" s="601" t="s">
        <v>338</v>
      </c>
      <c r="C662" s="601" t="s">
        <v>114</v>
      </c>
      <c r="D662" s="469">
        <v>0.25</v>
      </c>
      <c r="E662" s="536">
        <v>119876</v>
      </c>
      <c r="F662" s="603"/>
      <c r="G662" s="604"/>
      <c r="H662" s="605"/>
      <c r="I662" s="606"/>
      <c r="J662" s="607"/>
      <c r="K662" s="608"/>
      <c r="L662" s="609"/>
      <c r="M662" s="610"/>
      <c r="N662" s="611"/>
      <c r="O662" s="612"/>
      <c r="P662" s="613"/>
      <c r="Q662" s="614"/>
    </row>
    <row r="663" spans="1:17" x14ac:dyDescent="0.4">
      <c r="A663" s="601"/>
      <c r="B663" s="601" t="s">
        <v>339</v>
      </c>
      <c r="C663" s="601" t="s">
        <v>407</v>
      </c>
      <c r="D663" s="469">
        <v>3</v>
      </c>
      <c r="E663" s="536">
        <v>74836</v>
      </c>
      <c r="F663" s="603"/>
      <c r="G663" s="604"/>
      <c r="H663" s="605"/>
      <c r="I663" s="606"/>
      <c r="J663" s="607"/>
      <c r="K663" s="608"/>
      <c r="L663" s="609"/>
      <c r="M663" s="610"/>
      <c r="N663" s="611"/>
      <c r="O663" s="612"/>
      <c r="P663" s="613"/>
      <c r="Q663" s="614"/>
    </row>
    <row r="664" spans="1:17" x14ac:dyDescent="0.4">
      <c r="A664" s="601"/>
      <c r="B664" s="601" t="s">
        <v>340</v>
      </c>
      <c r="C664" s="601" t="s">
        <v>115</v>
      </c>
      <c r="D664" s="469">
        <v>0.7</v>
      </c>
      <c r="E664" s="536">
        <v>119531</v>
      </c>
      <c r="F664" s="603"/>
      <c r="G664" s="604"/>
      <c r="H664" s="605"/>
      <c r="I664" s="606"/>
      <c r="J664" s="607"/>
      <c r="K664" s="608"/>
      <c r="L664" s="609"/>
      <c r="M664" s="610"/>
      <c r="N664" s="611"/>
      <c r="O664" s="612"/>
      <c r="P664" s="613"/>
      <c r="Q664" s="614"/>
    </row>
    <row r="665" spans="1:17" x14ac:dyDescent="0.4">
      <c r="A665" s="601"/>
      <c r="B665" s="601" t="s">
        <v>341</v>
      </c>
      <c r="C665" s="601" t="s">
        <v>116</v>
      </c>
      <c r="D665" s="469">
        <v>2.8</v>
      </c>
      <c r="E665" s="536">
        <v>108248</v>
      </c>
      <c r="F665" s="603"/>
      <c r="G665" s="604"/>
      <c r="H665" s="605"/>
      <c r="I665" s="606"/>
      <c r="J665" s="607"/>
      <c r="K665" s="608"/>
      <c r="L665" s="609"/>
      <c r="M665" s="610"/>
      <c r="N665" s="611"/>
      <c r="O665" s="612"/>
      <c r="P665" s="613"/>
      <c r="Q665" s="614"/>
    </row>
    <row r="666" spans="1:17" x14ac:dyDescent="0.4">
      <c r="A666" s="601"/>
      <c r="B666" s="601" t="s">
        <v>342</v>
      </c>
      <c r="C666" s="601" t="s">
        <v>117</v>
      </c>
      <c r="D666" s="469">
        <v>0.56000000000000005</v>
      </c>
      <c r="E666" s="536">
        <v>107810</v>
      </c>
      <c r="F666" s="603"/>
      <c r="G666" s="604"/>
      <c r="H666" s="605"/>
      <c r="I666" s="606"/>
      <c r="J666" s="607"/>
      <c r="K666" s="608"/>
      <c r="L666" s="609"/>
      <c r="M666" s="610"/>
      <c r="N666" s="611"/>
      <c r="O666" s="612"/>
      <c r="P666" s="613"/>
      <c r="Q666" s="614"/>
    </row>
    <row r="667" spans="1:17" x14ac:dyDescent="0.4">
      <c r="A667" s="601"/>
      <c r="B667" s="601" t="s">
        <v>353</v>
      </c>
      <c r="C667" s="601" t="s">
        <v>119</v>
      </c>
      <c r="D667" s="469">
        <v>1</v>
      </c>
      <c r="E667" s="536">
        <v>40000</v>
      </c>
      <c r="F667" s="603"/>
      <c r="G667" s="604"/>
      <c r="H667" s="605"/>
      <c r="I667" s="606"/>
      <c r="J667" s="607"/>
      <c r="K667" s="608"/>
      <c r="L667" s="609"/>
      <c r="M667" s="610"/>
      <c r="N667" s="611"/>
      <c r="O667" s="612"/>
      <c r="P667" s="613"/>
      <c r="Q667" s="614"/>
    </row>
    <row r="668" spans="1:17" x14ac:dyDescent="0.4">
      <c r="A668" s="601"/>
      <c r="B668" s="601" t="s">
        <v>354</v>
      </c>
      <c r="C668" s="601" t="s">
        <v>236</v>
      </c>
      <c r="D668" s="469">
        <v>4.5</v>
      </c>
      <c r="E668" s="536">
        <v>133616</v>
      </c>
      <c r="F668" s="603"/>
      <c r="G668" s="604"/>
      <c r="H668" s="605"/>
      <c r="I668" s="606"/>
      <c r="J668" s="607"/>
      <c r="K668" s="608"/>
      <c r="L668" s="609"/>
      <c r="M668" s="610"/>
      <c r="N668" s="611"/>
      <c r="O668" s="612"/>
      <c r="P668" s="613"/>
      <c r="Q668" s="614"/>
    </row>
    <row r="669" spans="1:17" x14ac:dyDescent="0.4">
      <c r="A669" s="601"/>
      <c r="B669" s="601" t="s">
        <v>357</v>
      </c>
      <c r="C669" s="601" t="s">
        <v>237</v>
      </c>
      <c r="D669" s="469">
        <v>0.8</v>
      </c>
      <c r="E669" s="536">
        <v>78307</v>
      </c>
      <c r="F669" s="603"/>
      <c r="G669" s="604"/>
      <c r="H669" s="605"/>
      <c r="I669" s="606"/>
      <c r="J669" s="607"/>
      <c r="K669" s="608"/>
      <c r="L669" s="609"/>
      <c r="M669" s="610"/>
      <c r="N669" s="611"/>
      <c r="O669" s="612"/>
      <c r="P669" s="613"/>
      <c r="Q669" s="614"/>
    </row>
    <row r="670" spans="1:17" x14ac:dyDescent="0.4">
      <c r="A670" s="601"/>
      <c r="B670" s="601" t="s">
        <v>358</v>
      </c>
      <c r="C670" s="601" t="s">
        <v>89</v>
      </c>
      <c r="D670" s="469">
        <v>16.03</v>
      </c>
      <c r="E670" s="536">
        <v>54879</v>
      </c>
      <c r="F670" s="603"/>
      <c r="G670" s="604"/>
      <c r="H670" s="605"/>
      <c r="I670" s="606"/>
      <c r="J670" s="607"/>
      <c r="K670" s="608"/>
      <c r="L670" s="609"/>
      <c r="M670" s="610"/>
      <c r="N670" s="611"/>
      <c r="O670" s="612"/>
      <c r="P670" s="613"/>
      <c r="Q670" s="614"/>
    </row>
    <row r="671" spans="1:17" x14ac:dyDescent="0.4">
      <c r="A671" s="601"/>
      <c r="B671" s="601" t="s">
        <v>359</v>
      </c>
      <c r="C671" s="601" t="s">
        <v>90</v>
      </c>
      <c r="D671" s="469">
        <v>3.6</v>
      </c>
      <c r="E671" s="536">
        <v>78228</v>
      </c>
      <c r="F671" s="603"/>
      <c r="G671" s="604"/>
      <c r="H671" s="605"/>
      <c r="I671" s="606"/>
      <c r="J671" s="607"/>
      <c r="K671" s="608"/>
      <c r="L671" s="609"/>
      <c r="M671" s="610"/>
      <c r="N671" s="611"/>
      <c r="O671" s="612"/>
      <c r="P671" s="613"/>
      <c r="Q671" s="614"/>
    </row>
    <row r="672" spans="1:17" x14ac:dyDescent="0.4">
      <c r="A672" s="601"/>
      <c r="B672" s="601" t="s">
        <v>360</v>
      </c>
      <c r="C672" s="601" t="s">
        <v>91</v>
      </c>
      <c r="D672" s="469">
        <v>0.17</v>
      </c>
      <c r="E672" s="536">
        <v>49206</v>
      </c>
      <c r="F672" s="603"/>
      <c r="G672" s="604"/>
      <c r="H672" s="605"/>
      <c r="I672" s="606"/>
      <c r="J672" s="607"/>
      <c r="K672" s="608"/>
      <c r="L672" s="609"/>
      <c r="M672" s="610"/>
      <c r="N672" s="611"/>
      <c r="O672" s="612"/>
      <c r="P672" s="613"/>
      <c r="Q672" s="614"/>
    </row>
    <row r="673" spans="1:17" x14ac:dyDescent="0.4">
      <c r="A673" s="601"/>
      <c r="B673" s="601" t="s">
        <v>361</v>
      </c>
      <c r="C673" s="601" t="s">
        <v>92</v>
      </c>
      <c r="D673" s="469">
        <v>31.45</v>
      </c>
      <c r="E673" s="536">
        <v>72640</v>
      </c>
      <c r="F673" s="603"/>
      <c r="G673" s="604"/>
      <c r="H673" s="605"/>
      <c r="I673" s="606"/>
      <c r="J673" s="607"/>
      <c r="K673" s="608"/>
      <c r="L673" s="609"/>
      <c r="M673" s="610"/>
      <c r="N673" s="611"/>
      <c r="O673" s="612"/>
      <c r="P673" s="613"/>
      <c r="Q673" s="614"/>
    </row>
    <row r="674" spans="1:17" x14ac:dyDescent="0.4">
      <c r="A674" s="601"/>
      <c r="B674" s="601" t="s">
        <v>363</v>
      </c>
      <c r="C674" s="601" t="s">
        <v>94</v>
      </c>
      <c r="D674" s="469">
        <v>74.959999999999994</v>
      </c>
      <c r="E674" s="536">
        <v>76110</v>
      </c>
      <c r="F674" s="603"/>
      <c r="G674" s="604"/>
      <c r="H674" s="605"/>
      <c r="I674" s="606"/>
      <c r="J674" s="607"/>
      <c r="K674" s="608"/>
      <c r="L674" s="609"/>
      <c r="M674" s="610"/>
      <c r="N674" s="611"/>
      <c r="O674" s="612"/>
      <c r="P674" s="613"/>
      <c r="Q674" s="614"/>
    </row>
    <row r="675" spans="1:17" x14ac:dyDescent="0.4">
      <c r="A675" s="601"/>
      <c r="B675" s="601" t="s">
        <v>364</v>
      </c>
      <c r="C675" s="601" t="s">
        <v>95</v>
      </c>
      <c r="D675" s="469">
        <v>11.74</v>
      </c>
      <c r="E675" s="536">
        <v>63530</v>
      </c>
      <c r="F675" s="603"/>
      <c r="G675" s="604"/>
      <c r="H675" s="605"/>
      <c r="I675" s="606"/>
      <c r="J675" s="607"/>
      <c r="K675" s="608"/>
      <c r="L675" s="609"/>
      <c r="M675" s="610"/>
      <c r="N675" s="611"/>
      <c r="O675" s="612"/>
      <c r="P675" s="613"/>
      <c r="Q675" s="614"/>
    </row>
    <row r="676" spans="1:17" x14ac:dyDescent="0.4">
      <c r="A676" s="601"/>
      <c r="B676" s="601" t="s">
        <v>365</v>
      </c>
      <c r="C676" s="601" t="s">
        <v>96</v>
      </c>
      <c r="D676" s="469">
        <v>21.86</v>
      </c>
      <c r="E676" s="536">
        <v>85545</v>
      </c>
      <c r="F676" s="603"/>
      <c r="G676" s="604"/>
      <c r="H676" s="605"/>
      <c r="I676" s="606"/>
      <c r="J676" s="607"/>
      <c r="K676" s="608"/>
      <c r="L676" s="609"/>
      <c r="M676" s="610"/>
      <c r="N676" s="611"/>
      <c r="O676" s="612"/>
      <c r="P676" s="613"/>
      <c r="Q676" s="614"/>
    </row>
    <row r="677" spans="1:17" x14ac:dyDescent="0.4">
      <c r="A677" s="601"/>
      <c r="B677" s="601" t="s">
        <v>366</v>
      </c>
      <c r="C677" s="601" t="s">
        <v>88</v>
      </c>
      <c r="D677" s="469">
        <v>26.64</v>
      </c>
      <c r="E677" s="536">
        <v>114462</v>
      </c>
      <c r="F677" s="603"/>
      <c r="G677" s="604"/>
      <c r="H677" s="605"/>
      <c r="I677" s="606"/>
      <c r="J677" s="607"/>
      <c r="K677" s="608"/>
      <c r="L677" s="609"/>
      <c r="M677" s="610"/>
      <c r="N677" s="611"/>
      <c r="O677" s="612"/>
      <c r="P677" s="613"/>
      <c r="Q677" s="614"/>
    </row>
    <row r="678" spans="1:17" x14ac:dyDescent="0.4">
      <c r="A678" s="557"/>
      <c r="B678" s="557"/>
      <c r="C678" s="557"/>
      <c r="D678" s="615"/>
      <c r="E678" s="562"/>
      <c r="F678" s="617">
        <f>SUM(D661:D668)</f>
        <v>15.26</v>
      </c>
      <c r="G678" s="618">
        <f>(SUMPRODUCT(D661:D668,E661:E668))</f>
        <v>1771450.05</v>
      </c>
      <c r="H678" s="619">
        <f>SUM(D661:D662)</f>
        <v>2.7</v>
      </c>
      <c r="I678" s="620">
        <f>(SUMPRODUCT(D661:D662,E661:E662))</f>
        <v>458530.35000000003</v>
      </c>
      <c r="J678" s="621">
        <f>SUM(D663:D666)</f>
        <v>7.0600000000000005</v>
      </c>
      <c r="K678" s="622">
        <f>(SUMPRODUCT(D663:D666,E663:E666))</f>
        <v>671647.7</v>
      </c>
      <c r="L678" s="623">
        <f>SUM(D667:D668)</f>
        <v>5.5</v>
      </c>
      <c r="M678" s="624">
        <f>(SUMPRODUCT(D667:D668,E667:E668))</f>
        <v>641272</v>
      </c>
      <c r="N678" s="625">
        <f>+H678+J678+L678</f>
        <v>15.260000000000002</v>
      </c>
      <c r="O678" s="626">
        <f>+I678+K678+M678</f>
        <v>1771450.05</v>
      </c>
      <c r="P678" s="627">
        <f>SUM(D669:D677)</f>
        <v>187.25</v>
      </c>
      <c r="Q678" s="628">
        <f>(SUMPRODUCT(D669:D677,E669:E677))</f>
        <v>14887198.969999999</v>
      </c>
    </row>
    <row r="679" spans="1:17" x14ac:dyDescent="0.4">
      <c r="A679" s="601" t="s">
        <v>364</v>
      </c>
      <c r="B679" s="601" t="s">
        <v>153</v>
      </c>
      <c r="C679" s="653"/>
      <c r="D679" s="469"/>
      <c r="E679" s="536"/>
      <c r="F679" s="603"/>
      <c r="G679" s="604"/>
      <c r="H679" s="605"/>
      <c r="I679" s="606"/>
      <c r="J679" s="607"/>
      <c r="K679" s="608"/>
      <c r="L679" s="609"/>
      <c r="M679" s="610"/>
      <c r="N679" s="611"/>
      <c r="O679" s="612"/>
      <c r="P679" s="613"/>
      <c r="Q679" s="614"/>
    </row>
    <row r="680" spans="1:17" x14ac:dyDescent="0.4">
      <c r="A680" s="601"/>
      <c r="B680" s="601" t="s">
        <v>331</v>
      </c>
      <c r="C680" s="601" t="s">
        <v>136</v>
      </c>
      <c r="D680" s="469">
        <v>259.39999999999998</v>
      </c>
      <c r="E680" s="536">
        <v>199532</v>
      </c>
      <c r="F680" s="603"/>
      <c r="G680" s="604"/>
      <c r="H680" s="605"/>
      <c r="I680" s="606"/>
      <c r="J680" s="607"/>
      <c r="K680" s="608"/>
      <c r="L680" s="609"/>
      <c r="M680" s="610"/>
      <c r="N680" s="611"/>
      <c r="O680" s="612"/>
      <c r="P680" s="613"/>
      <c r="Q680" s="614"/>
    </row>
    <row r="681" spans="1:17" x14ac:dyDescent="0.4">
      <c r="A681" s="601"/>
      <c r="B681" s="601" t="s">
        <v>332</v>
      </c>
      <c r="C681" s="601" t="s">
        <v>112</v>
      </c>
      <c r="D681" s="469">
        <v>39.31</v>
      </c>
      <c r="E681" s="536">
        <v>217844</v>
      </c>
      <c r="F681" s="603"/>
      <c r="G681" s="604"/>
      <c r="H681" s="605"/>
      <c r="I681" s="606"/>
      <c r="J681" s="607"/>
      <c r="K681" s="608"/>
      <c r="L681" s="609"/>
      <c r="M681" s="610"/>
      <c r="N681" s="611"/>
      <c r="O681" s="612"/>
      <c r="P681" s="613"/>
      <c r="Q681" s="614"/>
    </row>
    <row r="682" spans="1:17" x14ac:dyDescent="0.4">
      <c r="A682" s="601"/>
      <c r="B682" s="601" t="s">
        <v>333</v>
      </c>
      <c r="C682" s="601" t="s">
        <v>113</v>
      </c>
      <c r="D682" s="469">
        <v>112.95</v>
      </c>
      <c r="E682" s="536">
        <v>180919</v>
      </c>
      <c r="F682" s="603"/>
      <c r="G682" s="604"/>
      <c r="H682" s="605"/>
      <c r="I682" s="606"/>
      <c r="J682" s="607"/>
      <c r="K682" s="608"/>
      <c r="L682" s="609"/>
      <c r="M682" s="610"/>
      <c r="N682" s="611"/>
      <c r="O682" s="612"/>
      <c r="P682" s="613"/>
      <c r="Q682" s="614"/>
    </row>
    <row r="683" spans="1:17" x14ac:dyDescent="0.4">
      <c r="A683" s="601"/>
      <c r="B683" s="601" t="s">
        <v>336</v>
      </c>
      <c r="C683" s="601" t="s">
        <v>121</v>
      </c>
      <c r="D683" s="469">
        <v>2</v>
      </c>
      <c r="E683" s="536">
        <v>155619</v>
      </c>
      <c r="F683" s="603"/>
      <c r="G683" s="604"/>
      <c r="H683" s="605"/>
      <c r="I683" s="606"/>
      <c r="J683" s="607"/>
      <c r="K683" s="608"/>
      <c r="L683" s="609"/>
      <c r="M683" s="610"/>
      <c r="N683" s="611"/>
      <c r="O683" s="612"/>
      <c r="P683" s="613"/>
      <c r="Q683" s="614"/>
    </row>
    <row r="684" spans="1:17" x14ac:dyDescent="0.4">
      <c r="A684" s="601"/>
      <c r="B684" s="601" t="s">
        <v>337</v>
      </c>
      <c r="C684" s="601" t="s">
        <v>129</v>
      </c>
      <c r="D684" s="469">
        <v>1</v>
      </c>
      <c r="E684" s="536">
        <v>186301</v>
      </c>
      <c r="F684" s="603"/>
      <c r="G684" s="604"/>
      <c r="H684" s="605"/>
      <c r="I684" s="606"/>
      <c r="J684" s="607"/>
      <c r="K684" s="608"/>
      <c r="L684" s="609"/>
      <c r="M684" s="610"/>
      <c r="N684" s="611"/>
      <c r="O684" s="612"/>
      <c r="P684" s="613"/>
      <c r="Q684" s="614"/>
    </row>
    <row r="685" spans="1:17" x14ac:dyDescent="0.4">
      <c r="A685" s="601"/>
      <c r="B685" s="601" t="s">
        <v>338</v>
      </c>
      <c r="C685" s="601" t="s">
        <v>114</v>
      </c>
      <c r="D685" s="469">
        <v>2</v>
      </c>
      <c r="E685" s="536">
        <v>65583</v>
      </c>
      <c r="F685" s="603"/>
      <c r="G685" s="604"/>
      <c r="H685" s="605"/>
      <c r="I685" s="606"/>
      <c r="J685" s="607"/>
      <c r="K685" s="608"/>
      <c r="L685" s="609"/>
      <c r="M685" s="610"/>
      <c r="N685" s="611"/>
      <c r="O685" s="612"/>
      <c r="P685" s="613"/>
      <c r="Q685" s="614"/>
    </row>
    <row r="686" spans="1:17" x14ac:dyDescent="0.4">
      <c r="A686" s="601"/>
      <c r="B686" s="601" t="s">
        <v>342</v>
      </c>
      <c r="C686" s="601" t="s">
        <v>117</v>
      </c>
      <c r="D686" s="469">
        <v>2.34</v>
      </c>
      <c r="E686" s="536">
        <v>113075</v>
      </c>
      <c r="F686" s="603"/>
      <c r="G686" s="604"/>
      <c r="H686" s="605"/>
      <c r="I686" s="606"/>
      <c r="J686" s="607"/>
      <c r="K686" s="608"/>
      <c r="L686" s="609"/>
      <c r="M686" s="610"/>
      <c r="N686" s="611"/>
      <c r="O686" s="612"/>
      <c r="P686" s="613"/>
      <c r="Q686" s="614"/>
    </row>
    <row r="687" spans="1:17" x14ac:dyDescent="0.4">
      <c r="A687" s="601"/>
      <c r="B687" s="601" t="s">
        <v>354</v>
      </c>
      <c r="C687" s="601" t="s">
        <v>236</v>
      </c>
      <c r="D687" s="469">
        <v>6.77</v>
      </c>
      <c r="E687" s="536">
        <v>111600</v>
      </c>
      <c r="F687" s="603"/>
      <c r="G687" s="604"/>
      <c r="H687" s="605"/>
      <c r="I687" s="606"/>
      <c r="J687" s="607"/>
      <c r="K687" s="608"/>
      <c r="L687" s="609"/>
      <c r="M687" s="610"/>
      <c r="N687" s="611"/>
      <c r="O687" s="612"/>
      <c r="P687" s="613"/>
      <c r="Q687" s="614"/>
    </row>
    <row r="688" spans="1:17" x14ac:dyDescent="0.4">
      <c r="A688" s="601"/>
      <c r="B688" s="601" t="s">
        <v>357</v>
      </c>
      <c r="C688" s="601" t="s">
        <v>237</v>
      </c>
      <c r="D688" s="469">
        <v>2.54</v>
      </c>
      <c r="E688" s="536">
        <v>79168</v>
      </c>
      <c r="F688" s="603"/>
      <c r="G688" s="604"/>
      <c r="H688" s="605"/>
      <c r="I688" s="606"/>
      <c r="J688" s="607"/>
      <c r="K688" s="608"/>
      <c r="L688" s="609"/>
      <c r="M688" s="610"/>
      <c r="N688" s="611"/>
      <c r="O688" s="612"/>
      <c r="P688" s="613"/>
      <c r="Q688" s="614"/>
    </row>
    <row r="689" spans="1:17" x14ac:dyDescent="0.4">
      <c r="A689" s="601"/>
      <c r="B689" s="601" t="s">
        <v>358</v>
      </c>
      <c r="C689" s="601" t="s">
        <v>89</v>
      </c>
      <c r="D689" s="469">
        <v>19.28</v>
      </c>
      <c r="E689" s="536">
        <v>61792</v>
      </c>
      <c r="F689" s="603"/>
      <c r="G689" s="604"/>
      <c r="H689" s="605"/>
      <c r="I689" s="606"/>
      <c r="J689" s="607"/>
      <c r="K689" s="608"/>
      <c r="L689" s="609"/>
      <c r="M689" s="610"/>
      <c r="N689" s="611"/>
      <c r="O689" s="612"/>
      <c r="P689" s="613"/>
      <c r="Q689" s="614"/>
    </row>
    <row r="690" spans="1:17" x14ac:dyDescent="0.4">
      <c r="A690" s="601"/>
      <c r="B690" s="601" t="s">
        <v>359</v>
      </c>
      <c r="C690" s="601" t="s">
        <v>90</v>
      </c>
      <c r="D690" s="469">
        <v>1218.3</v>
      </c>
      <c r="E690" s="536">
        <v>84996</v>
      </c>
      <c r="F690" s="603"/>
      <c r="G690" s="604"/>
      <c r="H690" s="605"/>
      <c r="I690" s="606"/>
      <c r="J690" s="607"/>
      <c r="K690" s="608"/>
      <c r="L690" s="609"/>
      <c r="M690" s="610"/>
      <c r="N690" s="611"/>
      <c r="O690" s="612"/>
      <c r="P690" s="613"/>
      <c r="Q690" s="614"/>
    </row>
    <row r="691" spans="1:17" x14ac:dyDescent="0.4">
      <c r="A691" s="601"/>
      <c r="B691" s="601" t="s">
        <v>360</v>
      </c>
      <c r="C691" s="601" t="s">
        <v>91</v>
      </c>
      <c r="D691" s="469">
        <v>207.93</v>
      </c>
      <c r="E691" s="536">
        <v>73571</v>
      </c>
      <c r="F691" s="603"/>
      <c r="G691" s="604"/>
      <c r="H691" s="605"/>
      <c r="I691" s="606"/>
      <c r="J691" s="607"/>
      <c r="K691" s="608"/>
      <c r="L691" s="609"/>
      <c r="M691" s="610"/>
      <c r="N691" s="611"/>
      <c r="O691" s="612"/>
      <c r="P691" s="613"/>
      <c r="Q691" s="614"/>
    </row>
    <row r="692" spans="1:17" x14ac:dyDescent="0.4">
      <c r="A692" s="601"/>
      <c r="B692" s="601" t="s">
        <v>361</v>
      </c>
      <c r="C692" s="601" t="s">
        <v>92</v>
      </c>
      <c r="D692" s="469">
        <v>1649.91</v>
      </c>
      <c r="E692" s="536">
        <v>80990</v>
      </c>
      <c r="F692" s="603"/>
      <c r="G692" s="604"/>
      <c r="H692" s="605"/>
      <c r="I692" s="606"/>
      <c r="J692" s="607"/>
      <c r="K692" s="608"/>
      <c r="L692" s="609"/>
      <c r="M692" s="610"/>
      <c r="N692" s="611"/>
      <c r="O692" s="612"/>
      <c r="P692" s="613"/>
      <c r="Q692" s="614"/>
    </row>
    <row r="693" spans="1:17" x14ac:dyDescent="0.4">
      <c r="A693" s="601"/>
      <c r="B693" s="601" t="s">
        <v>362</v>
      </c>
      <c r="C693" s="601" t="s">
        <v>93</v>
      </c>
      <c r="D693" s="469">
        <v>49.13</v>
      </c>
      <c r="E693" s="536">
        <v>77307</v>
      </c>
      <c r="F693" s="603"/>
      <c r="G693" s="604"/>
      <c r="H693" s="605"/>
      <c r="I693" s="606"/>
      <c r="J693" s="607"/>
      <c r="K693" s="608"/>
      <c r="L693" s="609"/>
      <c r="M693" s="610"/>
      <c r="N693" s="611"/>
      <c r="O693" s="612"/>
      <c r="P693" s="613"/>
      <c r="Q693" s="614"/>
    </row>
    <row r="694" spans="1:17" x14ac:dyDescent="0.4">
      <c r="A694" s="601"/>
      <c r="B694" s="601" t="s">
        <v>363</v>
      </c>
      <c r="C694" s="601" t="s">
        <v>94</v>
      </c>
      <c r="D694" s="469">
        <v>925.92</v>
      </c>
      <c r="E694" s="536">
        <v>102549</v>
      </c>
      <c r="F694" s="603"/>
      <c r="G694" s="604"/>
      <c r="H694" s="605"/>
      <c r="I694" s="606"/>
      <c r="J694" s="607"/>
      <c r="K694" s="608"/>
      <c r="L694" s="609"/>
      <c r="M694" s="610"/>
      <c r="N694" s="611"/>
      <c r="O694" s="612"/>
      <c r="P694" s="613"/>
      <c r="Q694" s="614"/>
    </row>
    <row r="695" spans="1:17" x14ac:dyDescent="0.4">
      <c r="A695" s="601"/>
      <c r="B695" s="601" t="s">
        <v>364</v>
      </c>
      <c r="C695" s="601" t="s">
        <v>95</v>
      </c>
      <c r="D695" s="469">
        <v>6097.86</v>
      </c>
      <c r="E695" s="536">
        <v>62030</v>
      </c>
      <c r="F695" s="631"/>
      <c r="G695" s="618"/>
      <c r="H695" s="605"/>
      <c r="I695" s="620"/>
      <c r="J695" s="607"/>
      <c r="K695" s="622"/>
      <c r="L695" s="609"/>
      <c r="M695" s="624"/>
      <c r="N695" s="611"/>
      <c r="O695" s="626"/>
      <c r="P695" s="613"/>
      <c r="Q695" s="628"/>
    </row>
    <row r="696" spans="1:17" x14ac:dyDescent="0.4">
      <c r="A696" s="601"/>
      <c r="B696" s="601" t="s">
        <v>365</v>
      </c>
      <c r="C696" s="601" t="s">
        <v>96</v>
      </c>
      <c r="D696" s="469">
        <v>1101.6400000000001</v>
      </c>
      <c r="E696" s="536">
        <v>92469</v>
      </c>
      <c r="F696" s="603"/>
      <c r="G696" s="604"/>
      <c r="H696" s="605"/>
      <c r="I696" s="606"/>
      <c r="J696" s="607"/>
      <c r="K696" s="608"/>
      <c r="L696" s="609"/>
      <c r="M696" s="610"/>
      <c r="N696" s="611"/>
      <c r="O696" s="612"/>
      <c r="P696" s="613"/>
      <c r="Q696" s="614"/>
    </row>
    <row r="697" spans="1:17" x14ac:dyDescent="0.4">
      <c r="A697" s="601"/>
      <c r="B697" s="601" t="s">
        <v>366</v>
      </c>
      <c r="C697" s="601" t="s">
        <v>88</v>
      </c>
      <c r="D697" s="469">
        <v>1088.52</v>
      </c>
      <c r="E697" s="536">
        <v>146025</v>
      </c>
      <c r="F697" s="603"/>
      <c r="G697" s="604"/>
      <c r="H697" s="605"/>
      <c r="I697" s="606"/>
      <c r="J697" s="607"/>
      <c r="K697" s="608"/>
      <c r="L697" s="609"/>
      <c r="M697" s="610"/>
      <c r="N697" s="611"/>
      <c r="O697" s="612"/>
      <c r="P697" s="613"/>
      <c r="Q697" s="614"/>
    </row>
    <row r="698" spans="1:17" x14ac:dyDescent="0.4">
      <c r="A698" s="557"/>
      <c r="B698" s="557"/>
      <c r="C698" s="557"/>
      <c r="D698" s="615"/>
      <c r="E698" s="562"/>
      <c r="F698" s="617">
        <f>SUM(D680:D687)</f>
        <v>425.76999999999992</v>
      </c>
      <c r="G698" s="654">
        <f>(SUMPRODUCT(D680:D687,E680:E687))</f>
        <v>82405681.989999995</v>
      </c>
      <c r="H698" s="619">
        <f>SUM(D680:D685)</f>
        <v>416.65999999999997</v>
      </c>
      <c r="I698" s="655">
        <f>(SUMPRODUCT(D680:D685,E680:E685))</f>
        <v>81385554.489999995</v>
      </c>
      <c r="J698" s="621">
        <f>SUM(D686:D686)</f>
        <v>2.34</v>
      </c>
      <c r="K698" s="622">
        <f>(SUMPRODUCT(D686:D686,E686:E686))</f>
        <v>264595.5</v>
      </c>
      <c r="L698" s="623">
        <f>SUM(D687:D687)</f>
        <v>6.77</v>
      </c>
      <c r="M698" s="624">
        <f>(SUMPRODUCT(D687:D687,E687:E687))</f>
        <v>755532</v>
      </c>
      <c r="N698" s="625">
        <f>+H698+J698+L698</f>
        <v>425.76999999999992</v>
      </c>
      <c r="O698" s="626">
        <f>+I698+K698+M698</f>
        <v>82405681.989999995</v>
      </c>
      <c r="P698" s="627">
        <f>SUM(D688:D697)</f>
        <v>12361.029999999999</v>
      </c>
      <c r="Q698" s="628">
        <f>(SUMPRODUCT(D688:D697,E688:E697))</f>
        <v>991686093.15999997</v>
      </c>
    </row>
    <row r="699" spans="1:17" x14ac:dyDescent="0.4">
      <c r="A699" s="601" t="s">
        <v>365</v>
      </c>
      <c r="B699" s="601" t="s">
        <v>284</v>
      </c>
      <c r="C699" s="601"/>
      <c r="D699" s="469"/>
      <c r="E699" s="536"/>
      <c r="F699" s="617"/>
      <c r="G699" s="618"/>
      <c r="H699" s="619"/>
      <c r="I699" s="620"/>
      <c r="J699" s="621"/>
      <c r="K699" s="622"/>
      <c r="L699" s="623"/>
      <c r="M699" s="624"/>
      <c r="N699" s="625"/>
      <c r="O699" s="626"/>
      <c r="P699" s="627"/>
      <c r="Q699" s="628"/>
    </row>
    <row r="700" spans="1:17" x14ac:dyDescent="0.4">
      <c r="A700" s="601"/>
      <c r="B700" s="601" t="s">
        <v>333</v>
      </c>
      <c r="C700" s="601" t="s">
        <v>113</v>
      </c>
      <c r="D700" s="469">
        <v>1.61</v>
      </c>
      <c r="E700" s="536">
        <v>177189</v>
      </c>
      <c r="F700" s="603"/>
      <c r="G700" s="604"/>
      <c r="H700" s="605"/>
      <c r="I700" s="606"/>
      <c r="J700" s="607"/>
      <c r="K700" s="608"/>
      <c r="L700" s="609"/>
      <c r="M700" s="610"/>
      <c r="N700" s="611"/>
      <c r="O700" s="612"/>
      <c r="P700" s="613"/>
      <c r="Q700" s="614"/>
    </row>
    <row r="701" spans="1:17" x14ac:dyDescent="0.4">
      <c r="A701" s="601"/>
      <c r="B701" s="601" t="s">
        <v>358</v>
      </c>
      <c r="C701" s="601" t="s">
        <v>89</v>
      </c>
      <c r="D701" s="469">
        <v>26.88</v>
      </c>
      <c r="E701" s="536">
        <v>51073</v>
      </c>
      <c r="F701" s="603"/>
      <c r="G701" s="604"/>
      <c r="H701" s="605"/>
      <c r="I701" s="606"/>
      <c r="J701" s="607"/>
      <c r="K701" s="608"/>
      <c r="L701" s="609"/>
      <c r="M701" s="610"/>
      <c r="N701" s="611"/>
      <c r="O701" s="612"/>
      <c r="P701" s="613"/>
      <c r="Q701" s="614"/>
    </row>
    <row r="702" spans="1:17" x14ac:dyDescent="0.4">
      <c r="A702" s="601"/>
      <c r="B702" s="601" t="s">
        <v>360</v>
      </c>
      <c r="C702" s="601" t="s">
        <v>91</v>
      </c>
      <c r="D702" s="469">
        <v>1.51</v>
      </c>
      <c r="E702" s="536">
        <v>61082</v>
      </c>
      <c r="F702" s="603"/>
      <c r="G702" s="604"/>
      <c r="H702" s="605"/>
      <c r="I702" s="606"/>
      <c r="J702" s="607"/>
      <c r="K702" s="608"/>
      <c r="L702" s="609"/>
      <c r="M702" s="610"/>
      <c r="N702" s="611"/>
      <c r="O702" s="612"/>
      <c r="P702" s="613"/>
      <c r="Q702" s="614"/>
    </row>
    <row r="703" spans="1:17" x14ac:dyDescent="0.4">
      <c r="A703" s="601"/>
      <c r="B703" s="601" t="s">
        <v>361</v>
      </c>
      <c r="C703" s="601" t="s">
        <v>92</v>
      </c>
      <c r="D703" s="469">
        <v>118.93</v>
      </c>
      <c r="E703" s="536">
        <v>66521</v>
      </c>
      <c r="F703" s="603"/>
      <c r="G703" s="604"/>
      <c r="H703" s="605"/>
      <c r="I703" s="606"/>
      <c r="J703" s="607"/>
      <c r="K703" s="608"/>
      <c r="L703" s="609"/>
      <c r="M703" s="610"/>
      <c r="N703" s="611"/>
      <c r="O703" s="612"/>
      <c r="P703" s="613"/>
      <c r="Q703" s="614"/>
    </row>
    <row r="704" spans="1:17" x14ac:dyDescent="0.4">
      <c r="A704" s="601"/>
      <c r="B704" s="601" t="s">
        <v>362</v>
      </c>
      <c r="C704" s="601" t="s">
        <v>93</v>
      </c>
      <c r="D704" s="469">
        <v>22.27</v>
      </c>
      <c r="E704" s="536">
        <v>59670</v>
      </c>
      <c r="F704" s="603"/>
      <c r="G704" s="604"/>
      <c r="H704" s="605"/>
      <c r="I704" s="606"/>
      <c r="J704" s="607"/>
      <c r="K704" s="608"/>
      <c r="L704" s="609"/>
      <c r="M704" s="610"/>
      <c r="N704" s="611"/>
      <c r="O704" s="612"/>
      <c r="P704" s="613"/>
      <c r="Q704" s="614"/>
    </row>
    <row r="705" spans="1:17" x14ac:dyDescent="0.4">
      <c r="A705" s="601"/>
      <c r="B705" s="601" t="s">
        <v>363</v>
      </c>
      <c r="C705" s="601" t="s">
        <v>94</v>
      </c>
      <c r="D705" s="469">
        <v>35.21</v>
      </c>
      <c r="E705" s="536">
        <v>67616</v>
      </c>
      <c r="F705" s="603"/>
      <c r="G705" s="604"/>
      <c r="H705" s="605"/>
      <c r="I705" s="606"/>
      <c r="J705" s="607"/>
      <c r="K705" s="608"/>
      <c r="L705" s="609"/>
      <c r="M705" s="610"/>
      <c r="N705" s="611"/>
      <c r="O705" s="612"/>
      <c r="P705" s="613"/>
      <c r="Q705" s="614"/>
    </row>
    <row r="706" spans="1:17" x14ac:dyDescent="0.4">
      <c r="A706" s="601"/>
      <c r="B706" s="601" t="s">
        <v>364</v>
      </c>
      <c r="C706" s="601" t="s">
        <v>95</v>
      </c>
      <c r="D706" s="469">
        <v>2609.62</v>
      </c>
      <c r="E706" s="536">
        <v>51818</v>
      </c>
      <c r="F706" s="603"/>
      <c r="G706" s="604"/>
      <c r="H706" s="605"/>
      <c r="I706" s="606"/>
      <c r="J706" s="607"/>
      <c r="K706" s="608"/>
      <c r="L706" s="609"/>
      <c r="M706" s="610"/>
      <c r="N706" s="611"/>
      <c r="O706" s="612"/>
      <c r="P706" s="613"/>
      <c r="Q706" s="614"/>
    </row>
    <row r="707" spans="1:17" x14ac:dyDescent="0.4">
      <c r="A707" s="601"/>
      <c r="B707" s="601" t="s">
        <v>365</v>
      </c>
      <c r="C707" s="601" t="s">
        <v>96</v>
      </c>
      <c r="D707" s="469">
        <v>8.07</v>
      </c>
      <c r="E707" s="536">
        <v>101670</v>
      </c>
      <c r="F707" s="603"/>
      <c r="G707" s="604"/>
      <c r="H707" s="605"/>
      <c r="I707" s="606"/>
      <c r="J707" s="607"/>
      <c r="K707" s="608"/>
      <c r="L707" s="609"/>
      <c r="M707" s="610"/>
      <c r="N707" s="611"/>
      <c r="O707" s="612"/>
      <c r="P707" s="613"/>
      <c r="Q707" s="614"/>
    </row>
    <row r="708" spans="1:17" x14ac:dyDescent="0.4">
      <c r="A708" s="601"/>
      <c r="B708" s="601" t="s">
        <v>366</v>
      </c>
      <c r="C708" s="601" t="s">
        <v>88</v>
      </c>
      <c r="D708" s="469">
        <v>186.28</v>
      </c>
      <c r="E708" s="536">
        <v>109618</v>
      </c>
      <c r="F708" s="603"/>
      <c r="G708" s="604"/>
      <c r="H708" s="605"/>
      <c r="I708" s="606"/>
      <c r="J708" s="607"/>
      <c r="K708" s="608"/>
      <c r="L708" s="609"/>
      <c r="M708" s="610"/>
      <c r="N708" s="611"/>
      <c r="O708" s="612"/>
      <c r="P708" s="613"/>
      <c r="Q708" s="614"/>
    </row>
    <row r="709" spans="1:17" x14ac:dyDescent="0.4">
      <c r="A709" s="557"/>
      <c r="B709" s="557"/>
      <c r="C709" s="557"/>
      <c r="D709" s="615"/>
      <c r="E709" s="562"/>
      <c r="F709" s="617">
        <f>SUM(D700:D700)</f>
        <v>1.61</v>
      </c>
      <c r="G709" s="618">
        <f>(SUMPRODUCT(D700:D700,E700:E700))</f>
        <v>285274.29000000004</v>
      </c>
      <c r="H709" s="619">
        <f>SUM(D700:D700)</f>
        <v>1.61</v>
      </c>
      <c r="I709" s="620">
        <f>(SUMPRODUCT(D700:D700,E700:E700))</f>
        <v>285274.29000000004</v>
      </c>
      <c r="J709" s="621"/>
      <c r="K709" s="622"/>
      <c r="L709" s="623"/>
      <c r="M709" s="624"/>
      <c r="N709" s="625">
        <f>+H709+J709+L709</f>
        <v>1.61</v>
      </c>
      <c r="O709" s="626">
        <f>+I709+K709+M709</f>
        <v>285274.29000000004</v>
      </c>
      <c r="P709" s="627">
        <f>SUM(D701:D708)</f>
        <v>3008.7700000000004</v>
      </c>
      <c r="Q709" s="628">
        <f>(SUMPRODUCT(D701:D708,E701:E708))</f>
        <v>169551435.94999999</v>
      </c>
    </row>
    <row r="710" spans="1:17" x14ac:dyDescent="0.4">
      <c r="A710" s="601" t="s">
        <v>366</v>
      </c>
      <c r="B710" s="601" t="s">
        <v>137</v>
      </c>
      <c r="C710" s="601"/>
      <c r="D710" s="469"/>
      <c r="E710" s="536"/>
      <c r="F710" s="603"/>
      <c r="G710" s="604"/>
      <c r="H710" s="605"/>
      <c r="I710" s="606"/>
      <c r="J710" s="607"/>
      <c r="K710" s="608"/>
      <c r="L710" s="609"/>
      <c r="M710" s="610"/>
      <c r="N710" s="611"/>
      <c r="O710" s="612"/>
      <c r="P710" s="613"/>
      <c r="Q710" s="614"/>
    </row>
    <row r="711" spans="1:17" x14ac:dyDescent="0.4">
      <c r="A711" s="601"/>
      <c r="B711" s="601" t="s">
        <v>332</v>
      </c>
      <c r="C711" s="601" t="s">
        <v>112</v>
      </c>
      <c r="D711" s="469">
        <v>0.02</v>
      </c>
      <c r="E711" s="536">
        <v>158000</v>
      </c>
      <c r="F711" s="603"/>
      <c r="G711" s="604"/>
      <c r="H711" s="605"/>
      <c r="I711" s="606"/>
      <c r="J711" s="607"/>
      <c r="K711" s="608"/>
      <c r="L711" s="609"/>
      <c r="M711" s="610"/>
      <c r="N711" s="611"/>
      <c r="O711" s="612"/>
      <c r="P711" s="613"/>
      <c r="Q711" s="614"/>
    </row>
    <row r="712" spans="1:17" x14ac:dyDescent="0.4">
      <c r="A712" s="601"/>
      <c r="B712" s="601" t="s">
        <v>333</v>
      </c>
      <c r="C712" s="601" t="s">
        <v>113</v>
      </c>
      <c r="D712" s="469">
        <v>3.89</v>
      </c>
      <c r="E712" s="536">
        <v>162148</v>
      </c>
      <c r="F712" s="603"/>
      <c r="G712" s="604"/>
      <c r="H712" s="605"/>
      <c r="I712" s="606"/>
      <c r="J712" s="607"/>
      <c r="K712" s="608"/>
      <c r="L712" s="609"/>
      <c r="M712" s="610"/>
      <c r="N712" s="611"/>
      <c r="O712" s="612"/>
      <c r="P712" s="613"/>
      <c r="Q712" s="614"/>
    </row>
    <row r="713" spans="1:17" x14ac:dyDescent="0.4">
      <c r="A713" s="601"/>
      <c r="B713" s="601" t="s">
        <v>338</v>
      </c>
      <c r="C713" s="601" t="s">
        <v>114</v>
      </c>
      <c r="D713" s="469">
        <v>0.02</v>
      </c>
      <c r="E713" s="536">
        <v>147900</v>
      </c>
      <c r="F713" s="603"/>
      <c r="G713" s="604"/>
      <c r="H713" s="605"/>
      <c r="I713" s="606"/>
      <c r="J713" s="607"/>
      <c r="K713" s="608"/>
      <c r="L713" s="609"/>
      <c r="M713" s="610"/>
      <c r="N713" s="611"/>
      <c r="O713" s="612"/>
      <c r="P713" s="613"/>
      <c r="Q713" s="614"/>
    </row>
    <row r="714" spans="1:17" x14ac:dyDescent="0.4">
      <c r="A714" s="601"/>
      <c r="B714" s="601" t="s">
        <v>342</v>
      </c>
      <c r="C714" s="601" t="s">
        <v>117</v>
      </c>
      <c r="D714" s="469">
        <v>0.02</v>
      </c>
      <c r="E714" s="536">
        <v>98900</v>
      </c>
      <c r="F714" s="603"/>
      <c r="G714" s="604"/>
      <c r="H714" s="605"/>
      <c r="I714" s="606"/>
      <c r="J714" s="607"/>
      <c r="K714" s="608"/>
      <c r="L714" s="609"/>
      <c r="M714" s="610"/>
      <c r="N714" s="611"/>
      <c r="O714" s="612"/>
      <c r="P714" s="613"/>
      <c r="Q714" s="614"/>
    </row>
    <row r="715" spans="1:17" x14ac:dyDescent="0.4">
      <c r="A715" s="601"/>
      <c r="B715" s="601" t="s">
        <v>357</v>
      </c>
      <c r="C715" s="601" t="s">
        <v>237</v>
      </c>
      <c r="D715" s="469">
        <v>0.75</v>
      </c>
      <c r="E715" s="536">
        <v>71209</v>
      </c>
      <c r="F715" s="603"/>
      <c r="G715" s="604"/>
      <c r="H715" s="605"/>
      <c r="I715" s="606"/>
      <c r="J715" s="607"/>
      <c r="K715" s="608"/>
      <c r="L715" s="609"/>
      <c r="M715" s="610"/>
      <c r="N715" s="611"/>
      <c r="O715" s="612"/>
      <c r="P715" s="613"/>
      <c r="Q715" s="614"/>
    </row>
    <row r="716" spans="1:17" x14ac:dyDescent="0.4">
      <c r="A716" s="601"/>
      <c r="B716" s="601" t="s">
        <v>358</v>
      </c>
      <c r="C716" s="601" t="s">
        <v>89</v>
      </c>
      <c r="D716" s="469">
        <v>197.48</v>
      </c>
      <c r="E716" s="536">
        <v>54293</v>
      </c>
      <c r="F716" s="603"/>
      <c r="G716" s="604"/>
      <c r="H716" s="605"/>
      <c r="I716" s="606"/>
      <c r="J716" s="607"/>
      <c r="K716" s="608"/>
      <c r="L716" s="609"/>
      <c r="M716" s="610"/>
      <c r="N716" s="611"/>
      <c r="O716" s="612"/>
      <c r="P716" s="613"/>
      <c r="Q716" s="614"/>
    </row>
    <row r="717" spans="1:17" x14ac:dyDescent="0.4">
      <c r="A717" s="601"/>
      <c r="B717" s="601" t="s">
        <v>359</v>
      </c>
      <c r="C717" s="601" t="s">
        <v>90</v>
      </c>
      <c r="D717" s="469">
        <v>351.98</v>
      </c>
      <c r="E717" s="536">
        <v>84103</v>
      </c>
      <c r="F717" s="603"/>
      <c r="G717" s="604"/>
      <c r="H717" s="605"/>
      <c r="I717" s="606"/>
      <c r="J717" s="607"/>
      <c r="K717" s="608"/>
      <c r="L717" s="609"/>
      <c r="M717" s="610"/>
      <c r="N717" s="611"/>
      <c r="O717" s="612"/>
      <c r="P717" s="613"/>
      <c r="Q717" s="614"/>
    </row>
    <row r="718" spans="1:17" x14ac:dyDescent="0.4">
      <c r="A718" s="601"/>
      <c r="B718" s="601" t="s">
        <v>360</v>
      </c>
      <c r="C718" s="601" t="s">
        <v>91</v>
      </c>
      <c r="D718" s="469">
        <v>7.4</v>
      </c>
      <c r="E718" s="536">
        <v>71944</v>
      </c>
      <c r="F718" s="603"/>
      <c r="G718" s="604"/>
      <c r="H718" s="605"/>
      <c r="I718" s="606"/>
      <c r="J718" s="607"/>
      <c r="K718" s="608"/>
      <c r="L718" s="609"/>
      <c r="M718" s="610"/>
      <c r="N718" s="611"/>
      <c r="O718" s="612"/>
      <c r="P718" s="613"/>
      <c r="Q718" s="614"/>
    </row>
    <row r="719" spans="1:17" x14ac:dyDescent="0.4">
      <c r="A719" s="601"/>
      <c r="B719" s="601" t="s">
        <v>361</v>
      </c>
      <c r="C719" s="601" t="s">
        <v>92</v>
      </c>
      <c r="D719" s="469">
        <v>201.88</v>
      </c>
      <c r="E719" s="536">
        <v>69617</v>
      </c>
      <c r="F719" s="603"/>
      <c r="G719" s="604"/>
      <c r="H719" s="605"/>
      <c r="I719" s="606"/>
      <c r="J719" s="607"/>
      <c r="K719" s="608"/>
      <c r="L719" s="609"/>
      <c r="M719" s="610"/>
      <c r="N719" s="611"/>
      <c r="O719" s="612"/>
      <c r="P719" s="613"/>
      <c r="Q719" s="614"/>
    </row>
    <row r="720" spans="1:17" x14ac:dyDescent="0.4">
      <c r="A720" s="601"/>
      <c r="B720" s="601" t="s">
        <v>362</v>
      </c>
      <c r="C720" s="601" t="s">
        <v>93</v>
      </c>
      <c r="D720" s="469">
        <v>3230.87</v>
      </c>
      <c r="E720" s="536">
        <v>66759</v>
      </c>
      <c r="F720" s="603"/>
      <c r="G720" s="604"/>
      <c r="H720" s="605"/>
      <c r="I720" s="606"/>
      <c r="J720" s="607"/>
      <c r="K720" s="608"/>
      <c r="L720" s="609"/>
      <c r="M720" s="610"/>
      <c r="N720" s="611"/>
      <c r="O720" s="612"/>
      <c r="P720" s="613"/>
      <c r="Q720" s="614"/>
    </row>
    <row r="721" spans="1:17" x14ac:dyDescent="0.4">
      <c r="A721" s="601"/>
      <c r="B721" s="601" t="s">
        <v>363</v>
      </c>
      <c r="C721" s="601" t="s">
        <v>94</v>
      </c>
      <c r="D721" s="469">
        <v>18.600000000000001</v>
      </c>
      <c r="E721" s="536">
        <v>76252</v>
      </c>
      <c r="F721" s="603"/>
      <c r="G721" s="604"/>
      <c r="H721" s="605"/>
      <c r="I721" s="606"/>
      <c r="J721" s="607"/>
      <c r="K721" s="608"/>
      <c r="L721" s="609"/>
      <c r="M721" s="610"/>
      <c r="N721" s="611"/>
      <c r="O721" s="612"/>
      <c r="P721" s="613"/>
      <c r="Q721" s="614"/>
    </row>
    <row r="722" spans="1:17" x14ac:dyDescent="0.4">
      <c r="A722" s="601"/>
      <c r="B722" s="601" t="s">
        <v>364</v>
      </c>
      <c r="C722" s="601" t="s">
        <v>95</v>
      </c>
      <c r="D722" s="469">
        <v>26.2</v>
      </c>
      <c r="E722" s="536">
        <v>98992</v>
      </c>
      <c r="F722" s="603"/>
      <c r="G722" s="604"/>
      <c r="H722" s="605"/>
      <c r="I722" s="606"/>
      <c r="J722" s="607"/>
      <c r="K722" s="608"/>
      <c r="L722" s="609"/>
      <c r="M722" s="610"/>
      <c r="N722" s="611"/>
      <c r="O722" s="612"/>
      <c r="P722" s="613"/>
      <c r="Q722" s="614"/>
    </row>
    <row r="723" spans="1:17" x14ac:dyDescent="0.4">
      <c r="A723" s="601"/>
      <c r="B723" s="601" t="s">
        <v>365</v>
      </c>
      <c r="C723" s="601" t="s">
        <v>96</v>
      </c>
      <c r="D723" s="469">
        <v>44.19</v>
      </c>
      <c r="E723" s="536">
        <v>97480</v>
      </c>
      <c r="F723" s="631"/>
      <c r="G723" s="618"/>
      <c r="H723" s="605"/>
      <c r="I723" s="620"/>
      <c r="J723" s="607"/>
      <c r="K723" s="622"/>
      <c r="L723" s="609"/>
      <c r="M723" s="624"/>
      <c r="N723" s="611"/>
      <c r="O723" s="626"/>
      <c r="P723" s="613"/>
      <c r="Q723" s="628"/>
    </row>
    <row r="724" spans="1:17" x14ac:dyDescent="0.4">
      <c r="A724" s="601"/>
      <c r="B724" s="601" t="s">
        <v>366</v>
      </c>
      <c r="C724" s="601" t="s">
        <v>88</v>
      </c>
      <c r="D724" s="469">
        <v>258.17</v>
      </c>
      <c r="E724" s="536">
        <v>111275</v>
      </c>
      <c r="F724" s="603"/>
      <c r="G724" s="604"/>
      <c r="H724" s="605"/>
      <c r="I724" s="606"/>
      <c r="J724" s="607"/>
      <c r="K724" s="608"/>
      <c r="L724" s="609"/>
      <c r="M724" s="610"/>
      <c r="N724" s="611"/>
      <c r="O724" s="612"/>
      <c r="P724" s="613"/>
      <c r="Q724" s="614"/>
    </row>
    <row r="725" spans="1:17" x14ac:dyDescent="0.4">
      <c r="A725" s="557"/>
      <c r="B725" s="557"/>
      <c r="C725" s="557"/>
      <c r="D725" s="615"/>
      <c r="E725" s="562"/>
      <c r="F725" s="617">
        <f>SUM(D711:D714)</f>
        <v>3.95</v>
      </c>
      <c r="G725" s="618">
        <f>(SUMPRODUCT(D711:D714,E711:E714))</f>
        <v>638851.72</v>
      </c>
      <c r="H725" s="619">
        <f>SUM(D711:D713)</f>
        <v>3.93</v>
      </c>
      <c r="I725" s="620">
        <f>(SUMPRODUCT(D711:D713,E711:E713))</f>
        <v>636873.72</v>
      </c>
      <c r="J725" s="621">
        <f>SUM(D714:D714)</f>
        <v>0.02</v>
      </c>
      <c r="K725" s="622">
        <f>(SUMPRODUCT(D714:D714,E714:E714))</f>
        <v>1978</v>
      </c>
      <c r="L725" s="623"/>
      <c r="M725" s="624"/>
      <c r="N725" s="625">
        <f>+H725+J725+L725</f>
        <v>3.95</v>
      </c>
      <c r="O725" s="626">
        <f>+I725+K725+M725</f>
        <v>638851.72</v>
      </c>
      <c r="P725" s="627">
        <f>SUM(D715:D724)</f>
        <v>4337.5199999999995</v>
      </c>
      <c r="Q725" s="628">
        <f>(SUMPRODUCT(D715:D724,E715:E724))</f>
        <v>307701463.76999992</v>
      </c>
    </row>
    <row r="726" spans="1:17" x14ac:dyDescent="0.4">
      <c r="A726" s="601" t="s">
        <v>138</v>
      </c>
      <c r="B726" s="601" t="s">
        <v>139</v>
      </c>
      <c r="C726" s="601"/>
      <c r="D726" s="469"/>
      <c r="E726" s="536"/>
      <c r="F726" s="603"/>
      <c r="G726" s="604"/>
      <c r="H726" s="605"/>
      <c r="I726" s="606"/>
      <c r="J726" s="607"/>
      <c r="K726" s="608"/>
      <c r="L726" s="609"/>
      <c r="M726" s="610"/>
      <c r="N726" s="611"/>
      <c r="O726" s="612"/>
      <c r="P726" s="613"/>
      <c r="Q726" s="614"/>
    </row>
    <row r="727" spans="1:17" x14ac:dyDescent="0.4">
      <c r="A727" s="601"/>
      <c r="B727" s="601" t="s">
        <v>332</v>
      </c>
      <c r="C727" s="601" t="s">
        <v>112</v>
      </c>
      <c r="D727" s="469">
        <v>1</v>
      </c>
      <c r="E727" s="536">
        <v>51458</v>
      </c>
      <c r="F727" s="603"/>
      <c r="G727" s="604"/>
      <c r="H727" s="605"/>
      <c r="I727" s="606"/>
      <c r="J727" s="607"/>
      <c r="K727" s="608"/>
      <c r="L727" s="609"/>
      <c r="M727" s="610"/>
      <c r="N727" s="611"/>
      <c r="O727" s="612"/>
      <c r="P727" s="613"/>
      <c r="Q727" s="614"/>
    </row>
    <row r="728" spans="1:17" x14ac:dyDescent="0.4">
      <c r="A728" s="601"/>
      <c r="B728" s="601" t="s">
        <v>333</v>
      </c>
      <c r="C728" s="601" t="s">
        <v>113</v>
      </c>
      <c r="D728" s="469">
        <v>7.3</v>
      </c>
      <c r="E728" s="536">
        <v>189321</v>
      </c>
      <c r="F728" s="603"/>
      <c r="G728" s="604"/>
      <c r="H728" s="605"/>
      <c r="I728" s="606"/>
      <c r="J728" s="607"/>
      <c r="K728" s="608"/>
      <c r="L728" s="609"/>
      <c r="M728" s="610"/>
      <c r="N728" s="611"/>
      <c r="O728" s="612"/>
      <c r="P728" s="613"/>
      <c r="Q728" s="614"/>
    </row>
    <row r="729" spans="1:17" x14ac:dyDescent="0.4">
      <c r="A729" s="601"/>
      <c r="B729" s="601" t="s">
        <v>340</v>
      </c>
      <c r="C729" s="601" t="s">
        <v>115</v>
      </c>
      <c r="D729" s="469">
        <v>1</v>
      </c>
      <c r="E729" s="536">
        <v>88042</v>
      </c>
      <c r="F729" s="603"/>
      <c r="G729" s="604"/>
      <c r="H729" s="605"/>
      <c r="I729" s="606"/>
      <c r="J729" s="607"/>
      <c r="K729" s="608"/>
      <c r="L729" s="609"/>
      <c r="M729" s="610"/>
      <c r="N729" s="611"/>
      <c r="O729" s="612"/>
      <c r="P729" s="613"/>
      <c r="Q729" s="614"/>
    </row>
    <row r="730" spans="1:17" x14ac:dyDescent="0.4">
      <c r="A730" s="601"/>
      <c r="B730" s="601" t="s">
        <v>342</v>
      </c>
      <c r="C730" s="601" t="s">
        <v>117</v>
      </c>
      <c r="D730" s="469">
        <v>35.049999999999997</v>
      </c>
      <c r="E730" s="536">
        <v>127360</v>
      </c>
      <c r="F730" s="603"/>
      <c r="G730" s="604"/>
      <c r="H730" s="605"/>
      <c r="I730" s="606"/>
      <c r="J730" s="607"/>
      <c r="K730" s="608"/>
      <c r="L730" s="609"/>
      <c r="M730" s="610"/>
      <c r="N730" s="611"/>
      <c r="O730" s="612"/>
      <c r="P730" s="613"/>
      <c r="Q730" s="614"/>
    </row>
    <row r="731" spans="1:17" x14ac:dyDescent="0.4">
      <c r="A731" s="601"/>
      <c r="B731" s="601" t="s">
        <v>359</v>
      </c>
      <c r="C731" s="601" t="s">
        <v>90</v>
      </c>
      <c r="D731" s="469">
        <v>4</v>
      </c>
      <c r="E731" s="536">
        <v>102445</v>
      </c>
      <c r="F731" s="603"/>
      <c r="G731" s="604"/>
      <c r="H731" s="605"/>
      <c r="I731" s="606"/>
      <c r="J731" s="607"/>
      <c r="K731" s="608"/>
      <c r="L731" s="609"/>
      <c r="M731" s="610"/>
      <c r="N731" s="611"/>
      <c r="O731" s="612"/>
      <c r="P731" s="613"/>
      <c r="Q731" s="614"/>
    </row>
    <row r="732" spans="1:17" x14ac:dyDescent="0.4">
      <c r="A732" s="601"/>
      <c r="B732" s="601" t="s">
        <v>360</v>
      </c>
      <c r="C732" s="601" t="s">
        <v>91</v>
      </c>
      <c r="D732" s="469">
        <v>1</v>
      </c>
      <c r="E732" s="536">
        <v>108909</v>
      </c>
      <c r="F732" s="603"/>
      <c r="G732" s="604"/>
      <c r="H732" s="605"/>
      <c r="I732" s="606"/>
      <c r="J732" s="607"/>
      <c r="K732" s="608"/>
      <c r="L732" s="609"/>
      <c r="M732" s="610"/>
      <c r="N732" s="611"/>
      <c r="O732" s="612"/>
      <c r="P732" s="613"/>
      <c r="Q732" s="614"/>
    </row>
    <row r="733" spans="1:17" x14ac:dyDescent="0.4">
      <c r="A733" s="601"/>
      <c r="B733" s="601" t="s">
        <v>361</v>
      </c>
      <c r="C733" s="601" t="s">
        <v>92</v>
      </c>
      <c r="D733" s="469">
        <v>34.29</v>
      </c>
      <c r="E733" s="536">
        <v>88275</v>
      </c>
      <c r="F733" s="603"/>
      <c r="G733" s="604"/>
      <c r="H733" s="605"/>
      <c r="I733" s="606"/>
      <c r="J733" s="607"/>
      <c r="K733" s="608"/>
      <c r="L733" s="609"/>
      <c r="M733" s="610"/>
      <c r="N733" s="611"/>
      <c r="O733" s="612"/>
      <c r="P733" s="613"/>
      <c r="Q733" s="614"/>
    </row>
    <row r="734" spans="1:17" x14ac:dyDescent="0.4">
      <c r="A734" s="601"/>
      <c r="B734" s="601" t="s">
        <v>362</v>
      </c>
      <c r="C734" s="601" t="s">
        <v>93</v>
      </c>
      <c r="D734" s="469">
        <v>1</v>
      </c>
      <c r="E734" s="536">
        <v>68743</v>
      </c>
      <c r="F734" s="603"/>
      <c r="G734" s="604"/>
      <c r="H734" s="605"/>
      <c r="I734" s="606"/>
      <c r="J734" s="607"/>
      <c r="K734" s="608"/>
      <c r="L734" s="609"/>
      <c r="M734" s="610"/>
      <c r="N734" s="611"/>
      <c r="O734" s="612"/>
      <c r="P734" s="613"/>
      <c r="Q734" s="614"/>
    </row>
    <row r="735" spans="1:17" x14ac:dyDescent="0.4">
      <c r="A735" s="601"/>
      <c r="B735" s="601" t="s">
        <v>363</v>
      </c>
      <c r="C735" s="601" t="s">
        <v>94</v>
      </c>
      <c r="D735" s="469">
        <v>123.99</v>
      </c>
      <c r="E735" s="536">
        <v>131584</v>
      </c>
      <c r="F735" s="603"/>
      <c r="G735" s="604"/>
      <c r="H735" s="605"/>
      <c r="I735" s="606"/>
      <c r="J735" s="607"/>
      <c r="K735" s="608"/>
      <c r="L735" s="609"/>
      <c r="M735" s="610"/>
      <c r="N735" s="611"/>
      <c r="O735" s="612"/>
      <c r="P735" s="613"/>
      <c r="Q735" s="614"/>
    </row>
    <row r="736" spans="1:17" x14ac:dyDescent="0.4">
      <c r="A736" s="601"/>
      <c r="B736" s="601" t="s">
        <v>365</v>
      </c>
      <c r="C736" s="601" t="s">
        <v>96</v>
      </c>
      <c r="D736" s="469">
        <v>143.49</v>
      </c>
      <c r="E736" s="536">
        <v>114761</v>
      </c>
      <c r="F736" s="603"/>
      <c r="G736" s="604"/>
      <c r="H736" s="605"/>
      <c r="I736" s="606"/>
      <c r="J736" s="607"/>
      <c r="K736" s="608"/>
      <c r="L736" s="609"/>
      <c r="M736" s="610"/>
      <c r="N736" s="611"/>
      <c r="O736" s="612"/>
      <c r="P736" s="613"/>
      <c r="Q736" s="614"/>
    </row>
    <row r="737" spans="1:17" x14ac:dyDescent="0.4">
      <c r="A737" s="601"/>
      <c r="B737" s="601" t="s">
        <v>366</v>
      </c>
      <c r="C737" s="601" t="s">
        <v>88</v>
      </c>
      <c r="D737" s="469">
        <v>75.53</v>
      </c>
      <c r="E737" s="536">
        <v>179167</v>
      </c>
      <c r="F737" s="603"/>
      <c r="G737" s="604"/>
      <c r="H737" s="605"/>
      <c r="I737" s="606"/>
      <c r="J737" s="607"/>
      <c r="K737" s="608"/>
      <c r="L737" s="609"/>
      <c r="M737" s="610"/>
      <c r="N737" s="611"/>
      <c r="O737" s="612"/>
      <c r="P737" s="613"/>
      <c r="Q737" s="614"/>
    </row>
    <row r="738" spans="1:17" x14ac:dyDescent="0.4">
      <c r="A738" s="557"/>
      <c r="B738" s="557"/>
      <c r="C738" s="557"/>
      <c r="D738" s="615"/>
      <c r="E738" s="562"/>
      <c r="F738" s="617">
        <f>SUM(D727:D730)</f>
        <v>44.349999999999994</v>
      </c>
      <c r="G738" s="618">
        <f>(SUMPRODUCT(D727:D730,E727:E730))</f>
        <v>5985511.2999999998</v>
      </c>
      <c r="H738" s="619">
        <f>SUM(D727:D728)</f>
        <v>8.3000000000000007</v>
      </c>
      <c r="I738" s="620">
        <f>(SUMPRODUCT(D727:D728,E727:E728))</f>
        <v>1433501.3</v>
      </c>
      <c r="J738" s="621">
        <f>SUM(D729:D730)</f>
        <v>36.049999999999997</v>
      </c>
      <c r="K738" s="622">
        <f>(SUMPRODUCT(D729:D730,E729:E730))</f>
        <v>4552010</v>
      </c>
      <c r="L738" s="623"/>
      <c r="M738" s="624"/>
      <c r="N738" s="625">
        <f>+H738+J738+L738</f>
        <v>44.349999999999994</v>
      </c>
      <c r="O738" s="626">
        <f>+I738+K738+M738</f>
        <v>5985511.2999999998</v>
      </c>
      <c r="P738" s="627">
        <f>SUM(D731:D737)</f>
        <v>383.29999999999995</v>
      </c>
      <c r="Q738" s="628">
        <f>(SUMPRODUCT(D731:D737,E731:E737))</f>
        <v>49929021.309999995</v>
      </c>
    </row>
    <row r="739" spans="1:17" x14ac:dyDescent="0.4">
      <c r="A739" s="601" t="s">
        <v>140</v>
      </c>
      <c r="B739" s="601" t="s">
        <v>269</v>
      </c>
      <c r="C739" s="601"/>
      <c r="D739" s="469"/>
      <c r="E739" s="536"/>
      <c r="F739" s="603"/>
      <c r="G739" s="604"/>
      <c r="H739" s="605"/>
      <c r="I739" s="606"/>
      <c r="J739" s="607"/>
      <c r="K739" s="608"/>
      <c r="L739" s="609"/>
      <c r="M739" s="610"/>
      <c r="N739" s="611"/>
      <c r="O739" s="612"/>
      <c r="P739" s="613"/>
      <c r="Q739" s="614"/>
    </row>
    <row r="740" spans="1:17" x14ac:dyDescent="0.4">
      <c r="A740" s="601"/>
      <c r="B740" s="601" t="s">
        <v>363</v>
      </c>
      <c r="C740" s="601" t="s">
        <v>94</v>
      </c>
      <c r="D740" s="469">
        <v>0.48</v>
      </c>
      <c r="E740" s="536">
        <v>46878</v>
      </c>
      <c r="F740" s="603"/>
      <c r="G740" s="604"/>
      <c r="H740" s="605"/>
      <c r="I740" s="606"/>
      <c r="J740" s="607"/>
      <c r="K740" s="608"/>
      <c r="L740" s="609"/>
      <c r="M740" s="610"/>
      <c r="N740" s="611"/>
      <c r="O740" s="612"/>
      <c r="P740" s="613"/>
      <c r="Q740" s="614"/>
    </row>
    <row r="741" spans="1:17" x14ac:dyDescent="0.4">
      <c r="A741" s="557"/>
      <c r="B741" s="557"/>
      <c r="C741" s="557"/>
      <c r="D741" s="615"/>
      <c r="E741" s="562"/>
      <c r="F741" s="617"/>
      <c r="G741" s="618"/>
      <c r="H741" s="605"/>
      <c r="I741" s="606"/>
      <c r="J741" s="621"/>
      <c r="K741" s="622"/>
      <c r="L741" s="609"/>
      <c r="M741" s="610"/>
      <c r="N741" s="611"/>
      <c r="O741" s="612"/>
      <c r="P741" s="627">
        <f>SUM(D740:D740)</f>
        <v>0.48</v>
      </c>
      <c r="Q741" s="628">
        <f>(SUMPRODUCT(D740:D740,E740:E740))</f>
        <v>22501.439999999999</v>
      </c>
    </row>
    <row r="742" spans="1:17" x14ac:dyDescent="0.4">
      <c r="A742" s="656" t="s">
        <v>141</v>
      </c>
      <c r="B742" s="656" t="s">
        <v>141</v>
      </c>
      <c r="C742" s="656" t="s">
        <v>142</v>
      </c>
      <c r="D742" s="469">
        <f>SUM(D5:D741)</f>
        <v>124819.93000000007</v>
      </c>
      <c r="E742" s="536">
        <f>SUM(E5:E741)</f>
        <v>64990218</v>
      </c>
      <c r="F742" s="658" t="s">
        <v>104</v>
      </c>
      <c r="G742" s="659"/>
      <c r="H742" s="660" t="s">
        <v>105</v>
      </c>
      <c r="I742" s="659"/>
      <c r="J742" s="593" t="s">
        <v>106</v>
      </c>
      <c r="K742" s="661"/>
      <c r="L742" s="595" t="s">
        <v>107</v>
      </c>
      <c r="M742" s="596"/>
      <c r="N742" s="662" t="s">
        <v>108</v>
      </c>
      <c r="O742" s="663"/>
      <c r="P742" s="664" t="s">
        <v>109</v>
      </c>
      <c r="Q742" s="665"/>
    </row>
    <row r="743" spans="1:17" x14ac:dyDescent="0.4">
      <c r="A743" s="557"/>
      <c r="B743" s="557"/>
      <c r="C743" s="666"/>
      <c r="D743" s="318"/>
      <c r="E743" s="562"/>
      <c r="F743" s="667"/>
      <c r="G743" s="659"/>
      <c r="H743" s="667"/>
      <c r="I743" s="659"/>
      <c r="J743" s="593"/>
      <c r="K743" s="661"/>
      <c r="L743" s="595"/>
      <c r="M743" s="596"/>
      <c r="N743" s="662"/>
      <c r="O743" s="663"/>
      <c r="P743" s="664"/>
      <c r="Q743" s="665"/>
    </row>
    <row r="744" spans="1:17" x14ac:dyDescent="0.4">
      <c r="A744" s="557"/>
      <c r="B744" s="557"/>
      <c r="C744" s="666"/>
      <c r="D744" s="318"/>
      <c r="E744" s="562"/>
      <c r="F744" s="668">
        <f t="shared" ref="F744:Q744" si="0">SUBTOTAL(9,F5:F741)</f>
        <v>78192.670000000013</v>
      </c>
      <c r="G744" s="669">
        <f t="shared" si="0"/>
        <v>7974800117.9299965</v>
      </c>
      <c r="H744" s="670">
        <f t="shared" si="0"/>
        <v>5117.329999999999</v>
      </c>
      <c r="I744" s="671">
        <f t="shared" si="0"/>
        <v>870701664.65999973</v>
      </c>
      <c r="J744" s="672">
        <f t="shared" si="0"/>
        <v>72737.240000000005</v>
      </c>
      <c r="K744" s="673">
        <f t="shared" si="0"/>
        <v>7062892181.2099991</v>
      </c>
      <c r="L744" s="674">
        <f t="shared" si="0"/>
        <v>338.10000000000008</v>
      </c>
      <c r="M744" s="675">
        <f t="shared" si="0"/>
        <v>41206272.059999995</v>
      </c>
      <c r="N744" s="676">
        <f t="shared" si="0"/>
        <v>78192.670000000013</v>
      </c>
      <c r="O744" s="677">
        <f t="shared" si="0"/>
        <v>7974800117.9299974</v>
      </c>
      <c r="P744" s="678">
        <f t="shared" si="0"/>
        <v>46627.260000000009</v>
      </c>
      <c r="Q744" s="679">
        <f t="shared" si="0"/>
        <v>3215843425.6499996</v>
      </c>
    </row>
    <row r="745" spans="1:17" x14ac:dyDescent="0.4">
      <c r="A745" s="557"/>
      <c r="B745" s="557"/>
      <c r="C745" s="666"/>
      <c r="D745" s="318"/>
      <c r="E745" s="562"/>
      <c r="F745" s="680"/>
      <c r="G745" s="681">
        <f>G744/F744</f>
        <v>101989.10099795792</v>
      </c>
      <c r="H745" s="680"/>
      <c r="I745" s="682">
        <f>I744/H744</f>
        <v>170147.64821889537</v>
      </c>
      <c r="J745" s="680"/>
      <c r="K745" s="683">
        <f>K744/J744</f>
        <v>97101.459736580582</v>
      </c>
      <c r="L745" s="684"/>
      <c r="M745" s="685">
        <f>M744/L744</f>
        <v>121875.98952972489</v>
      </c>
      <c r="N745" s="684"/>
      <c r="O745" s="686">
        <f>O744/N744</f>
        <v>101989.10099795794</v>
      </c>
      <c r="P745" s="684"/>
      <c r="Q745" s="687">
        <f>Q744/P744</f>
        <v>68969.170087412364</v>
      </c>
    </row>
    <row r="746" spans="1:17" x14ac:dyDescent="0.4">
      <c r="A746" s="557"/>
      <c r="B746" s="557"/>
      <c r="C746" s="557"/>
      <c r="D746" s="318"/>
      <c r="E746" s="562"/>
      <c r="F746" s="631"/>
      <c r="G746" s="618"/>
      <c r="H746" s="688"/>
      <c r="I746" s="689"/>
      <c r="J746" s="607"/>
      <c r="K746" s="622"/>
      <c r="L746" s="607"/>
      <c r="M746" s="624"/>
      <c r="N746" s="607"/>
      <c r="O746" s="626"/>
      <c r="P746" s="613"/>
      <c r="Q746" s="628"/>
    </row>
    <row r="747" spans="1:17" x14ac:dyDescent="0.4">
      <c r="A747" s="557"/>
      <c r="B747" s="557"/>
      <c r="C747" s="690" t="s">
        <v>157</v>
      </c>
      <c r="D747" s="666"/>
      <c r="E747" s="657"/>
      <c r="F747" s="691">
        <f>table3ws1!D34</f>
        <v>78192.58</v>
      </c>
      <c r="G747" s="692">
        <f>table3ws1!E34</f>
        <v>101990</v>
      </c>
      <c r="H747" s="691">
        <f>table3ws1!J9</f>
        <v>5117.32</v>
      </c>
      <c r="I747" s="692">
        <f>table3ws1!J10</f>
        <v>170163.49481564568</v>
      </c>
      <c r="J747" s="691">
        <f>table3ws1!J25</f>
        <v>72737.16</v>
      </c>
      <c r="K747" s="693">
        <f>table3ws1!J26</f>
        <v>97101.667384594039</v>
      </c>
      <c r="L747" s="691">
        <f>table3ws1!F31</f>
        <v>338.11</v>
      </c>
      <c r="M747" s="693">
        <f>table3ws1!G31</f>
        <v>121874.87134364556</v>
      </c>
      <c r="N747" s="691"/>
      <c r="O747" s="693"/>
      <c r="P747" s="691">
        <f>table3ws1!D49</f>
        <v>46627.21</v>
      </c>
      <c r="Q747" s="693">
        <f>table3ws1!E49</f>
        <v>68969</v>
      </c>
    </row>
    <row r="748" spans="1:17" x14ac:dyDescent="0.4">
      <c r="A748" s="557"/>
      <c r="B748" s="557"/>
      <c r="C748" s="107" t="s">
        <v>154</v>
      </c>
      <c r="D748" s="666"/>
      <c r="E748" s="657"/>
      <c r="F748" s="613">
        <f>'Table 2'!J72</f>
        <v>78192.59</v>
      </c>
      <c r="G748" s="614">
        <f>'Table 2'!K72</f>
        <v>101990.32523235258</v>
      </c>
      <c r="H748" s="613">
        <f>'Table 2'!B72+'Table 2'!D72</f>
        <v>5117.32</v>
      </c>
      <c r="I748" s="614">
        <f>(('Table 2'!B72*'Table 2'!C72)+('Table 2'!D72*'Table 2'!E72))/H748</f>
        <v>170163.49481564568</v>
      </c>
      <c r="J748" s="613">
        <f>'Table 2'!F72+'Table 2'!H72</f>
        <v>72737.16</v>
      </c>
      <c r="K748" s="614">
        <f>(('Table 2'!F72*'Table 2'!G72)+('Table 2'!H72*'Table 2'!I72))/J748</f>
        <v>97101.667384594039</v>
      </c>
      <c r="L748" s="691"/>
      <c r="M748" s="608"/>
      <c r="N748" s="691"/>
      <c r="O748" s="608"/>
      <c r="P748" s="613">
        <f>'Table 2'!L72</f>
        <v>46627.199999999997</v>
      </c>
      <c r="Q748" s="614">
        <f>'Table 2'!M72</f>
        <v>68969.243548400933</v>
      </c>
    </row>
    <row r="749" spans="1:17" x14ac:dyDescent="0.4">
      <c r="A749" s="557"/>
      <c r="B749" s="557"/>
      <c r="C749" s="557"/>
      <c r="D749" s="318"/>
      <c r="E749" s="562"/>
      <c r="F749" s="694">
        <f>F744-F747</f>
        <v>9.0000000011059456E-2</v>
      </c>
      <c r="G749" s="695"/>
      <c r="H749" s="694">
        <f>H744-H747</f>
        <v>9.999999999308784E-3</v>
      </c>
      <c r="I749" s="696"/>
      <c r="J749" s="694">
        <f>J744-J747</f>
        <v>8.000000000174623E-2</v>
      </c>
      <c r="K749" s="696"/>
      <c r="L749" s="694">
        <f>L744-L747</f>
        <v>-9.9999999999340616E-3</v>
      </c>
      <c r="M749" s="696"/>
      <c r="N749" s="694"/>
      <c r="O749" s="696"/>
      <c r="P749" s="694">
        <f>P744-P747</f>
        <v>5.0000000010186341E-2</v>
      </c>
      <c r="Q749" s="696"/>
    </row>
    <row r="750" spans="1:17" x14ac:dyDescent="0.4">
      <c r="A750" s="557"/>
      <c r="B750" s="557"/>
      <c r="C750" s="557"/>
      <c r="D750" s="318"/>
      <c r="E750" s="537"/>
      <c r="F750" s="697"/>
      <c r="G750" s="698"/>
      <c r="H750" s="697"/>
      <c r="I750" s="698"/>
      <c r="J750" s="697"/>
      <c r="K750" s="698"/>
      <c r="L750" s="699"/>
      <c r="M750" s="700"/>
      <c r="N750" s="701" t="s">
        <v>159</v>
      </c>
      <c r="O750" s="702"/>
      <c r="P750" s="703"/>
      <c r="Q750" s="698"/>
    </row>
    <row r="751" spans="1:17" x14ac:dyDescent="0.4">
      <c r="A751" s="557"/>
      <c r="B751" s="557"/>
      <c r="C751" s="557"/>
      <c r="D751" s="318"/>
      <c r="E751" s="537"/>
      <c r="F751" s="704"/>
      <c r="G751" s="705"/>
      <c r="H751" s="704"/>
      <c r="I751" s="705"/>
      <c r="J751" s="704"/>
      <c r="K751" s="705"/>
      <c r="L751" s="706"/>
      <c r="M751" s="610"/>
      <c r="N751" s="607" t="s">
        <v>160</v>
      </c>
      <c r="O751" s="707">
        <f>N744+P744</f>
        <v>124819.93000000002</v>
      </c>
      <c r="P751" s="603"/>
      <c r="Q751" s="705"/>
    </row>
    <row r="752" spans="1:17" ht="17.399999999999999" thickBot="1" x14ac:dyDescent="0.45">
      <c r="A752" s="557"/>
      <c r="B752" s="557"/>
      <c r="C752" s="557"/>
      <c r="D752" s="557"/>
      <c r="E752" s="557"/>
      <c r="F752" s="704"/>
      <c r="G752" s="705"/>
      <c r="H752" s="704"/>
      <c r="I752" s="705"/>
      <c r="J752" s="704"/>
      <c r="K752" s="705"/>
      <c r="L752" s="704"/>
      <c r="M752" s="610"/>
      <c r="N752" s="607" t="s">
        <v>158</v>
      </c>
      <c r="O752" s="707">
        <f>D742</f>
        <v>124819.93000000007</v>
      </c>
      <c r="P752" s="603"/>
      <c r="Q752" s="705"/>
    </row>
    <row r="753" spans="1:17" ht="17.399999999999999" thickBot="1" x14ac:dyDescent="0.45">
      <c r="A753" s="708"/>
      <c r="B753" s="557"/>
      <c r="C753" s="557"/>
      <c r="D753" s="557"/>
      <c r="E753" s="557"/>
      <c r="F753" s="704"/>
      <c r="G753" s="705"/>
      <c r="H753" s="704"/>
      <c r="I753" s="705"/>
      <c r="J753" s="704"/>
      <c r="K753" s="705"/>
      <c r="L753" s="704"/>
      <c r="M753" s="610"/>
      <c r="N753" s="709"/>
      <c r="O753" s="710">
        <v>0</v>
      </c>
      <c r="P753" s="603"/>
      <c r="Q753" s="705"/>
    </row>
    <row r="754" spans="1:17" ht="17.399999999999999" thickTop="1" x14ac:dyDescent="0.4">
      <c r="A754" s="708"/>
      <c r="B754" s="557"/>
      <c r="C754" s="714"/>
      <c r="D754" s="715" t="s">
        <v>161</v>
      </c>
      <c r="E754" s="716"/>
      <c r="F754" s="717"/>
      <c r="G754" s="718"/>
      <c r="H754" s="717"/>
      <c r="I754" s="718"/>
      <c r="J754" s="717"/>
      <c r="K754" s="718"/>
      <c r="L754" s="717"/>
      <c r="M754" s="719"/>
      <c r="N754" s="717"/>
      <c r="O754" s="719"/>
      <c r="P754" s="717"/>
      <c r="Q754" s="720"/>
    </row>
    <row r="755" spans="1:17" x14ac:dyDescent="0.4">
      <c r="A755" s="708"/>
      <c r="B755" s="557"/>
      <c r="C755" s="714"/>
      <c r="D755" s="721">
        <v>9</v>
      </c>
      <c r="E755" s="714"/>
      <c r="F755" s="722">
        <f t="shared" ref="F755:Q755" si="1">F114</f>
        <v>458.84</v>
      </c>
      <c r="G755" s="723">
        <f t="shared" si="1"/>
        <v>41408133.690000005</v>
      </c>
      <c r="H755" s="722">
        <f t="shared" si="1"/>
        <v>7.8400000000000007</v>
      </c>
      <c r="I755" s="723">
        <f t="shared" si="1"/>
        <v>1265319.6000000001</v>
      </c>
      <c r="J755" s="722">
        <f t="shared" si="1"/>
        <v>451</v>
      </c>
      <c r="K755" s="723">
        <f t="shared" si="1"/>
        <v>40142814.090000004</v>
      </c>
      <c r="L755" s="722">
        <f t="shared" si="1"/>
        <v>0</v>
      </c>
      <c r="M755" s="723">
        <f t="shared" si="1"/>
        <v>0</v>
      </c>
      <c r="N755" s="722">
        <f t="shared" si="1"/>
        <v>458.84</v>
      </c>
      <c r="O755" s="723">
        <f t="shared" si="1"/>
        <v>41408133.690000005</v>
      </c>
      <c r="P755" s="722">
        <f t="shared" si="1"/>
        <v>225.43</v>
      </c>
      <c r="Q755" s="724">
        <f t="shared" si="1"/>
        <v>11996188.1</v>
      </c>
    </row>
    <row r="756" spans="1:17" x14ac:dyDescent="0.4">
      <c r="A756" s="708"/>
      <c r="B756" s="557"/>
      <c r="C756" s="714"/>
      <c r="D756" s="721">
        <v>11</v>
      </c>
      <c r="E756" s="714"/>
      <c r="F756" s="722">
        <f t="shared" ref="F756:Q756" si="2">F119</f>
        <v>0.73</v>
      </c>
      <c r="G756" s="723">
        <f t="shared" si="2"/>
        <v>92893.23</v>
      </c>
      <c r="H756" s="722">
        <f t="shared" si="2"/>
        <v>0</v>
      </c>
      <c r="I756" s="723">
        <f t="shared" si="2"/>
        <v>0</v>
      </c>
      <c r="J756" s="722">
        <f t="shared" si="2"/>
        <v>0.73</v>
      </c>
      <c r="K756" s="723">
        <f t="shared" si="2"/>
        <v>92893.23</v>
      </c>
      <c r="L756" s="722">
        <f t="shared" si="2"/>
        <v>0</v>
      </c>
      <c r="M756" s="723">
        <f t="shared" si="2"/>
        <v>0</v>
      </c>
      <c r="N756" s="722">
        <f t="shared" si="2"/>
        <v>0.73</v>
      </c>
      <c r="O756" s="723">
        <f t="shared" si="2"/>
        <v>92893.23</v>
      </c>
      <c r="P756" s="722">
        <f t="shared" si="2"/>
        <v>2.91</v>
      </c>
      <c r="Q756" s="724">
        <f t="shared" si="2"/>
        <v>238613.61</v>
      </c>
    </row>
    <row r="757" spans="1:17" x14ac:dyDescent="0.4">
      <c r="A757" s="708"/>
      <c r="B757" s="557"/>
      <c r="C757" s="714"/>
      <c r="D757" s="721">
        <v>12</v>
      </c>
      <c r="E757" s="714"/>
      <c r="F757" s="722">
        <f t="shared" ref="F757:Q757" si="3">F122</f>
        <v>0</v>
      </c>
      <c r="G757" s="723">
        <f t="shared" si="3"/>
        <v>0</v>
      </c>
      <c r="H757" s="722">
        <f t="shared" si="3"/>
        <v>0</v>
      </c>
      <c r="I757" s="723">
        <f t="shared" si="3"/>
        <v>0</v>
      </c>
      <c r="J757" s="722">
        <f t="shared" si="3"/>
        <v>0</v>
      </c>
      <c r="K757" s="723">
        <f t="shared" si="3"/>
        <v>0</v>
      </c>
      <c r="L757" s="722">
        <f t="shared" si="3"/>
        <v>0</v>
      </c>
      <c r="M757" s="723">
        <f t="shared" si="3"/>
        <v>0</v>
      </c>
      <c r="N757" s="722">
        <f t="shared" si="3"/>
        <v>0</v>
      </c>
      <c r="O757" s="723">
        <f t="shared" si="3"/>
        <v>0</v>
      </c>
      <c r="P757" s="722">
        <f t="shared" si="3"/>
        <v>2</v>
      </c>
      <c r="Q757" s="724">
        <f t="shared" si="3"/>
        <v>131914</v>
      </c>
    </row>
    <row r="758" spans="1:17" x14ac:dyDescent="0.4">
      <c r="A758" s="708"/>
      <c r="B758" s="557"/>
      <c r="C758" s="714"/>
      <c r="D758" s="725">
        <v>13</v>
      </c>
      <c r="E758" s="714"/>
      <c r="F758" s="722">
        <f t="shared" ref="F758:Q758" si="4">F134</f>
        <v>9.01</v>
      </c>
      <c r="G758" s="723">
        <f t="shared" si="4"/>
        <v>999452.92999999993</v>
      </c>
      <c r="H758" s="722">
        <f t="shared" si="4"/>
        <v>2.0100000000000002</v>
      </c>
      <c r="I758" s="723">
        <f t="shared" si="4"/>
        <v>319752.53999999998</v>
      </c>
      <c r="J758" s="722">
        <f t="shared" si="4"/>
        <v>7</v>
      </c>
      <c r="K758" s="723">
        <f t="shared" si="4"/>
        <v>679700.39</v>
      </c>
      <c r="L758" s="722">
        <f t="shared" si="4"/>
        <v>0</v>
      </c>
      <c r="M758" s="723">
        <f t="shared" si="4"/>
        <v>0</v>
      </c>
      <c r="N758" s="722">
        <f t="shared" si="4"/>
        <v>9.01</v>
      </c>
      <c r="O758" s="723">
        <f t="shared" si="4"/>
        <v>999452.92999999993</v>
      </c>
      <c r="P758" s="722">
        <f t="shared" si="4"/>
        <v>0.8899999999999999</v>
      </c>
      <c r="Q758" s="724">
        <f t="shared" si="4"/>
        <v>61358.66</v>
      </c>
    </row>
    <row r="759" spans="1:17" x14ac:dyDescent="0.4">
      <c r="A759" s="708"/>
      <c r="B759" s="557"/>
      <c r="C759" s="714"/>
      <c r="D759" s="725">
        <v>14</v>
      </c>
      <c r="E759" s="714"/>
      <c r="F759" s="722">
        <f t="shared" ref="F759:Q759" si="5">F139</f>
        <v>1.5</v>
      </c>
      <c r="G759" s="723">
        <f t="shared" si="5"/>
        <v>149000</v>
      </c>
      <c r="H759" s="722">
        <f t="shared" si="5"/>
        <v>0</v>
      </c>
      <c r="I759" s="723">
        <f t="shared" si="5"/>
        <v>0</v>
      </c>
      <c r="J759" s="722">
        <f t="shared" si="5"/>
        <v>1.5</v>
      </c>
      <c r="K759" s="723">
        <f t="shared" si="5"/>
        <v>149000</v>
      </c>
      <c r="L759" s="722">
        <f t="shared" si="5"/>
        <v>0</v>
      </c>
      <c r="M759" s="723">
        <f t="shared" si="5"/>
        <v>0</v>
      </c>
      <c r="N759" s="722">
        <f t="shared" si="5"/>
        <v>1.5</v>
      </c>
      <c r="O759" s="723">
        <f t="shared" si="5"/>
        <v>149000</v>
      </c>
      <c r="P759" s="722">
        <f t="shared" si="5"/>
        <v>0.74</v>
      </c>
      <c r="Q759" s="724">
        <f t="shared" si="5"/>
        <v>47598.28</v>
      </c>
    </row>
    <row r="760" spans="1:17" x14ac:dyDescent="0.4">
      <c r="A760" s="708"/>
      <c r="B760" s="557"/>
      <c r="C760" s="714"/>
      <c r="D760" s="726">
        <v>19</v>
      </c>
      <c r="E760" s="714"/>
      <c r="F760" s="722">
        <f t="shared" ref="F760:Q760" si="6">F144</f>
        <v>0</v>
      </c>
      <c r="G760" s="723">
        <f t="shared" si="6"/>
        <v>0</v>
      </c>
      <c r="H760" s="722">
        <f t="shared" si="6"/>
        <v>0</v>
      </c>
      <c r="I760" s="723">
        <f t="shared" si="6"/>
        <v>0</v>
      </c>
      <c r="J760" s="722">
        <f t="shared" si="6"/>
        <v>0</v>
      </c>
      <c r="K760" s="723">
        <f t="shared" si="6"/>
        <v>0</v>
      </c>
      <c r="L760" s="722">
        <f t="shared" si="6"/>
        <v>0</v>
      </c>
      <c r="M760" s="723">
        <f t="shared" si="6"/>
        <v>0</v>
      </c>
      <c r="N760" s="722">
        <f t="shared" si="6"/>
        <v>0</v>
      </c>
      <c r="O760" s="723">
        <f t="shared" si="6"/>
        <v>0</v>
      </c>
      <c r="P760" s="722">
        <f t="shared" si="6"/>
        <v>3.11</v>
      </c>
      <c r="Q760" s="724">
        <f t="shared" si="6"/>
        <v>282836.03999999998</v>
      </c>
    </row>
    <row r="761" spans="1:17" x14ac:dyDescent="0.4">
      <c r="A761" s="708"/>
      <c r="B761" s="557"/>
      <c r="C761" s="714"/>
      <c r="D761" s="726">
        <v>23</v>
      </c>
      <c r="E761" s="714"/>
      <c r="F761" s="722">
        <f t="shared" ref="F761:Q761" si="7">F193</f>
        <v>6</v>
      </c>
      <c r="G761" s="723">
        <f t="shared" si="7"/>
        <v>451986</v>
      </c>
      <c r="H761" s="722">
        <f t="shared" si="7"/>
        <v>0</v>
      </c>
      <c r="I761" s="723">
        <f t="shared" si="7"/>
        <v>0</v>
      </c>
      <c r="J761" s="722">
        <f t="shared" si="7"/>
        <v>6</v>
      </c>
      <c r="K761" s="723">
        <f t="shared" si="7"/>
        <v>451986</v>
      </c>
      <c r="L761" s="722">
        <f t="shared" si="7"/>
        <v>0</v>
      </c>
      <c r="M761" s="723">
        <f t="shared" si="7"/>
        <v>0</v>
      </c>
      <c r="N761" s="722">
        <f t="shared" si="7"/>
        <v>6</v>
      </c>
      <c r="O761" s="723">
        <f t="shared" si="7"/>
        <v>451986</v>
      </c>
      <c r="P761" s="722">
        <f t="shared" si="7"/>
        <v>1</v>
      </c>
      <c r="Q761" s="724">
        <f t="shared" si="7"/>
        <v>67349.05</v>
      </c>
    </row>
    <row r="762" spans="1:17" x14ac:dyDescent="0.4">
      <c r="A762" s="708"/>
      <c r="B762" s="557"/>
      <c r="C762" s="714"/>
      <c r="D762" s="725">
        <v>38</v>
      </c>
      <c r="E762" s="714"/>
      <c r="F762" s="722">
        <f t="shared" ref="F762:Q762" si="8">F295</f>
        <v>5.95</v>
      </c>
      <c r="G762" s="723">
        <f t="shared" si="8"/>
        <v>545329.93000000005</v>
      </c>
      <c r="H762" s="722">
        <f t="shared" si="8"/>
        <v>0</v>
      </c>
      <c r="I762" s="723">
        <f t="shared" si="8"/>
        <v>0</v>
      </c>
      <c r="J762" s="722">
        <f t="shared" si="8"/>
        <v>5.95</v>
      </c>
      <c r="K762" s="723">
        <f t="shared" si="8"/>
        <v>545329.93000000005</v>
      </c>
      <c r="L762" s="722">
        <f t="shared" si="8"/>
        <v>0</v>
      </c>
      <c r="M762" s="723">
        <f t="shared" si="8"/>
        <v>0</v>
      </c>
      <c r="N762" s="722">
        <f t="shared" si="8"/>
        <v>5.95</v>
      </c>
      <c r="O762" s="723">
        <f t="shared" si="8"/>
        <v>545329.93000000005</v>
      </c>
      <c r="P762" s="722">
        <f t="shared" si="8"/>
        <v>7.9</v>
      </c>
      <c r="Q762" s="724">
        <f t="shared" si="8"/>
        <v>574388.65</v>
      </c>
    </row>
    <row r="763" spans="1:17" x14ac:dyDescent="0.4">
      <c r="A763" s="708"/>
      <c r="B763" s="557"/>
      <c r="C763" s="714"/>
      <c r="D763" s="725">
        <v>39</v>
      </c>
      <c r="E763" s="714"/>
      <c r="F763" s="722">
        <f t="shared" ref="F763:Q763" si="9">F301</f>
        <v>2</v>
      </c>
      <c r="G763" s="723">
        <f t="shared" si="9"/>
        <v>170986</v>
      </c>
      <c r="H763" s="722">
        <f t="shared" si="9"/>
        <v>0</v>
      </c>
      <c r="I763" s="723">
        <f t="shared" si="9"/>
        <v>0</v>
      </c>
      <c r="J763" s="722">
        <f t="shared" si="9"/>
        <v>2</v>
      </c>
      <c r="K763" s="723">
        <f t="shared" si="9"/>
        <v>170986</v>
      </c>
      <c r="L763" s="722">
        <f t="shared" si="9"/>
        <v>0</v>
      </c>
      <c r="M763" s="723">
        <f t="shared" si="9"/>
        <v>0</v>
      </c>
      <c r="N763" s="722">
        <f t="shared" si="9"/>
        <v>2</v>
      </c>
      <c r="O763" s="723">
        <f t="shared" si="9"/>
        <v>170986</v>
      </c>
      <c r="P763" s="722">
        <f t="shared" si="9"/>
        <v>2.9299999999999997</v>
      </c>
      <c r="Q763" s="724">
        <f t="shared" si="9"/>
        <v>299778.23</v>
      </c>
    </row>
    <row r="764" spans="1:17" x14ac:dyDescent="0.4">
      <c r="A764" s="708"/>
      <c r="B764" s="557"/>
      <c r="C764" s="714"/>
      <c r="D764" s="725">
        <v>46</v>
      </c>
      <c r="E764" s="714"/>
      <c r="F764" s="722">
        <f t="shared" ref="F764:Q764" si="10">F323</f>
        <v>4</v>
      </c>
      <c r="G764" s="723">
        <f t="shared" si="10"/>
        <v>430120</v>
      </c>
      <c r="H764" s="722">
        <f t="shared" si="10"/>
        <v>0</v>
      </c>
      <c r="I764" s="723">
        <f t="shared" si="10"/>
        <v>0</v>
      </c>
      <c r="J764" s="722">
        <f t="shared" si="10"/>
        <v>4</v>
      </c>
      <c r="K764" s="723">
        <f t="shared" si="10"/>
        <v>430120</v>
      </c>
      <c r="L764" s="722">
        <f t="shared" si="10"/>
        <v>0</v>
      </c>
      <c r="M764" s="723">
        <f t="shared" si="10"/>
        <v>0</v>
      </c>
      <c r="N764" s="722">
        <f t="shared" si="10"/>
        <v>4</v>
      </c>
      <c r="O764" s="723">
        <f t="shared" si="10"/>
        <v>430120</v>
      </c>
      <c r="P764" s="722">
        <f t="shared" si="10"/>
        <v>0</v>
      </c>
      <c r="Q764" s="724">
        <f t="shared" si="10"/>
        <v>0</v>
      </c>
    </row>
    <row r="765" spans="1:17" x14ac:dyDescent="0.4">
      <c r="A765" s="708"/>
      <c r="B765" s="557"/>
      <c r="C765" s="714"/>
      <c r="D765" s="725">
        <v>52</v>
      </c>
      <c r="E765" s="714"/>
      <c r="F765" s="722">
        <f t="shared" ref="F765:Q765" si="11">F374</f>
        <v>168.28</v>
      </c>
      <c r="G765" s="723">
        <f t="shared" si="11"/>
        <v>18840642.659999996</v>
      </c>
      <c r="H765" s="722">
        <f t="shared" si="11"/>
        <v>20.11</v>
      </c>
      <c r="I765" s="723">
        <f t="shared" si="11"/>
        <v>2932070.88</v>
      </c>
      <c r="J765" s="722">
        <f t="shared" si="11"/>
        <v>147.61999999999998</v>
      </c>
      <c r="K765" s="723">
        <f t="shared" si="11"/>
        <v>15842927.629999999</v>
      </c>
      <c r="L765" s="722">
        <f t="shared" si="11"/>
        <v>0.55000000000000004</v>
      </c>
      <c r="M765" s="723">
        <f t="shared" si="11"/>
        <v>65644.150000000009</v>
      </c>
      <c r="N765" s="722">
        <f t="shared" si="11"/>
        <v>168.27999999999997</v>
      </c>
      <c r="O765" s="723">
        <f t="shared" si="11"/>
        <v>18840642.659999996</v>
      </c>
      <c r="P765" s="722">
        <f t="shared" si="11"/>
        <v>74.13</v>
      </c>
      <c r="Q765" s="724">
        <f t="shared" si="11"/>
        <v>5979689.9299999997</v>
      </c>
    </row>
    <row r="766" spans="1:17" x14ac:dyDescent="0.4">
      <c r="A766" s="708"/>
      <c r="B766" s="557"/>
      <c r="C766" s="714"/>
      <c r="D766" s="725">
        <v>53</v>
      </c>
      <c r="E766" s="714"/>
      <c r="F766" s="722">
        <f t="shared" ref="F766:Q766" si="12">F391</f>
        <v>43.05</v>
      </c>
      <c r="G766" s="723">
        <f t="shared" si="12"/>
        <v>4041339.86</v>
      </c>
      <c r="H766" s="722">
        <f t="shared" si="12"/>
        <v>6.41</v>
      </c>
      <c r="I766" s="723">
        <f t="shared" si="12"/>
        <v>906214.9</v>
      </c>
      <c r="J766" s="722">
        <f t="shared" si="12"/>
        <v>36.629999999999995</v>
      </c>
      <c r="K766" s="723">
        <f t="shared" si="12"/>
        <v>3134162.23</v>
      </c>
      <c r="L766" s="722">
        <f t="shared" si="12"/>
        <v>0.01</v>
      </c>
      <c r="M766" s="723">
        <f t="shared" si="12"/>
        <v>962.73</v>
      </c>
      <c r="N766" s="722">
        <f t="shared" si="12"/>
        <v>43.04999999999999</v>
      </c>
      <c r="O766" s="723">
        <f t="shared" si="12"/>
        <v>4041339.86</v>
      </c>
      <c r="P766" s="722">
        <f t="shared" si="12"/>
        <v>153.79000000000002</v>
      </c>
      <c r="Q766" s="724">
        <f t="shared" si="12"/>
        <v>9103590.2699999996</v>
      </c>
    </row>
    <row r="767" spans="1:17" x14ac:dyDescent="0.4">
      <c r="A767" s="708"/>
      <c r="B767" s="557"/>
      <c r="C767" s="714"/>
      <c r="D767" s="725">
        <v>57</v>
      </c>
      <c r="E767" s="714"/>
      <c r="F767" s="722">
        <f t="shared" ref="F767:Q767" si="13">F446</f>
        <v>4.83</v>
      </c>
      <c r="G767" s="723">
        <f t="shared" si="13"/>
        <v>509008.45</v>
      </c>
      <c r="H767" s="722">
        <f t="shared" si="13"/>
        <v>0</v>
      </c>
      <c r="I767" s="723">
        <f t="shared" si="13"/>
        <v>0</v>
      </c>
      <c r="J767" s="722">
        <f t="shared" si="13"/>
        <v>4.83</v>
      </c>
      <c r="K767" s="723">
        <f t="shared" si="13"/>
        <v>509008.45</v>
      </c>
      <c r="L767" s="722">
        <f t="shared" si="13"/>
        <v>0</v>
      </c>
      <c r="M767" s="723">
        <f t="shared" si="13"/>
        <v>0</v>
      </c>
      <c r="N767" s="722">
        <f t="shared" si="13"/>
        <v>4.83</v>
      </c>
      <c r="O767" s="723">
        <f t="shared" si="13"/>
        <v>509008.45</v>
      </c>
      <c r="P767" s="722">
        <f t="shared" si="13"/>
        <v>12.15</v>
      </c>
      <c r="Q767" s="724">
        <f t="shared" si="13"/>
        <v>804785.2</v>
      </c>
    </row>
    <row r="768" spans="1:17" x14ac:dyDescent="0.4">
      <c r="A768" s="708"/>
      <c r="B768" s="557"/>
      <c r="C768" s="557"/>
      <c r="D768" s="725">
        <v>58</v>
      </c>
      <c r="E768" s="714"/>
      <c r="F768" s="722">
        <f t="shared" ref="F768:Q768" si="14">F466</f>
        <v>60.81</v>
      </c>
      <c r="G768" s="723">
        <f t="shared" si="14"/>
        <v>6323855.5300000003</v>
      </c>
      <c r="H768" s="722">
        <f t="shared" si="14"/>
        <v>3.6900000000000004</v>
      </c>
      <c r="I768" s="723">
        <f t="shared" si="14"/>
        <v>593681</v>
      </c>
      <c r="J768" s="722">
        <f t="shared" si="14"/>
        <v>57.120000000000005</v>
      </c>
      <c r="K768" s="723">
        <f t="shared" si="14"/>
        <v>5730174.5300000003</v>
      </c>
      <c r="L768" s="722">
        <f t="shared" si="14"/>
        <v>0</v>
      </c>
      <c r="M768" s="723">
        <f t="shared" si="14"/>
        <v>0</v>
      </c>
      <c r="N768" s="722">
        <f t="shared" si="14"/>
        <v>60.81</v>
      </c>
      <c r="O768" s="723">
        <f t="shared" si="14"/>
        <v>6323855.5300000003</v>
      </c>
      <c r="P768" s="722">
        <f t="shared" si="14"/>
        <v>91.830000000000013</v>
      </c>
      <c r="Q768" s="724">
        <f t="shared" si="14"/>
        <v>6273717.3200000003</v>
      </c>
    </row>
    <row r="769" spans="1:17" x14ac:dyDescent="0.4">
      <c r="A769" s="708"/>
      <c r="B769" s="557"/>
      <c r="C769" s="557"/>
      <c r="D769" s="725">
        <v>61</v>
      </c>
      <c r="E769" s="714"/>
      <c r="F769" s="722">
        <f t="shared" ref="F769:Q769" si="15">F482</f>
        <v>6.5299999999999994</v>
      </c>
      <c r="G769" s="723">
        <f t="shared" si="15"/>
        <v>821971.92</v>
      </c>
      <c r="H769" s="722">
        <f t="shared" si="15"/>
        <v>1.6099999999999999</v>
      </c>
      <c r="I769" s="723">
        <f t="shared" si="15"/>
        <v>266207.51999999996</v>
      </c>
      <c r="J769" s="722">
        <f t="shared" si="15"/>
        <v>4.92</v>
      </c>
      <c r="K769" s="723">
        <f t="shared" si="15"/>
        <v>555764.4</v>
      </c>
      <c r="L769" s="722">
        <f t="shared" si="15"/>
        <v>0</v>
      </c>
      <c r="M769" s="723">
        <f t="shared" si="15"/>
        <v>0</v>
      </c>
      <c r="N769" s="722">
        <f t="shared" si="15"/>
        <v>6.5299999999999994</v>
      </c>
      <c r="O769" s="723">
        <f t="shared" si="15"/>
        <v>821971.91999999993</v>
      </c>
      <c r="P769" s="722">
        <f t="shared" si="15"/>
        <v>145.76</v>
      </c>
      <c r="Q769" s="724">
        <f t="shared" si="15"/>
        <v>10845464.069999998</v>
      </c>
    </row>
    <row r="770" spans="1:17" x14ac:dyDescent="0.4">
      <c r="A770" s="708"/>
      <c r="B770" s="557"/>
      <c r="C770" s="557"/>
      <c r="D770" s="725">
        <v>62</v>
      </c>
      <c r="E770" s="714"/>
      <c r="F770" s="722">
        <f t="shared" ref="F770:Q770" si="16">F486</f>
        <v>1.53</v>
      </c>
      <c r="G770" s="723">
        <f t="shared" si="16"/>
        <v>189333.06</v>
      </c>
      <c r="H770" s="722">
        <f t="shared" si="16"/>
        <v>0.33</v>
      </c>
      <c r="I770" s="723">
        <f t="shared" si="16"/>
        <v>58938.66</v>
      </c>
      <c r="J770" s="722">
        <f t="shared" si="16"/>
        <v>1.2</v>
      </c>
      <c r="K770" s="723">
        <f t="shared" si="16"/>
        <v>130394.4</v>
      </c>
      <c r="L770" s="722">
        <f t="shared" si="16"/>
        <v>0</v>
      </c>
      <c r="M770" s="723">
        <f t="shared" si="16"/>
        <v>0</v>
      </c>
      <c r="N770" s="722">
        <f t="shared" si="16"/>
        <v>1.53</v>
      </c>
      <c r="O770" s="723">
        <f t="shared" si="16"/>
        <v>189333.06</v>
      </c>
      <c r="P770" s="722">
        <f t="shared" si="16"/>
        <v>0</v>
      </c>
      <c r="Q770" s="724">
        <f t="shared" si="16"/>
        <v>0</v>
      </c>
    </row>
    <row r="771" spans="1:17" x14ac:dyDescent="0.4">
      <c r="A771" s="708"/>
      <c r="B771" s="557"/>
      <c r="C771" s="557"/>
      <c r="D771" s="725">
        <v>64</v>
      </c>
      <c r="E771" s="714"/>
      <c r="F771" s="722">
        <f t="shared" ref="F771:Q771" si="17">F500</f>
        <v>62.41</v>
      </c>
      <c r="G771" s="723">
        <f t="shared" si="17"/>
        <v>7102773.7300000004</v>
      </c>
      <c r="H771" s="722">
        <f t="shared" si="17"/>
        <v>2.69</v>
      </c>
      <c r="I771" s="723">
        <f t="shared" si="17"/>
        <v>403022.77</v>
      </c>
      <c r="J771" s="722">
        <f t="shared" si="17"/>
        <v>59.72</v>
      </c>
      <c r="K771" s="723">
        <f t="shared" si="17"/>
        <v>6699750.96</v>
      </c>
      <c r="L771" s="722">
        <f t="shared" si="17"/>
        <v>0</v>
      </c>
      <c r="M771" s="723">
        <f t="shared" si="17"/>
        <v>0</v>
      </c>
      <c r="N771" s="722">
        <f t="shared" si="17"/>
        <v>62.41</v>
      </c>
      <c r="O771" s="723">
        <f t="shared" si="17"/>
        <v>7102773.7300000004</v>
      </c>
      <c r="P771" s="722">
        <f t="shared" si="17"/>
        <v>18.790000000000003</v>
      </c>
      <c r="Q771" s="724">
        <f t="shared" si="17"/>
        <v>1234941.7999999998</v>
      </c>
    </row>
    <row r="772" spans="1:17" x14ac:dyDescent="0.4">
      <c r="A772" s="708"/>
      <c r="B772" s="557"/>
      <c r="C772" s="557"/>
      <c r="D772" s="725">
        <v>67</v>
      </c>
      <c r="E772" s="714"/>
      <c r="F772" s="722">
        <f t="shared" ref="F772:Q772" si="18">F523</f>
        <v>0</v>
      </c>
      <c r="G772" s="723">
        <f t="shared" si="18"/>
        <v>0</v>
      </c>
      <c r="H772" s="722">
        <f t="shared" si="18"/>
        <v>0</v>
      </c>
      <c r="I772" s="723">
        <f t="shared" si="18"/>
        <v>0</v>
      </c>
      <c r="J772" s="722">
        <f t="shared" si="18"/>
        <v>0</v>
      </c>
      <c r="K772" s="723">
        <f t="shared" si="18"/>
        <v>0</v>
      </c>
      <c r="L772" s="722">
        <f t="shared" si="18"/>
        <v>0</v>
      </c>
      <c r="M772" s="723">
        <f t="shared" si="18"/>
        <v>0</v>
      </c>
      <c r="N772" s="722">
        <f t="shared" si="18"/>
        <v>0</v>
      </c>
      <c r="O772" s="723">
        <f t="shared" si="18"/>
        <v>0</v>
      </c>
      <c r="P772" s="722">
        <f t="shared" si="18"/>
        <v>0.55000000000000004</v>
      </c>
      <c r="Q772" s="724">
        <f t="shared" si="18"/>
        <v>28008.750000000004</v>
      </c>
    </row>
    <row r="773" spans="1:17" x14ac:dyDescent="0.4">
      <c r="A773" s="708"/>
      <c r="B773" s="557"/>
      <c r="C773" s="557"/>
      <c r="D773" s="725">
        <v>68</v>
      </c>
      <c r="E773" s="714"/>
      <c r="F773" s="722">
        <f t="shared" ref="F773:Q773" si="19">F542</f>
        <v>38.149999999999984</v>
      </c>
      <c r="G773" s="723">
        <f t="shared" si="19"/>
        <v>3496008.0799999996</v>
      </c>
      <c r="H773" s="722">
        <f t="shared" si="19"/>
        <v>2.7800000000000002</v>
      </c>
      <c r="I773" s="723">
        <f t="shared" si="19"/>
        <v>460437.83999999997</v>
      </c>
      <c r="J773" s="722">
        <f t="shared" si="19"/>
        <v>35.069999999999993</v>
      </c>
      <c r="K773" s="723">
        <f t="shared" si="19"/>
        <v>3005606.2399999998</v>
      </c>
      <c r="L773" s="722">
        <f t="shared" si="19"/>
        <v>0.3</v>
      </c>
      <c r="M773" s="723">
        <f t="shared" si="19"/>
        <v>29964</v>
      </c>
      <c r="N773" s="722">
        <f t="shared" si="19"/>
        <v>38.149999999999991</v>
      </c>
      <c r="O773" s="723">
        <f t="shared" si="19"/>
        <v>3496008.0799999996</v>
      </c>
      <c r="P773" s="722">
        <f t="shared" si="19"/>
        <v>40.879999999999995</v>
      </c>
      <c r="Q773" s="724">
        <f t="shared" si="19"/>
        <v>2762170.5599999996</v>
      </c>
    </row>
    <row r="774" spans="1:17" x14ac:dyDescent="0.4">
      <c r="A774" s="708"/>
      <c r="B774" s="557"/>
      <c r="C774" s="557"/>
      <c r="D774" s="725">
        <v>69</v>
      </c>
      <c r="E774" s="714"/>
      <c r="F774" s="722">
        <f t="shared" ref="F774:Q774" si="20">F560</f>
        <v>14.359999999999998</v>
      </c>
      <c r="G774" s="723">
        <f t="shared" si="20"/>
        <v>1303058.6599999999</v>
      </c>
      <c r="H774" s="722">
        <f t="shared" si="20"/>
        <v>2.7</v>
      </c>
      <c r="I774" s="723">
        <f t="shared" si="20"/>
        <v>315659.09999999998</v>
      </c>
      <c r="J774" s="722">
        <f t="shared" si="20"/>
        <v>11.659999999999998</v>
      </c>
      <c r="K774" s="723">
        <f t="shared" si="20"/>
        <v>987399.55999999994</v>
      </c>
      <c r="L774" s="722">
        <f t="shared" si="20"/>
        <v>0</v>
      </c>
      <c r="M774" s="723">
        <f t="shared" si="20"/>
        <v>0</v>
      </c>
      <c r="N774" s="722">
        <f t="shared" si="20"/>
        <v>14.36</v>
      </c>
      <c r="O774" s="723">
        <f t="shared" si="20"/>
        <v>1303058.6599999999</v>
      </c>
      <c r="P774" s="722">
        <f t="shared" si="20"/>
        <v>61.25</v>
      </c>
      <c r="Q774" s="724">
        <f t="shared" si="20"/>
        <v>4870001.3099999996</v>
      </c>
    </row>
    <row r="775" spans="1:17" x14ac:dyDescent="0.4">
      <c r="A775" s="708"/>
      <c r="B775" s="557"/>
      <c r="C775" s="557"/>
      <c r="D775" s="725">
        <v>71</v>
      </c>
      <c r="E775" s="714"/>
      <c r="F775" s="722">
        <f t="shared" ref="F775:Q775" si="21">F565</f>
        <v>1.6</v>
      </c>
      <c r="G775" s="723">
        <f t="shared" si="21"/>
        <v>148184.1</v>
      </c>
      <c r="H775" s="722">
        <f t="shared" si="21"/>
        <v>0</v>
      </c>
      <c r="I775" s="723">
        <f t="shared" si="21"/>
        <v>0</v>
      </c>
      <c r="J775" s="722">
        <f t="shared" si="21"/>
        <v>1.6</v>
      </c>
      <c r="K775" s="723">
        <f t="shared" si="21"/>
        <v>148184.1</v>
      </c>
      <c r="L775" s="722">
        <f t="shared" si="21"/>
        <v>0</v>
      </c>
      <c r="M775" s="723">
        <f t="shared" si="21"/>
        <v>0</v>
      </c>
      <c r="N775" s="722">
        <f t="shared" si="21"/>
        <v>1.6</v>
      </c>
      <c r="O775" s="723">
        <f t="shared" si="21"/>
        <v>148184.1</v>
      </c>
      <c r="P775" s="722">
        <f t="shared" si="21"/>
        <v>0.5</v>
      </c>
      <c r="Q775" s="724">
        <f t="shared" si="21"/>
        <v>41964</v>
      </c>
    </row>
    <row r="776" spans="1:17" x14ac:dyDescent="0.4">
      <c r="A776" s="708"/>
      <c r="B776" s="557"/>
      <c r="C776" s="557"/>
      <c r="D776" s="725">
        <v>73</v>
      </c>
      <c r="E776" s="714"/>
      <c r="F776" s="722">
        <f t="shared" ref="F776:Q776" si="22">F569</f>
        <v>0</v>
      </c>
      <c r="G776" s="723">
        <f t="shared" si="22"/>
        <v>0</v>
      </c>
      <c r="H776" s="722">
        <f t="shared" si="22"/>
        <v>0</v>
      </c>
      <c r="I776" s="723">
        <f t="shared" si="22"/>
        <v>0</v>
      </c>
      <c r="J776" s="722">
        <f t="shared" si="22"/>
        <v>0</v>
      </c>
      <c r="K776" s="723">
        <f t="shared" si="22"/>
        <v>0</v>
      </c>
      <c r="L776" s="722">
        <f t="shared" si="22"/>
        <v>0</v>
      </c>
      <c r="M776" s="723">
        <f t="shared" si="22"/>
        <v>0</v>
      </c>
      <c r="N776" s="722">
        <f t="shared" si="22"/>
        <v>0</v>
      </c>
      <c r="O776" s="723">
        <f t="shared" si="22"/>
        <v>0</v>
      </c>
      <c r="P776" s="722">
        <f t="shared" si="22"/>
        <v>0.49</v>
      </c>
      <c r="Q776" s="724">
        <f t="shared" si="22"/>
        <v>45161.770000000004</v>
      </c>
    </row>
    <row r="777" spans="1:17" x14ac:dyDescent="0.4">
      <c r="A777" s="708"/>
      <c r="B777" s="557"/>
      <c r="C777" s="557"/>
      <c r="D777" s="725">
        <v>76</v>
      </c>
      <c r="E777" s="714"/>
      <c r="F777" s="722">
        <f t="shared" ref="F777:Q777" si="23">F590</f>
        <v>0</v>
      </c>
      <c r="G777" s="723">
        <f t="shared" si="23"/>
        <v>0</v>
      </c>
      <c r="H777" s="722">
        <f t="shared" si="23"/>
        <v>0</v>
      </c>
      <c r="I777" s="723">
        <f t="shared" si="23"/>
        <v>0</v>
      </c>
      <c r="J777" s="722">
        <f t="shared" si="23"/>
        <v>0</v>
      </c>
      <c r="K777" s="723">
        <f t="shared" si="23"/>
        <v>0</v>
      </c>
      <c r="L777" s="722">
        <f t="shared" si="23"/>
        <v>0</v>
      </c>
      <c r="M777" s="723">
        <f t="shared" si="23"/>
        <v>0</v>
      </c>
      <c r="N777" s="722">
        <f t="shared" si="23"/>
        <v>0</v>
      </c>
      <c r="O777" s="723">
        <f t="shared" si="23"/>
        <v>0</v>
      </c>
      <c r="P777" s="722">
        <f t="shared" si="23"/>
        <v>5.16</v>
      </c>
      <c r="Q777" s="724">
        <f t="shared" si="23"/>
        <v>436463.16000000003</v>
      </c>
    </row>
    <row r="778" spans="1:17" x14ac:dyDescent="0.4">
      <c r="A778" s="708"/>
      <c r="B778" s="557"/>
      <c r="C778" s="557"/>
      <c r="D778" s="725">
        <v>78</v>
      </c>
      <c r="E778" s="714"/>
      <c r="F778" s="722">
        <f t="shared" ref="F778:Q778" si="24">F596</f>
        <v>3.47</v>
      </c>
      <c r="G778" s="723">
        <f t="shared" si="24"/>
        <v>326807.7</v>
      </c>
      <c r="H778" s="722">
        <f t="shared" si="24"/>
        <v>0</v>
      </c>
      <c r="I778" s="723">
        <f t="shared" si="24"/>
        <v>0</v>
      </c>
      <c r="J778" s="722">
        <f t="shared" si="24"/>
        <v>3.47</v>
      </c>
      <c r="K778" s="723">
        <f t="shared" si="24"/>
        <v>326807.7</v>
      </c>
      <c r="L778" s="722">
        <f t="shared" si="24"/>
        <v>0</v>
      </c>
      <c r="M778" s="723">
        <f t="shared" si="24"/>
        <v>0</v>
      </c>
      <c r="N778" s="722">
        <f t="shared" si="24"/>
        <v>3.47</v>
      </c>
      <c r="O778" s="723">
        <f t="shared" si="24"/>
        <v>326807.7</v>
      </c>
      <c r="P778" s="722">
        <f t="shared" si="24"/>
        <v>2</v>
      </c>
      <c r="Q778" s="724">
        <f t="shared" si="24"/>
        <v>142722</v>
      </c>
    </row>
    <row r="779" spans="1:17" x14ac:dyDescent="0.4">
      <c r="A779" s="708"/>
      <c r="B779" s="557"/>
      <c r="C779" s="557"/>
      <c r="D779" s="725">
        <v>79</v>
      </c>
      <c r="E779" s="714"/>
      <c r="F779" s="722">
        <f t="shared" ref="F779:Q779" si="25">F624</f>
        <v>258.38</v>
      </c>
      <c r="G779" s="723">
        <f t="shared" si="25"/>
        <v>25139095.810000002</v>
      </c>
      <c r="H779" s="722">
        <f t="shared" si="25"/>
        <v>17.98</v>
      </c>
      <c r="I779" s="723">
        <f t="shared" si="25"/>
        <v>3002955.85</v>
      </c>
      <c r="J779" s="722">
        <f t="shared" si="25"/>
        <v>215.8</v>
      </c>
      <c r="K779" s="723">
        <f t="shared" si="25"/>
        <v>19869651.960000001</v>
      </c>
      <c r="L779" s="722">
        <f t="shared" si="25"/>
        <v>24.6</v>
      </c>
      <c r="M779" s="723">
        <f t="shared" si="25"/>
        <v>2266488</v>
      </c>
      <c r="N779" s="722">
        <f t="shared" si="25"/>
        <v>258.38</v>
      </c>
      <c r="O779" s="723">
        <f t="shared" si="25"/>
        <v>25139095.810000002</v>
      </c>
      <c r="P779" s="722">
        <f t="shared" si="25"/>
        <v>352.13</v>
      </c>
      <c r="Q779" s="724">
        <f t="shared" si="25"/>
        <v>29058164.859999999</v>
      </c>
    </row>
    <row r="780" spans="1:17" x14ac:dyDescent="0.4">
      <c r="A780" s="708"/>
      <c r="B780" s="557"/>
      <c r="C780" s="557"/>
      <c r="D780" s="725">
        <v>81</v>
      </c>
      <c r="E780" s="714"/>
      <c r="F780" s="722">
        <f t="shared" ref="F780:Q780" si="26">F631</f>
        <v>0</v>
      </c>
      <c r="G780" s="723">
        <f t="shared" si="26"/>
        <v>0</v>
      </c>
      <c r="H780" s="722">
        <f t="shared" si="26"/>
        <v>0</v>
      </c>
      <c r="I780" s="723">
        <f t="shared" si="26"/>
        <v>0</v>
      </c>
      <c r="J780" s="722">
        <f t="shared" si="26"/>
        <v>0</v>
      </c>
      <c r="K780" s="723">
        <f t="shared" si="26"/>
        <v>0</v>
      </c>
      <c r="L780" s="722">
        <f t="shared" si="26"/>
        <v>0</v>
      </c>
      <c r="M780" s="723">
        <f t="shared" si="26"/>
        <v>0</v>
      </c>
      <c r="N780" s="722">
        <f t="shared" si="26"/>
        <v>0</v>
      </c>
      <c r="O780" s="723">
        <f t="shared" si="26"/>
        <v>0</v>
      </c>
      <c r="P780" s="722">
        <f t="shared" si="26"/>
        <v>10.44</v>
      </c>
      <c r="Q780" s="724">
        <f t="shared" si="26"/>
        <v>1079493.19</v>
      </c>
    </row>
    <row r="781" spans="1:17" x14ac:dyDescent="0.4">
      <c r="A781" s="708"/>
      <c r="B781" s="557"/>
      <c r="C781" s="557"/>
      <c r="D781" s="725">
        <v>86</v>
      </c>
      <c r="E781" s="714"/>
      <c r="F781" s="722">
        <f t="shared" ref="F781:Q781" si="27">F640</f>
        <v>1.25</v>
      </c>
      <c r="G781" s="723">
        <f t="shared" si="27"/>
        <v>140847</v>
      </c>
      <c r="H781" s="722">
        <f t="shared" si="27"/>
        <v>0.25</v>
      </c>
      <c r="I781" s="723">
        <f t="shared" si="27"/>
        <v>30656</v>
      </c>
      <c r="J781" s="722">
        <f t="shared" si="27"/>
        <v>1</v>
      </c>
      <c r="K781" s="723">
        <f t="shared" si="27"/>
        <v>110191</v>
      </c>
      <c r="L781" s="722">
        <f t="shared" si="27"/>
        <v>0</v>
      </c>
      <c r="M781" s="723">
        <f t="shared" si="27"/>
        <v>0</v>
      </c>
      <c r="N781" s="722">
        <f t="shared" si="27"/>
        <v>1.25</v>
      </c>
      <c r="O781" s="723">
        <f t="shared" si="27"/>
        <v>140847</v>
      </c>
      <c r="P781" s="722">
        <f t="shared" si="27"/>
        <v>14.81</v>
      </c>
      <c r="Q781" s="724">
        <f t="shared" si="27"/>
        <v>1102525.48</v>
      </c>
    </row>
    <row r="782" spans="1:17" x14ac:dyDescent="0.4">
      <c r="A782" s="708"/>
      <c r="B782" s="557"/>
      <c r="C782" s="557"/>
      <c r="D782" s="725">
        <v>88</v>
      </c>
      <c r="E782" s="714"/>
      <c r="F782" s="722">
        <f t="shared" ref="F782:Q782" si="28">F659</f>
        <v>125.32999999999998</v>
      </c>
      <c r="G782" s="723">
        <f t="shared" si="28"/>
        <v>11612165.08</v>
      </c>
      <c r="H782" s="722">
        <f t="shared" si="28"/>
        <v>15.6</v>
      </c>
      <c r="I782" s="723">
        <f t="shared" si="28"/>
        <v>2417381.1799999997</v>
      </c>
      <c r="J782" s="722">
        <f t="shared" si="28"/>
        <v>107.72999999999999</v>
      </c>
      <c r="K782" s="723">
        <f t="shared" si="28"/>
        <v>9079541.9000000004</v>
      </c>
      <c r="L782" s="722">
        <f t="shared" si="28"/>
        <v>2</v>
      </c>
      <c r="M782" s="723">
        <f t="shared" si="28"/>
        <v>115242</v>
      </c>
      <c r="N782" s="722">
        <f t="shared" si="28"/>
        <v>125.32999999999998</v>
      </c>
      <c r="O782" s="723">
        <f t="shared" si="28"/>
        <v>11612165.08</v>
      </c>
      <c r="P782" s="722">
        <f t="shared" si="28"/>
        <v>881.68000000000006</v>
      </c>
      <c r="Q782" s="724">
        <f t="shared" si="28"/>
        <v>54390194.750000007</v>
      </c>
    </row>
    <row r="783" spans="1:17" x14ac:dyDescent="0.4">
      <c r="A783" s="714"/>
      <c r="B783" s="714"/>
      <c r="C783" s="714"/>
      <c r="D783" s="725">
        <v>89</v>
      </c>
      <c r="E783" s="714"/>
      <c r="F783" s="722">
        <f t="shared" ref="F783:Q783" si="29">F678</f>
        <v>15.26</v>
      </c>
      <c r="G783" s="723">
        <f t="shared" si="29"/>
        <v>1771450.05</v>
      </c>
      <c r="H783" s="722">
        <f t="shared" si="29"/>
        <v>2.7</v>
      </c>
      <c r="I783" s="723">
        <f t="shared" si="29"/>
        <v>458530.35000000003</v>
      </c>
      <c r="J783" s="722">
        <f t="shared" si="29"/>
        <v>7.0600000000000005</v>
      </c>
      <c r="K783" s="723">
        <f t="shared" si="29"/>
        <v>671647.7</v>
      </c>
      <c r="L783" s="722">
        <f t="shared" si="29"/>
        <v>5.5</v>
      </c>
      <c r="M783" s="723">
        <f t="shared" si="29"/>
        <v>641272</v>
      </c>
      <c r="N783" s="722">
        <f t="shared" si="29"/>
        <v>15.260000000000002</v>
      </c>
      <c r="O783" s="723">
        <f t="shared" si="29"/>
        <v>1771450.05</v>
      </c>
      <c r="P783" s="722">
        <f t="shared" si="29"/>
        <v>187.25</v>
      </c>
      <c r="Q783" s="724">
        <f t="shared" si="29"/>
        <v>14887198.969999999</v>
      </c>
    </row>
    <row r="784" spans="1:17" x14ac:dyDescent="0.4">
      <c r="A784" s="714"/>
      <c r="B784" s="714"/>
      <c r="C784" s="714"/>
      <c r="D784" s="727" t="s">
        <v>138</v>
      </c>
      <c r="E784" s="714"/>
      <c r="F784" s="722">
        <f t="shared" ref="F784:Q784" si="30">F738</f>
        <v>44.349999999999994</v>
      </c>
      <c r="G784" s="723">
        <f t="shared" si="30"/>
        <v>5985511.2999999998</v>
      </c>
      <c r="H784" s="722">
        <f t="shared" si="30"/>
        <v>8.3000000000000007</v>
      </c>
      <c r="I784" s="723">
        <f t="shared" si="30"/>
        <v>1433501.3</v>
      </c>
      <c r="J784" s="722">
        <f t="shared" si="30"/>
        <v>36.049999999999997</v>
      </c>
      <c r="K784" s="723">
        <f t="shared" si="30"/>
        <v>4552010</v>
      </c>
      <c r="L784" s="722">
        <f t="shared" si="30"/>
        <v>0</v>
      </c>
      <c r="M784" s="723">
        <f t="shared" si="30"/>
        <v>0</v>
      </c>
      <c r="N784" s="722">
        <f t="shared" si="30"/>
        <v>44.349999999999994</v>
      </c>
      <c r="O784" s="723">
        <f t="shared" si="30"/>
        <v>5985511.2999999998</v>
      </c>
      <c r="P784" s="722">
        <f t="shared" si="30"/>
        <v>383.29999999999995</v>
      </c>
      <c r="Q784" s="724">
        <f t="shared" si="30"/>
        <v>49929021.309999995</v>
      </c>
    </row>
    <row r="785" spans="1:17" x14ac:dyDescent="0.4">
      <c r="A785" s="714"/>
      <c r="B785" s="714"/>
      <c r="C785" s="714"/>
      <c r="D785" s="727" t="s">
        <v>140</v>
      </c>
      <c r="E785" s="714"/>
      <c r="F785" s="722">
        <f t="shared" ref="F785:Q785" si="31">F741</f>
        <v>0</v>
      </c>
      <c r="G785" s="723">
        <f t="shared" si="31"/>
        <v>0</v>
      </c>
      <c r="H785" s="722">
        <f t="shared" si="31"/>
        <v>0</v>
      </c>
      <c r="I785" s="723">
        <f t="shared" si="31"/>
        <v>0</v>
      </c>
      <c r="J785" s="722">
        <f t="shared" si="31"/>
        <v>0</v>
      </c>
      <c r="K785" s="723">
        <f t="shared" si="31"/>
        <v>0</v>
      </c>
      <c r="L785" s="722">
        <f t="shared" si="31"/>
        <v>0</v>
      </c>
      <c r="M785" s="723">
        <f t="shared" si="31"/>
        <v>0</v>
      </c>
      <c r="N785" s="722">
        <f t="shared" si="31"/>
        <v>0</v>
      </c>
      <c r="O785" s="723">
        <f t="shared" si="31"/>
        <v>0</v>
      </c>
      <c r="P785" s="722">
        <f t="shared" si="31"/>
        <v>0.48</v>
      </c>
      <c r="Q785" s="724">
        <f t="shared" si="31"/>
        <v>22501.439999999999</v>
      </c>
    </row>
    <row r="786" spans="1:17" x14ac:dyDescent="0.4">
      <c r="A786" s="714"/>
      <c r="B786" s="714"/>
      <c r="C786" s="714"/>
      <c r="D786" s="728" t="s">
        <v>38</v>
      </c>
      <c r="E786" s="729"/>
      <c r="F786" s="730">
        <f t="shared" ref="F786:Q786" si="32">SUM(F755:F785)</f>
        <v>1337.6199999999997</v>
      </c>
      <c r="G786" s="731">
        <f t="shared" si="32"/>
        <v>131999954.77</v>
      </c>
      <c r="H786" s="730">
        <f t="shared" si="32"/>
        <v>95</v>
      </c>
      <c r="I786" s="731">
        <f t="shared" si="32"/>
        <v>14864329.489999998</v>
      </c>
      <c r="J786" s="730">
        <f t="shared" si="32"/>
        <v>1209.6599999999999</v>
      </c>
      <c r="K786" s="731">
        <f t="shared" si="32"/>
        <v>114016052.39999999</v>
      </c>
      <c r="L786" s="730">
        <f t="shared" si="32"/>
        <v>32.96</v>
      </c>
      <c r="M786" s="731">
        <f t="shared" si="32"/>
        <v>3119572.88</v>
      </c>
      <c r="N786" s="730">
        <f t="shared" si="32"/>
        <v>1337.6199999999997</v>
      </c>
      <c r="O786" s="731">
        <f t="shared" si="32"/>
        <v>131999954.77</v>
      </c>
      <c r="P786" s="730">
        <f t="shared" si="32"/>
        <v>2684.28</v>
      </c>
      <c r="Q786" s="732">
        <f t="shared" si="32"/>
        <v>206737804.76000002</v>
      </c>
    </row>
    <row r="787" spans="1:17" ht="17.399999999999999" thickBot="1" x14ac:dyDescent="0.45">
      <c r="A787" s="733"/>
      <c r="B787" s="714"/>
      <c r="C787" s="714"/>
      <c r="D787" s="734" t="s">
        <v>184</v>
      </c>
      <c r="E787" s="735"/>
      <c r="F787" s="736"/>
      <c r="G787" s="737">
        <f>G786/F786</f>
        <v>98682.701193164001</v>
      </c>
      <c r="H787" s="736"/>
      <c r="I787" s="737">
        <f>I786/H786</f>
        <v>156466.6262105263</v>
      </c>
      <c r="J787" s="736"/>
      <c r="K787" s="737">
        <f>K786/J786</f>
        <v>94254.627250632417</v>
      </c>
      <c r="L787" s="736"/>
      <c r="M787" s="737">
        <f>M786/L786</f>
        <v>94647.235436893199</v>
      </c>
      <c r="N787" s="736"/>
      <c r="O787" s="737">
        <f>O786/N786</f>
        <v>98682.701193164001</v>
      </c>
      <c r="P787" s="736"/>
      <c r="Q787" s="738">
        <f>Q786/P786</f>
        <v>77017.973072853798</v>
      </c>
    </row>
    <row r="788" spans="1:17" ht="17.399999999999999" thickTop="1" x14ac:dyDescent="0.4">
      <c r="A788" s="733"/>
      <c r="B788" s="714"/>
      <c r="C788" s="714"/>
      <c r="D788" s="714"/>
      <c r="E788" s="714"/>
      <c r="F788" s="714"/>
      <c r="G788" s="714"/>
      <c r="H788" s="714"/>
      <c r="I788" s="714"/>
      <c r="J788" s="714"/>
      <c r="K788" s="714"/>
      <c r="L788" s="714"/>
      <c r="M788" s="714"/>
      <c r="N788" s="714"/>
      <c r="O788" s="714"/>
      <c r="P788" s="714"/>
      <c r="Q788" s="714"/>
    </row>
    <row r="789" spans="1:17" x14ac:dyDescent="0.4">
      <c r="A789" s="739" t="s">
        <v>143</v>
      </c>
      <c r="B789" s="740"/>
      <c r="C789" s="740"/>
      <c r="D789" s="741" t="s">
        <v>144</v>
      </c>
      <c r="E789" s="742">
        <f>'Table 5-6'!D43</f>
        <v>5117.3300000000017</v>
      </c>
      <c r="F789" s="714"/>
      <c r="G789" s="714"/>
      <c r="H789" s="714"/>
      <c r="I789" s="714"/>
      <c r="J789" s="743"/>
      <c r="K789" s="743"/>
      <c r="L789" s="714"/>
      <c r="M789" s="714"/>
      <c r="N789" s="714"/>
      <c r="O789" s="714"/>
      <c r="P789" s="714"/>
      <c r="Q789" s="714"/>
    </row>
    <row r="790" spans="1:17" x14ac:dyDescent="0.4">
      <c r="A790" s="739" t="s">
        <v>145</v>
      </c>
      <c r="B790" s="744"/>
      <c r="C790" s="744"/>
      <c r="D790" s="745" t="s">
        <v>146</v>
      </c>
      <c r="E790" s="746">
        <f>'Table 5-6'!D58</f>
        <v>72737.239999999991</v>
      </c>
      <c r="F790" s="714"/>
      <c r="G790" s="714"/>
      <c r="H790" s="714"/>
      <c r="I790" s="714"/>
      <c r="J790" s="743"/>
      <c r="K790" s="743"/>
      <c r="L790" s="714"/>
      <c r="M790" s="714"/>
      <c r="N790" s="714"/>
      <c r="O790" s="714"/>
      <c r="P790" s="714"/>
      <c r="Q790" s="714"/>
    </row>
    <row r="791" spans="1:17" x14ac:dyDescent="0.4">
      <c r="A791" s="739" t="s">
        <v>147</v>
      </c>
      <c r="B791" s="740"/>
      <c r="C791" s="740"/>
      <c r="D791" s="741"/>
      <c r="E791" s="742">
        <f>SUM(E789:E790)</f>
        <v>77854.569999999992</v>
      </c>
      <c r="F791" s="714"/>
      <c r="G791" s="714"/>
      <c r="H791" s="714"/>
      <c r="I791" s="714"/>
      <c r="J791" s="743"/>
      <c r="K791" s="743"/>
      <c r="L791" s="714"/>
      <c r="M791" s="714"/>
      <c r="N791" s="714"/>
      <c r="O791" s="714"/>
      <c r="P791" s="714"/>
      <c r="Q791" s="714"/>
    </row>
    <row r="792" spans="1:17" x14ac:dyDescent="0.4">
      <c r="A792" s="739" t="s">
        <v>148</v>
      </c>
      <c r="B792" s="740"/>
      <c r="C792" s="740"/>
      <c r="D792" s="741" t="s">
        <v>149</v>
      </c>
      <c r="E792" s="746">
        <f>'Table 5-6'!D10</f>
        <v>254.71</v>
      </c>
      <c r="F792" s="714"/>
      <c r="G792" s="714"/>
      <c r="H792" s="714"/>
      <c r="I792" s="714"/>
      <c r="J792" s="743"/>
      <c r="K792" s="743"/>
      <c r="L792" s="714"/>
      <c r="M792" s="714"/>
      <c r="N792" s="714"/>
      <c r="O792" s="714"/>
      <c r="P792" s="714"/>
      <c r="Q792" s="714"/>
    </row>
    <row r="793" spans="1:17" x14ac:dyDescent="0.4">
      <c r="A793" s="739" t="s">
        <v>150</v>
      </c>
      <c r="B793" s="740"/>
      <c r="C793" s="740"/>
      <c r="D793" s="741" t="s">
        <v>149</v>
      </c>
      <c r="E793" s="746">
        <f>'Table 5-6'!D11</f>
        <v>83.4</v>
      </c>
      <c r="F793" s="714"/>
      <c r="G793" s="714"/>
      <c r="H793" s="714"/>
      <c r="I793" s="714"/>
      <c r="J793" s="743"/>
      <c r="K793" s="743"/>
      <c r="L793" s="714"/>
      <c r="M793" s="714"/>
      <c r="N793" s="714"/>
      <c r="O793" s="714"/>
      <c r="P793" s="714"/>
      <c r="Q793" s="714"/>
    </row>
    <row r="794" spans="1:17" x14ac:dyDescent="0.4">
      <c r="A794" s="739" t="s">
        <v>38</v>
      </c>
      <c r="B794" s="740"/>
      <c r="C794" s="740"/>
      <c r="D794" s="741"/>
      <c r="E794" s="747">
        <f>SUM(E791:E793)</f>
        <v>78192.679999999993</v>
      </c>
      <c r="F794" s="714"/>
      <c r="G794" s="714"/>
      <c r="H794" s="714"/>
      <c r="I794" s="714"/>
      <c r="J794" s="743"/>
      <c r="K794" s="743"/>
      <c r="L794" s="704"/>
      <c r="M794" s="711"/>
      <c r="N794" s="712"/>
      <c r="O794" s="713"/>
      <c r="P794" s="704"/>
      <c r="Q794" s="705"/>
    </row>
    <row r="795" spans="1:17" x14ac:dyDescent="0.4">
      <c r="A795" s="739" t="s">
        <v>151</v>
      </c>
      <c r="B795" s="740"/>
      <c r="C795" s="744"/>
      <c r="D795" s="741" t="s">
        <v>152</v>
      </c>
      <c r="E795" s="742">
        <f>'Table 5-6'!D28</f>
        <v>78192.669999999984</v>
      </c>
      <c r="F795" s="714"/>
      <c r="G795" s="714"/>
      <c r="H795" s="714"/>
      <c r="I795" s="714"/>
      <c r="J795" s="743"/>
      <c r="K795" s="743"/>
      <c r="L795" s="704"/>
      <c r="M795" s="711"/>
      <c r="N795" s="712"/>
      <c r="O795" s="713"/>
      <c r="P795" s="704"/>
      <c r="Q795" s="705"/>
    </row>
  </sheetData>
  <autoFilter ref="A4:Q742" xr:uid="{00000000-0001-0000-0800-000000000000}"/>
  <phoneticPr fontId="0" type="noConversion"/>
  <pageMargins left="0.5" right="0.5" top="1" bottom="1" header="0.5" footer="0.5"/>
  <pageSetup scale="61" fitToHeight="0" orientation="landscape" r:id="rId1"/>
  <headerFooter alignWithMargins="0">
    <oddHeader>&amp;L&amp;F&amp;C&amp;A</oddHeader>
    <oddFooter>&amp;LOSPI/SAFS&amp;CPage &amp;P of &amp;N&amp;R&amp;D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3</vt:i4>
      </vt:variant>
    </vt:vector>
  </HeadingPairs>
  <TitlesOfParts>
    <vt:vector size="13" baseType="lpstr">
      <vt:lpstr>Table 1</vt:lpstr>
      <vt:lpstr>Table 2</vt:lpstr>
      <vt:lpstr>Table 3</vt:lpstr>
      <vt:lpstr>table3ws1</vt:lpstr>
      <vt:lpstr>table3ws2</vt:lpstr>
      <vt:lpstr>Table 4</vt:lpstr>
      <vt:lpstr>table4ws</vt:lpstr>
      <vt:lpstr>Table 5-6</vt:lpstr>
      <vt:lpstr>table5-6ws1</vt:lpstr>
      <vt:lpstr>table7ws</vt:lpstr>
      <vt:lpstr>'Table 1'!Print_Area</vt:lpstr>
      <vt:lpstr>'Table 5-6'!Print_Area</vt:lpstr>
      <vt:lpstr>'table5-6ws1'!Print_Titles</vt:lpstr>
    </vt:vector>
  </TitlesOfParts>
  <Company>Apportionment and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 Bunda</dc:creator>
  <cp:lastModifiedBy>Ross Bunda</cp:lastModifiedBy>
  <cp:lastPrinted>2025-11-17T20:50:10Z</cp:lastPrinted>
  <dcterms:created xsi:type="dcterms:W3CDTF">1996-11-12T19:09:12Z</dcterms:created>
  <dcterms:modified xsi:type="dcterms:W3CDTF">2025-11-17T20:50:48Z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145f431-4c8c-42c6-a5a5-ba6d3bdea585_Enabled">
    <vt:lpwstr>true</vt:lpwstr>
  </property>
  <property fmtid="{D5CDD505-2E9C-101B-9397-08002B2CF9AE}" pid="3" name="MSIP_Label_9145f431-4c8c-42c6-a5a5-ba6d3bdea585_SetDate">
    <vt:lpwstr>2024-11-06T22:23:51Z</vt:lpwstr>
  </property>
  <property fmtid="{D5CDD505-2E9C-101B-9397-08002B2CF9AE}" pid="4" name="MSIP_Label_9145f431-4c8c-42c6-a5a5-ba6d3bdea585_Method">
    <vt:lpwstr>Standard</vt:lpwstr>
  </property>
  <property fmtid="{D5CDD505-2E9C-101B-9397-08002B2CF9AE}" pid="5" name="MSIP_Label_9145f431-4c8c-42c6-a5a5-ba6d3bdea585_Name">
    <vt:lpwstr>defa4170-0d19-0005-0004-bc88714345d2</vt:lpwstr>
  </property>
  <property fmtid="{D5CDD505-2E9C-101B-9397-08002B2CF9AE}" pid="6" name="MSIP_Label_9145f431-4c8c-42c6-a5a5-ba6d3bdea585_SiteId">
    <vt:lpwstr>b2fe5ccf-10a5-46fe-ae45-a0267412af7a</vt:lpwstr>
  </property>
  <property fmtid="{D5CDD505-2E9C-101B-9397-08002B2CF9AE}" pid="7" name="MSIP_Label_9145f431-4c8c-42c6-a5a5-ba6d3bdea585_ActionId">
    <vt:lpwstr>7449eb10-dd3b-48dc-89bb-e147b69935cc</vt:lpwstr>
  </property>
  <property fmtid="{D5CDD505-2E9C-101B-9397-08002B2CF9AE}" pid="8" name="MSIP_Label_9145f431-4c8c-42c6-a5a5-ba6d3bdea585_ContentBits">
    <vt:lpwstr>0</vt:lpwstr>
  </property>
</Properties>
</file>