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S:\Apportionment_NEW\Financial Reporting\F-185\24-25\For Posting\"/>
    </mc:Choice>
  </mc:AlternateContent>
  <xr:revisionPtr revIDLastSave="0" documentId="13_ncr:1_{256C7105-DF30-4E94-B39D-E439E941F3AD}" xr6:coauthVersionLast="47" xr6:coauthVersionMax="47" xr10:uidLastSave="{00000000-0000-0000-0000-000000000000}"/>
  <bookViews>
    <workbookView xWindow="28680" yWindow="-120" windowWidth="29040" windowHeight="16440" tabRatio="830" xr2:uid="{00000000-000D-0000-FFFF-FFFF00000000}"/>
  </bookViews>
  <sheets>
    <sheet name="Stmt of Net Position" sheetId="1" r:id="rId1"/>
    <sheet name="NetPos" sheetId="21" state="hidden" r:id="rId2"/>
    <sheet name="Stmt of Rev Exp Chg in Net Pos" sheetId="2" r:id="rId3"/>
    <sheet name="Chg" sheetId="23" state="hidden" r:id="rId4"/>
    <sheet name="Stmt of Cash Flow" sheetId="4" r:id="rId5"/>
    <sheet name="Flow" sheetId="24" state="hidden" r:id="rId6"/>
    <sheet name="Budget to Actual" sheetId="3" r:id="rId7"/>
    <sheet name="Comp" sheetId="25" state="hidden" r:id="rId8"/>
    <sheet name="Fiduciary Net Position" sheetId="6" r:id="rId9"/>
    <sheet name="Fiduciary Changes" sheetId="7" r:id="rId10"/>
    <sheet name="Expenditure Matrix" sheetId="27" r:id="rId11"/>
    <sheet name="Revenue" sheetId="28" r:id="rId12"/>
    <sheet name="Fidos" sheetId="26" state="hidden" r:id="rId13"/>
    <sheet name="Items" sheetId="5" state="hidden" r:id="rId14"/>
  </sheets>
  <definedNames>
    <definedName name="_0102BudvsAct">#REF!</definedName>
    <definedName name="_101">#REF!</definedName>
    <definedName name="_102">#REF!</definedName>
    <definedName name="_103">#REF!</definedName>
    <definedName name="_104">#REF!</definedName>
    <definedName name="_105">#REF!</definedName>
    <definedName name="_106">#REF!</definedName>
    <definedName name="_107">#REF!</definedName>
    <definedName name="_108">#REF!</definedName>
    <definedName name="_109">#REF!</definedName>
    <definedName name="_11">#REF!</definedName>
    <definedName name="_110">#REF!</definedName>
    <definedName name="_111">#REF!</definedName>
    <definedName name="_112">#REF!</definedName>
    <definedName name="_113">#REF!</definedName>
    <definedName name="_114">#REF!</definedName>
    <definedName name="_115">#REF!</definedName>
    <definedName name="_116">#REF!</definedName>
    <definedName name="_120">#REF!</definedName>
    <definedName name="_121">#REF!</definedName>
    <definedName name="_122">#REF!</definedName>
    <definedName name="_123">#REF!</definedName>
    <definedName name="_124">#REF!</definedName>
    <definedName name="_125">#REF!</definedName>
    <definedName name="_126">#REF!</definedName>
    <definedName name="_127">#REF!</definedName>
    <definedName name="_128">#REF!</definedName>
    <definedName name="_130">#REF!</definedName>
    <definedName name="_131">#REF!</definedName>
    <definedName name="_132">#REF!</definedName>
    <definedName name="_133">#REF!</definedName>
    <definedName name="_134">#REF!</definedName>
    <definedName name="_135">#REF!</definedName>
    <definedName name="_136">#REF!</definedName>
    <definedName name="_138">#REF!</definedName>
    <definedName name="_141">#REF!</definedName>
    <definedName name="_142">#REF!</definedName>
    <definedName name="_143">#REF!</definedName>
    <definedName name="_144">#REF!</definedName>
    <definedName name="_148">#REF!</definedName>
    <definedName name="_149">#REF!</definedName>
    <definedName name="_150">#REF!</definedName>
    <definedName name="_151">#REF!</definedName>
    <definedName name="_152">#REF!</definedName>
    <definedName name="_153">#REF!</definedName>
    <definedName name="_154">#REF!</definedName>
    <definedName name="_155">#REF!</definedName>
    <definedName name="_156">#REF!</definedName>
    <definedName name="_157">#REF!</definedName>
    <definedName name="_158">#REF!</definedName>
    <definedName name="_159">#REF!</definedName>
    <definedName name="_160">#REF!</definedName>
    <definedName name="_161">#REF!</definedName>
    <definedName name="_162">#REF!</definedName>
    <definedName name="_163">#REF!</definedName>
    <definedName name="_164">#REF!</definedName>
    <definedName name="_165">#REF!</definedName>
    <definedName name="_166">#REF!</definedName>
    <definedName name="_167">#REF!</definedName>
    <definedName name="_168">#REF!</definedName>
    <definedName name="_169">#REF!</definedName>
    <definedName name="_170">#REF!</definedName>
    <definedName name="_173">#REF!</definedName>
    <definedName name="_174">#REF!</definedName>
    <definedName name="_175">#REF!</definedName>
    <definedName name="_176">#REF!</definedName>
    <definedName name="_177">#REF!</definedName>
    <definedName name="_178">#REF!</definedName>
    <definedName name="_179">#REF!</definedName>
    <definedName name="_180">#REF!</definedName>
    <definedName name="_181">#REF!</definedName>
    <definedName name="_182">#REF!</definedName>
    <definedName name="_183">#REF!</definedName>
    <definedName name="_184">#REF!</definedName>
    <definedName name="_185">#REF!</definedName>
    <definedName name="_186">#REF!</definedName>
    <definedName name="_188">#REF!</definedName>
    <definedName name="_190">#REF!</definedName>
    <definedName name="_191">#REF!</definedName>
    <definedName name="_192">#REF!</definedName>
    <definedName name="_193">#REF!</definedName>
    <definedName name="_195">#REF!</definedName>
    <definedName name="_196">#REF!</definedName>
    <definedName name="_197">#REF!</definedName>
    <definedName name="_198">#REF!</definedName>
    <definedName name="ChildCare">#REF!</definedName>
    <definedName name="F195CPFREV">#REF!</definedName>
    <definedName name="F195REV">#REF!</definedName>
    <definedName name="GLItem">#REF!</definedName>
    <definedName name="Instructional">#REF!</definedName>
    <definedName name="Item">#REF!</definedName>
    <definedName name="New">#REF!</definedName>
    <definedName name="Obj_tbl">#REF!</definedName>
    <definedName name="Opperating">#REF!</definedName>
    <definedName name="_xlnm.Print_Area" localSheetId="6">'Budget to Actual'!$C$2:$G$59</definedName>
    <definedName name="_xlnm.Print_Area" localSheetId="9">'Fiduciary Changes'!$C$2:$E$30</definedName>
    <definedName name="_xlnm.Print_Area" localSheetId="8">'Fiduciary Net Position'!$C$2:$E$22</definedName>
    <definedName name="_xlnm.Print_Area" localSheetId="4">'Stmt of Cash Flow'!$C$2:$I$84</definedName>
    <definedName name="_xlnm.Print_Area" localSheetId="0">'Stmt of Net Position'!$C$2:$I$106</definedName>
    <definedName name="_xlnm.Print_Area" localSheetId="2">'Stmt of Rev Exp Chg in Net Pos'!$C$2:$I$58</definedName>
    <definedName name="_xlnm.Print_Titles" localSheetId="6">'Budget to Actual'!$2:$7</definedName>
    <definedName name="_xlnm.Print_Titles" localSheetId="4">'Stmt of Cash Flow'!$2:$6</definedName>
    <definedName name="_xlnm.Print_Titles" localSheetId="0">'Stmt of Net Position'!$2:$4</definedName>
    <definedName name="_xlnm.Print_Titles" localSheetId="2">'Stmt of Rev Exp Chg in Net Pos'!$2:$6</definedName>
    <definedName name="Prog_act_tbl">#REF!</definedName>
    <definedName name="PropertyCasualty">#REF!</definedName>
    <definedName name="revenues">#REF!</definedName>
    <definedName name="stsum">#REF!</definedName>
    <definedName name="Unemployment">#REF!</definedName>
    <definedName name="WorkersCom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7" l="1"/>
  <c r="E28" i="7"/>
  <c r="E21" i="7"/>
  <c r="E22" i="7"/>
  <c r="E23" i="7"/>
  <c r="E20" i="7"/>
  <c r="E16" i="7"/>
  <c r="E14" i="7"/>
  <c r="E13" i="7"/>
  <c r="E9" i="7"/>
  <c r="E8" i="7"/>
  <c r="D29" i="7" l="1"/>
  <c r="D28" i="7"/>
  <c r="D23" i="7"/>
  <c r="D22" i="7"/>
  <c r="D21" i="7"/>
  <c r="D20" i="7"/>
  <c r="D16" i="7"/>
  <c r="D14" i="7"/>
  <c r="D13" i="7"/>
  <c r="D9" i="7"/>
  <c r="D8" i="7"/>
  <c r="E22" i="6"/>
  <c r="D22" i="6"/>
  <c r="E21" i="6"/>
  <c r="D21" i="6"/>
  <c r="E17" i="6"/>
  <c r="D17" i="6"/>
  <c r="E16" i="6"/>
  <c r="D16" i="6"/>
  <c r="E15" i="6"/>
  <c r="D15" i="6"/>
  <c r="D9" i="6"/>
  <c r="E9" i="6"/>
  <c r="D10" i="6"/>
  <c r="E10" i="6"/>
  <c r="D11" i="6"/>
  <c r="E11" i="6"/>
  <c r="E8" i="6"/>
  <c r="D8" i="6"/>
  <c r="D56" i="3"/>
  <c r="E56" i="3"/>
  <c r="F56" i="3"/>
  <c r="F58" i="3"/>
  <c r="E58" i="3"/>
  <c r="D58" i="3"/>
  <c r="F57" i="3"/>
  <c r="E57" i="3"/>
  <c r="D57" i="3"/>
  <c r="F53" i="3"/>
  <c r="E53" i="3"/>
  <c r="D53" i="3"/>
  <c r="F52" i="3"/>
  <c r="E52" i="3"/>
  <c r="D52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F10" i="3"/>
  <c r="E10" i="3"/>
  <c r="D10" i="3"/>
  <c r="H83" i="4"/>
  <c r="G83" i="4"/>
  <c r="F83" i="4"/>
  <c r="E83" i="4"/>
  <c r="D83" i="4"/>
  <c r="H82" i="4"/>
  <c r="G82" i="4"/>
  <c r="F82" i="4"/>
  <c r="E82" i="4"/>
  <c r="D82" i="4"/>
  <c r="H81" i="4"/>
  <c r="G81" i="4"/>
  <c r="F81" i="4"/>
  <c r="E81" i="4"/>
  <c r="D81" i="4"/>
  <c r="H80" i="4"/>
  <c r="G80" i="4"/>
  <c r="F80" i="4"/>
  <c r="E80" i="4"/>
  <c r="D80" i="4"/>
  <c r="H79" i="4"/>
  <c r="G79" i="4"/>
  <c r="F79" i="4"/>
  <c r="E79" i="4"/>
  <c r="D79" i="4"/>
  <c r="H78" i="4"/>
  <c r="G78" i="4"/>
  <c r="F78" i="4"/>
  <c r="E78" i="4"/>
  <c r="D78" i="4"/>
  <c r="H77" i="4"/>
  <c r="G77" i="4"/>
  <c r="F77" i="4"/>
  <c r="E77" i="4"/>
  <c r="D77" i="4"/>
  <c r="H76" i="4"/>
  <c r="G76" i="4"/>
  <c r="F76" i="4"/>
  <c r="E76" i="4"/>
  <c r="D76" i="4"/>
  <c r="H75" i="4"/>
  <c r="G75" i="4"/>
  <c r="F75" i="4"/>
  <c r="E75" i="4"/>
  <c r="D75" i="4"/>
  <c r="H74" i="4"/>
  <c r="G74" i="4"/>
  <c r="F74" i="4"/>
  <c r="E74" i="4"/>
  <c r="D74" i="4"/>
  <c r="H73" i="4"/>
  <c r="G73" i="4"/>
  <c r="F73" i="4"/>
  <c r="E73" i="4"/>
  <c r="D73" i="4"/>
  <c r="H72" i="4"/>
  <c r="G72" i="4"/>
  <c r="F72" i="4"/>
  <c r="E72" i="4"/>
  <c r="D72" i="4"/>
  <c r="H71" i="4"/>
  <c r="G71" i="4"/>
  <c r="F71" i="4"/>
  <c r="E71" i="4"/>
  <c r="D71" i="4"/>
  <c r="H70" i="4"/>
  <c r="G70" i="4"/>
  <c r="F70" i="4"/>
  <c r="E70" i="4"/>
  <c r="D70" i="4"/>
  <c r="H69" i="4"/>
  <c r="G69" i="4"/>
  <c r="F69" i="4"/>
  <c r="E69" i="4"/>
  <c r="D69" i="4"/>
  <c r="H68" i="4"/>
  <c r="G68" i="4"/>
  <c r="F68" i="4"/>
  <c r="E68" i="4"/>
  <c r="D68" i="4"/>
  <c r="H67" i="4"/>
  <c r="G67" i="4"/>
  <c r="F67" i="4"/>
  <c r="E67" i="4"/>
  <c r="D67" i="4"/>
  <c r="H66" i="4"/>
  <c r="G66" i="4"/>
  <c r="F66" i="4"/>
  <c r="E66" i="4"/>
  <c r="D66" i="4"/>
  <c r="H65" i="4"/>
  <c r="G65" i="4"/>
  <c r="F65" i="4"/>
  <c r="E65" i="4"/>
  <c r="D65" i="4"/>
  <c r="H64" i="4"/>
  <c r="G64" i="4"/>
  <c r="F64" i="4"/>
  <c r="E64" i="4"/>
  <c r="D64" i="4"/>
  <c r="H63" i="4"/>
  <c r="G63" i="4"/>
  <c r="F63" i="4"/>
  <c r="E63" i="4"/>
  <c r="D63" i="4"/>
  <c r="H62" i="4"/>
  <c r="G62" i="4"/>
  <c r="F62" i="4"/>
  <c r="E62" i="4"/>
  <c r="D62" i="4"/>
  <c r="H61" i="4"/>
  <c r="G61" i="4"/>
  <c r="F61" i="4"/>
  <c r="E61" i="4"/>
  <c r="D61" i="4"/>
  <c r="H60" i="4"/>
  <c r="G60" i="4"/>
  <c r="F60" i="4"/>
  <c r="E60" i="4"/>
  <c r="D60" i="4"/>
  <c r="H59" i="4"/>
  <c r="G59" i="4"/>
  <c r="F59" i="4"/>
  <c r="E59" i="4"/>
  <c r="D59" i="4"/>
  <c r="H58" i="4"/>
  <c r="G58" i="4"/>
  <c r="F58" i="4"/>
  <c r="E58" i="4"/>
  <c r="D58" i="4"/>
  <c r="H57" i="4"/>
  <c r="G57" i="4"/>
  <c r="F57" i="4"/>
  <c r="E57" i="4"/>
  <c r="D57" i="4"/>
  <c r="H56" i="4"/>
  <c r="G56" i="4"/>
  <c r="F56" i="4"/>
  <c r="E56" i="4"/>
  <c r="D56" i="4"/>
  <c r="H52" i="4"/>
  <c r="G52" i="4"/>
  <c r="F52" i="4"/>
  <c r="E52" i="4"/>
  <c r="D52" i="4"/>
  <c r="H51" i="4"/>
  <c r="G51" i="4"/>
  <c r="F51" i="4"/>
  <c r="E51" i="4"/>
  <c r="D51" i="4"/>
  <c r="H46" i="4"/>
  <c r="G46" i="4"/>
  <c r="F46" i="4"/>
  <c r="E46" i="4"/>
  <c r="D46" i="4"/>
  <c r="H45" i="4"/>
  <c r="G45" i="4"/>
  <c r="F45" i="4"/>
  <c r="E45" i="4"/>
  <c r="D45" i="4"/>
  <c r="H44" i="4"/>
  <c r="G44" i="4"/>
  <c r="F44" i="4"/>
  <c r="E44" i="4"/>
  <c r="D44" i="4"/>
  <c r="H40" i="4"/>
  <c r="G40" i="4"/>
  <c r="F40" i="4"/>
  <c r="E40" i="4"/>
  <c r="D40" i="4"/>
  <c r="H39" i="4"/>
  <c r="G39" i="4"/>
  <c r="F39" i="4"/>
  <c r="E39" i="4"/>
  <c r="D39" i="4"/>
  <c r="H38" i="4"/>
  <c r="G38" i="4"/>
  <c r="F38" i="4"/>
  <c r="E38" i="4"/>
  <c r="D38" i="4"/>
  <c r="H37" i="4"/>
  <c r="G37" i="4"/>
  <c r="F37" i="4"/>
  <c r="E37" i="4"/>
  <c r="D37" i="4"/>
  <c r="H36" i="4"/>
  <c r="G36" i="4"/>
  <c r="F36" i="4"/>
  <c r="E36" i="4"/>
  <c r="D36" i="4"/>
  <c r="H35" i="4"/>
  <c r="G35" i="4"/>
  <c r="F35" i="4"/>
  <c r="E35" i="4"/>
  <c r="D35" i="4"/>
  <c r="H34" i="4"/>
  <c r="G34" i="4"/>
  <c r="F34" i="4"/>
  <c r="E34" i="4"/>
  <c r="D34" i="4"/>
  <c r="H30" i="4"/>
  <c r="G30" i="4"/>
  <c r="F30" i="4"/>
  <c r="E30" i="4"/>
  <c r="D30" i="4"/>
  <c r="H29" i="4"/>
  <c r="G29" i="4"/>
  <c r="F29" i="4"/>
  <c r="E29" i="4"/>
  <c r="D29" i="4"/>
  <c r="H28" i="4"/>
  <c r="G28" i="4"/>
  <c r="F28" i="4"/>
  <c r="E28" i="4"/>
  <c r="D28" i="4"/>
  <c r="H27" i="4"/>
  <c r="G27" i="4"/>
  <c r="F27" i="4"/>
  <c r="E27" i="4"/>
  <c r="D27" i="4"/>
  <c r="H26" i="4"/>
  <c r="G26" i="4"/>
  <c r="F26" i="4"/>
  <c r="E26" i="4"/>
  <c r="D26" i="4"/>
  <c r="D10" i="4"/>
  <c r="E10" i="4"/>
  <c r="F10" i="4"/>
  <c r="G10" i="4"/>
  <c r="H10" i="4"/>
  <c r="D11" i="4"/>
  <c r="E11" i="4"/>
  <c r="F11" i="4"/>
  <c r="G11" i="4"/>
  <c r="H11" i="4"/>
  <c r="D12" i="4"/>
  <c r="E12" i="4"/>
  <c r="F12" i="4"/>
  <c r="G12" i="4"/>
  <c r="H12" i="4"/>
  <c r="D13" i="4"/>
  <c r="E13" i="4"/>
  <c r="F13" i="4"/>
  <c r="G13" i="4"/>
  <c r="H13" i="4"/>
  <c r="D14" i="4"/>
  <c r="E14" i="4"/>
  <c r="F14" i="4"/>
  <c r="G14" i="4"/>
  <c r="H14" i="4"/>
  <c r="D15" i="4"/>
  <c r="E15" i="4"/>
  <c r="F15" i="4"/>
  <c r="G15" i="4"/>
  <c r="H15" i="4"/>
  <c r="D16" i="4"/>
  <c r="E16" i="4"/>
  <c r="F16" i="4"/>
  <c r="G16" i="4"/>
  <c r="H16" i="4"/>
  <c r="D17" i="4"/>
  <c r="E17" i="4"/>
  <c r="F17" i="4"/>
  <c r="G17" i="4"/>
  <c r="H17" i="4"/>
  <c r="D18" i="4"/>
  <c r="E18" i="4"/>
  <c r="F18" i="4"/>
  <c r="G18" i="4"/>
  <c r="H18" i="4"/>
  <c r="D19" i="4"/>
  <c r="E19" i="4"/>
  <c r="F19" i="4"/>
  <c r="G19" i="4"/>
  <c r="H19" i="4"/>
  <c r="D20" i="4"/>
  <c r="E20" i="4"/>
  <c r="F20" i="4"/>
  <c r="G20" i="4"/>
  <c r="H20" i="4"/>
  <c r="D21" i="4"/>
  <c r="E21" i="4"/>
  <c r="F21" i="4"/>
  <c r="G21" i="4"/>
  <c r="H21" i="4"/>
  <c r="D22" i="4"/>
  <c r="E22" i="4"/>
  <c r="F22" i="4"/>
  <c r="G22" i="4"/>
  <c r="H22" i="4"/>
  <c r="H9" i="4"/>
  <c r="G9" i="4"/>
  <c r="F9" i="4"/>
  <c r="E9" i="4"/>
  <c r="D9" i="4"/>
  <c r="H57" i="2"/>
  <c r="G57" i="2"/>
  <c r="F57" i="2"/>
  <c r="E57" i="2"/>
  <c r="D57" i="2"/>
  <c r="H56" i="2"/>
  <c r="G56" i="2"/>
  <c r="F56" i="2"/>
  <c r="E56" i="2"/>
  <c r="D56" i="2"/>
  <c r="H55" i="2"/>
  <c r="G55" i="2"/>
  <c r="F55" i="2"/>
  <c r="E55" i="2"/>
  <c r="D55" i="2"/>
  <c r="D52" i="2"/>
  <c r="D15" i="7" l="1"/>
  <c r="H52" i="2"/>
  <c r="G52" i="2"/>
  <c r="F52" i="2"/>
  <c r="E52" i="2"/>
  <c r="H51" i="2"/>
  <c r="G51" i="2"/>
  <c r="F51" i="2"/>
  <c r="E51" i="2"/>
  <c r="D51" i="2"/>
  <c r="H46" i="2"/>
  <c r="G46" i="2"/>
  <c r="F46" i="2"/>
  <c r="E46" i="2"/>
  <c r="D46" i="2"/>
  <c r="H45" i="2"/>
  <c r="G45" i="2"/>
  <c r="F45" i="2"/>
  <c r="E45" i="2"/>
  <c r="D45" i="2"/>
  <c r="H44" i="2"/>
  <c r="G44" i="2"/>
  <c r="F44" i="2"/>
  <c r="E44" i="2"/>
  <c r="D44" i="2"/>
  <c r="H43" i="2"/>
  <c r="G43" i="2"/>
  <c r="F43" i="2"/>
  <c r="E43" i="2"/>
  <c r="D43" i="2"/>
  <c r="H42" i="2"/>
  <c r="G42" i="2"/>
  <c r="F42" i="2"/>
  <c r="E42" i="2"/>
  <c r="D42" i="2"/>
  <c r="H41" i="2"/>
  <c r="G41" i="2"/>
  <c r="F41" i="2"/>
  <c r="E41" i="2"/>
  <c r="D41" i="2"/>
  <c r="H40" i="2"/>
  <c r="G40" i="2"/>
  <c r="F40" i="2"/>
  <c r="E40" i="2"/>
  <c r="D40" i="2"/>
  <c r="H39" i="2"/>
  <c r="G39" i="2"/>
  <c r="F39" i="2"/>
  <c r="E39" i="2"/>
  <c r="D39" i="2"/>
  <c r="H33" i="2"/>
  <c r="G33" i="2"/>
  <c r="F33" i="2"/>
  <c r="E33" i="2"/>
  <c r="D33" i="2"/>
  <c r="H32" i="2"/>
  <c r="G32" i="2"/>
  <c r="F32" i="2"/>
  <c r="E32" i="2"/>
  <c r="D32" i="2"/>
  <c r="H31" i="2"/>
  <c r="G31" i="2"/>
  <c r="F31" i="2"/>
  <c r="E31" i="2"/>
  <c r="D31" i="2"/>
  <c r="H30" i="2"/>
  <c r="G30" i="2"/>
  <c r="F30" i="2"/>
  <c r="E30" i="2"/>
  <c r="D30" i="2"/>
  <c r="H29" i="2"/>
  <c r="G29" i="2"/>
  <c r="F29" i="2"/>
  <c r="E29" i="2"/>
  <c r="D29" i="2"/>
  <c r="H28" i="2"/>
  <c r="G28" i="2"/>
  <c r="F28" i="2"/>
  <c r="E28" i="2"/>
  <c r="D28" i="2"/>
  <c r="H26" i="2"/>
  <c r="G26" i="2"/>
  <c r="F26" i="2"/>
  <c r="E26" i="2"/>
  <c r="D26" i="2"/>
  <c r="H25" i="2"/>
  <c r="G25" i="2"/>
  <c r="F25" i="2"/>
  <c r="E25" i="2"/>
  <c r="D25" i="2"/>
  <c r="H23" i="2"/>
  <c r="G23" i="2"/>
  <c r="F23" i="2"/>
  <c r="E23" i="2"/>
  <c r="D23" i="2"/>
  <c r="H22" i="2"/>
  <c r="G22" i="2"/>
  <c r="F22" i="2"/>
  <c r="E22" i="2"/>
  <c r="D22" i="2"/>
  <c r="H21" i="2"/>
  <c r="G21" i="2"/>
  <c r="F21" i="2"/>
  <c r="E21" i="2"/>
  <c r="D21" i="2"/>
  <c r="D10" i="2"/>
  <c r="E10" i="2"/>
  <c r="F10" i="2"/>
  <c r="G10" i="2"/>
  <c r="H10" i="2"/>
  <c r="D11" i="2"/>
  <c r="E11" i="2"/>
  <c r="F11" i="2"/>
  <c r="G11" i="2"/>
  <c r="H11" i="2"/>
  <c r="D12" i="2"/>
  <c r="E12" i="2"/>
  <c r="F12" i="2"/>
  <c r="G12" i="2"/>
  <c r="H12" i="2"/>
  <c r="D13" i="2"/>
  <c r="E13" i="2"/>
  <c r="F13" i="2"/>
  <c r="G13" i="2"/>
  <c r="H13" i="2"/>
  <c r="D14" i="2"/>
  <c r="E14" i="2"/>
  <c r="F14" i="2"/>
  <c r="G14" i="2"/>
  <c r="H14" i="2"/>
  <c r="D15" i="2"/>
  <c r="E15" i="2"/>
  <c r="F15" i="2"/>
  <c r="G15" i="2"/>
  <c r="H15" i="2"/>
  <c r="D16" i="2"/>
  <c r="E16" i="2"/>
  <c r="F16" i="2"/>
  <c r="G16" i="2"/>
  <c r="H16" i="2"/>
  <c r="D17" i="2"/>
  <c r="E17" i="2"/>
  <c r="F17" i="2"/>
  <c r="G17" i="2"/>
  <c r="H17" i="2"/>
  <c r="H9" i="2"/>
  <c r="G9" i="2"/>
  <c r="F9" i="2"/>
  <c r="E9" i="2"/>
  <c r="D9" i="2"/>
  <c r="H105" i="1"/>
  <c r="G105" i="1"/>
  <c r="F105" i="1"/>
  <c r="E105" i="1"/>
  <c r="D105" i="1"/>
  <c r="H104" i="1"/>
  <c r="G104" i="1"/>
  <c r="F104" i="1"/>
  <c r="E104" i="1"/>
  <c r="D104" i="1"/>
  <c r="H103" i="1"/>
  <c r="G103" i="1"/>
  <c r="F103" i="1"/>
  <c r="E103" i="1"/>
  <c r="D103" i="1"/>
  <c r="H99" i="1"/>
  <c r="G99" i="1"/>
  <c r="F99" i="1"/>
  <c r="E99" i="1"/>
  <c r="D99" i="1"/>
  <c r="H98" i="1"/>
  <c r="G98" i="1"/>
  <c r="F98" i="1"/>
  <c r="E98" i="1"/>
  <c r="D98" i="1"/>
  <c r="H97" i="1"/>
  <c r="G97" i="1"/>
  <c r="F97" i="1"/>
  <c r="E97" i="1"/>
  <c r="D97" i="1"/>
  <c r="H91" i="1"/>
  <c r="G91" i="1"/>
  <c r="F91" i="1"/>
  <c r="E91" i="1"/>
  <c r="D91" i="1"/>
  <c r="H90" i="1"/>
  <c r="G90" i="1"/>
  <c r="F90" i="1"/>
  <c r="E90" i="1"/>
  <c r="D90" i="1"/>
  <c r="H89" i="1"/>
  <c r="G89" i="1"/>
  <c r="F89" i="1"/>
  <c r="E89" i="1"/>
  <c r="D89" i="1"/>
  <c r="H88" i="1"/>
  <c r="G88" i="1"/>
  <c r="F88" i="1"/>
  <c r="E88" i="1"/>
  <c r="D88" i="1"/>
  <c r="H87" i="1"/>
  <c r="G87" i="1"/>
  <c r="F87" i="1"/>
  <c r="E87" i="1"/>
  <c r="D87" i="1"/>
  <c r="H86" i="1"/>
  <c r="G86" i="1"/>
  <c r="F86" i="1"/>
  <c r="E86" i="1"/>
  <c r="D86" i="1"/>
  <c r="H85" i="1"/>
  <c r="G85" i="1"/>
  <c r="F85" i="1"/>
  <c r="E85" i="1"/>
  <c r="D85" i="1"/>
  <c r="H84" i="1"/>
  <c r="G84" i="1"/>
  <c r="F84" i="1"/>
  <c r="E84" i="1"/>
  <c r="D84" i="1"/>
  <c r="H83" i="1"/>
  <c r="G83" i="1"/>
  <c r="F83" i="1"/>
  <c r="E83" i="1"/>
  <c r="D83" i="1"/>
  <c r="H82" i="1"/>
  <c r="G82" i="1"/>
  <c r="F82" i="1"/>
  <c r="E82" i="1"/>
  <c r="D82" i="1"/>
  <c r="H81" i="1"/>
  <c r="G81" i="1"/>
  <c r="F81" i="1"/>
  <c r="E81" i="1"/>
  <c r="D81" i="1"/>
  <c r="H80" i="1"/>
  <c r="G80" i="1"/>
  <c r="F80" i="1"/>
  <c r="E80" i="1"/>
  <c r="D80" i="1"/>
  <c r="H79" i="1"/>
  <c r="G79" i="1"/>
  <c r="F79" i="1"/>
  <c r="E79" i="1"/>
  <c r="D79" i="1"/>
  <c r="H75" i="1"/>
  <c r="G75" i="1"/>
  <c r="F75" i="1"/>
  <c r="E75" i="1"/>
  <c r="D75" i="1"/>
  <c r="H74" i="1"/>
  <c r="G74" i="1"/>
  <c r="F74" i="1"/>
  <c r="E74" i="1"/>
  <c r="D74" i="1"/>
  <c r="H73" i="1"/>
  <c r="G73" i="1"/>
  <c r="F73" i="1"/>
  <c r="E73" i="1"/>
  <c r="D73" i="1"/>
  <c r="H72" i="1"/>
  <c r="G72" i="1"/>
  <c r="F72" i="1"/>
  <c r="E72" i="1"/>
  <c r="D72" i="1"/>
  <c r="H71" i="1"/>
  <c r="G71" i="1"/>
  <c r="F71" i="1"/>
  <c r="E71" i="1"/>
  <c r="D71" i="1"/>
  <c r="H70" i="1"/>
  <c r="G70" i="1"/>
  <c r="F70" i="1"/>
  <c r="E70" i="1"/>
  <c r="D70" i="1"/>
  <c r="H69" i="1"/>
  <c r="G69" i="1"/>
  <c r="F69" i="1"/>
  <c r="E69" i="1"/>
  <c r="D69" i="1"/>
  <c r="H68" i="1"/>
  <c r="G68" i="1"/>
  <c r="F68" i="1"/>
  <c r="E68" i="1"/>
  <c r="D68" i="1"/>
  <c r="H67" i="1"/>
  <c r="G67" i="1"/>
  <c r="F67" i="1"/>
  <c r="E67" i="1"/>
  <c r="D67" i="1"/>
  <c r="H66" i="1"/>
  <c r="G66" i="1"/>
  <c r="F66" i="1"/>
  <c r="E66" i="1"/>
  <c r="D66" i="1"/>
  <c r="H65" i="1"/>
  <c r="G65" i="1"/>
  <c r="F65" i="1"/>
  <c r="E65" i="1"/>
  <c r="D65" i="1"/>
  <c r="H64" i="1"/>
  <c r="G64" i="1"/>
  <c r="F64" i="1"/>
  <c r="E64" i="1"/>
  <c r="D64" i="1"/>
  <c r="H63" i="1"/>
  <c r="G63" i="1"/>
  <c r="F63" i="1"/>
  <c r="E63" i="1"/>
  <c r="D63" i="1"/>
  <c r="H62" i="1"/>
  <c r="G62" i="1"/>
  <c r="F62" i="1"/>
  <c r="E62" i="1"/>
  <c r="D62" i="1"/>
  <c r="H61" i="1"/>
  <c r="G61" i="1"/>
  <c r="F61" i="1"/>
  <c r="E61" i="1"/>
  <c r="D61" i="1"/>
  <c r="H60" i="1"/>
  <c r="G60" i="1"/>
  <c r="F60" i="1"/>
  <c r="E60" i="1"/>
  <c r="D60" i="1"/>
  <c r="H59" i="1"/>
  <c r="G59" i="1"/>
  <c r="F59" i="1"/>
  <c r="E59" i="1"/>
  <c r="D59" i="1"/>
  <c r="H58" i="1"/>
  <c r="G58" i="1"/>
  <c r="F58" i="1"/>
  <c r="E58" i="1"/>
  <c r="D58" i="1"/>
  <c r="H57" i="1"/>
  <c r="G57" i="1"/>
  <c r="F57" i="1"/>
  <c r="E57" i="1"/>
  <c r="D57" i="1"/>
  <c r="H56" i="1"/>
  <c r="G56" i="1"/>
  <c r="F56" i="1"/>
  <c r="E56" i="1"/>
  <c r="D56" i="1"/>
  <c r="H55" i="1"/>
  <c r="G55" i="1"/>
  <c r="F55" i="1"/>
  <c r="E55" i="1"/>
  <c r="D55" i="1"/>
  <c r="H54" i="1"/>
  <c r="G54" i="1"/>
  <c r="F54" i="1"/>
  <c r="E54" i="1"/>
  <c r="D54" i="1"/>
  <c r="H50" i="1"/>
  <c r="G50" i="1"/>
  <c r="F50" i="1"/>
  <c r="E50" i="1"/>
  <c r="D50" i="1"/>
  <c r="H49" i="1"/>
  <c r="G49" i="1"/>
  <c r="F49" i="1"/>
  <c r="E49" i="1"/>
  <c r="D49" i="1"/>
  <c r="H48" i="1"/>
  <c r="G48" i="1"/>
  <c r="F48" i="1"/>
  <c r="E48" i="1"/>
  <c r="D48" i="1"/>
  <c r="H27" i="1"/>
  <c r="G27" i="1"/>
  <c r="F27" i="1"/>
  <c r="E27" i="1"/>
  <c r="D27" i="1"/>
  <c r="H42" i="1"/>
  <c r="G42" i="1"/>
  <c r="F42" i="1"/>
  <c r="E42" i="1"/>
  <c r="D42" i="1"/>
  <c r="H41" i="1"/>
  <c r="G41" i="1"/>
  <c r="F41" i="1"/>
  <c r="E41" i="1"/>
  <c r="D41" i="1"/>
  <c r="H40" i="1"/>
  <c r="G40" i="1"/>
  <c r="F40" i="1"/>
  <c r="E40" i="1"/>
  <c r="D40" i="1"/>
  <c r="H39" i="1"/>
  <c r="G39" i="1"/>
  <c r="F39" i="1"/>
  <c r="E39" i="1"/>
  <c r="D39" i="1"/>
  <c r="H38" i="1"/>
  <c r="G38" i="1"/>
  <c r="F38" i="1"/>
  <c r="E38" i="1"/>
  <c r="D38" i="1"/>
  <c r="H37" i="1"/>
  <c r="G37" i="1"/>
  <c r="F37" i="1"/>
  <c r="E37" i="1"/>
  <c r="D37" i="1"/>
  <c r="H36" i="1"/>
  <c r="G36" i="1"/>
  <c r="F36" i="1"/>
  <c r="E36" i="1"/>
  <c r="D36" i="1"/>
  <c r="H35" i="1"/>
  <c r="G35" i="1"/>
  <c r="F35" i="1"/>
  <c r="E35" i="1"/>
  <c r="D35" i="1"/>
  <c r="H34" i="1"/>
  <c r="G34" i="1"/>
  <c r="F34" i="1"/>
  <c r="E34" i="1"/>
  <c r="D34" i="1"/>
  <c r="H33" i="1"/>
  <c r="G33" i="1"/>
  <c r="F33" i="1"/>
  <c r="E33" i="1"/>
  <c r="D33" i="1"/>
  <c r="H32" i="1"/>
  <c r="G32" i="1"/>
  <c r="F32" i="1"/>
  <c r="E32" i="1"/>
  <c r="D32" i="1"/>
  <c r="H31" i="1"/>
  <c r="G31" i="1"/>
  <c r="F31" i="1"/>
  <c r="E31" i="1"/>
  <c r="D31" i="1"/>
  <c r="H30" i="1"/>
  <c r="G30" i="1"/>
  <c r="F30" i="1"/>
  <c r="E30" i="1"/>
  <c r="D30" i="1"/>
  <c r="H29" i="1"/>
  <c r="G29" i="1"/>
  <c r="F29" i="1"/>
  <c r="E29" i="1"/>
  <c r="D29" i="1"/>
  <c r="D10" i="1"/>
  <c r="E10" i="1"/>
  <c r="F10" i="1"/>
  <c r="G10" i="1"/>
  <c r="H10" i="1"/>
  <c r="D11" i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H9" i="1"/>
  <c r="G9" i="1"/>
  <c r="F9" i="1"/>
  <c r="E9" i="1"/>
  <c r="D9" i="1"/>
  <c r="I17" i="4"/>
  <c r="G15" i="3"/>
  <c r="F100" i="1" l="1"/>
  <c r="F106" i="1"/>
  <c r="F51" i="1"/>
  <c r="F76" i="1"/>
  <c r="D92" i="1"/>
  <c r="F92" i="1"/>
  <c r="F43" i="1"/>
  <c r="F24" i="1"/>
  <c r="E24" i="1"/>
  <c r="E43" i="1"/>
  <c r="E51" i="1"/>
  <c r="E76" i="1"/>
  <c r="E92" i="1"/>
  <c r="E100" i="1"/>
  <c r="E106" i="1"/>
  <c r="G10" i="3"/>
  <c r="I9" i="1"/>
  <c r="I17" i="2"/>
  <c r="F94" i="1" l="1"/>
  <c r="E94" i="1"/>
  <c r="F45" i="1"/>
  <c r="E45" i="1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03" i="5"/>
  <c r="F18" i="2" l="1"/>
  <c r="G18" i="2"/>
  <c r="I14" i="2" l="1"/>
  <c r="I13" i="2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453" i="5"/>
  <c r="E24" i="7"/>
  <c r="D24" i="7"/>
  <c r="E15" i="7"/>
  <c r="E10" i="7"/>
  <c r="D10" i="7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03" i="5"/>
  <c r="E18" i="6"/>
  <c r="D18" i="6"/>
  <c r="E12" i="6"/>
  <c r="D12" i="6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3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10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3" i="5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56" i="4"/>
  <c r="E84" i="4"/>
  <c r="F84" i="4"/>
  <c r="G84" i="4"/>
  <c r="H84" i="4"/>
  <c r="D84" i="4"/>
  <c r="I52" i="4"/>
  <c r="I51" i="4"/>
  <c r="I45" i="4"/>
  <c r="I46" i="4"/>
  <c r="I44" i="4"/>
  <c r="E47" i="4"/>
  <c r="F47" i="4"/>
  <c r="G47" i="4"/>
  <c r="H47" i="4"/>
  <c r="D47" i="4"/>
  <c r="I35" i="4"/>
  <c r="I36" i="4"/>
  <c r="I37" i="4"/>
  <c r="I38" i="4"/>
  <c r="I39" i="4"/>
  <c r="I40" i="4"/>
  <c r="I34" i="4"/>
  <c r="E41" i="4"/>
  <c r="F41" i="4"/>
  <c r="G41" i="4"/>
  <c r="H41" i="4"/>
  <c r="D41" i="4"/>
  <c r="I27" i="4"/>
  <c r="I28" i="4"/>
  <c r="I29" i="4"/>
  <c r="I30" i="4"/>
  <c r="I26" i="4"/>
  <c r="E31" i="4"/>
  <c r="F31" i="4"/>
  <c r="G31" i="4"/>
  <c r="H31" i="4"/>
  <c r="D31" i="4"/>
  <c r="G17" i="3"/>
  <c r="I10" i="4"/>
  <c r="I11" i="4"/>
  <c r="I12" i="4"/>
  <c r="I13" i="4"/>
  <c r="I14" i="4"/>
  <c r="I15" i="4"/>
  <c r="I16" i="4"/>
  <c r="I18" i="4"/>
  <c r="I19" i="4"/>
  <c r="I20" i="4"/>
  <c r="I21" i="4"/>
  <c r="I22" i="4"/>
  <c r="I9" i="4"/>
  <c r="E23" i="4"/>
  <c r="F23" i="4"/>
  <c r="G23" i="4"/>
  <c r="H23" i="4"/>
  <c r="D23" i="4"/>
  <c r="G56" i="3"/>
  <c r="G57" i="3"/>
  <c r="G58" i="3"/>
  <c r="G52" i="3"/>
  <c r="G53" i="3"/>
  <c r="G48" i="3"/>
  <c r="G42" i="3"/>
  <c r="G43" i="3"/>
  <c r="G44" i="3"/>
  <c r="G45" i="3"/>
  <c r="G46" i="3"/>
  <c r="G47" i="3"/>
  <c r="G41" i="3"/>
  <c r="E49" i="3"/>
  <c r="F49" i="3"/>
  <c r="D49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22" i="3"/>
  <c r="E36" i="3"/>
  <c r="F36" i="3"/>
  <c r="D36" i="3"/>
  <c r="G11" i="3"/>
  <c r="G12" i="3"/>
  <c r="G13" i="3"/>
  <c r="G16" i="3"/>
  <c r="G18" i="3"/>
  <c r="E19" i="3"/>
  <c r="D19" i="3"/>
  <c r="I56" i="2"/>
  <c r="I57" i="2"/>
  <c r="I55" i="2"/>
  <c r="E47" i="2"/>
  <c r="F47" i="2"/>
  <c r="G47" i="2"/>
  <c r="H47" i="2"/>
  <c r="D47" i="2"/>
  <c r="I40" i="2"/>
  <c r="I41" i="2"/>
  <c r="I42" i="2"/>
  <c r="I43" i="2"/>
  <c r="I44" i="2"/>
  <c r="I45" i="2"/>
  <c r="I46" i="2"/>
  <c r="I39" i="2"/>
  <c r="D43" i="1"/>
  <c r="I104" i="1"/>
  <c r="I105" i="1"/>
  <c r="I103" i="1"/>
  <c r="I98" i="1"/>
  <c r="I99" i="1"/>
  <c r="I97" i="1"/>
  <c r="I80" i="1"/>
  <c r="I81" i="1"/>
  <c r="I82" i="1"/>
  <c r="I83" i="1"/>
  <c r="I84" i="1"/>
  <c r="I85" i="1"/>
  <c r="I86" i="1"/>
  <c r="I87" i="1"/>
  <c r="I88" i="1"/>
  <c r="I89" i="1"/>
  <c r="I90" i="1"/>
  <c r="I91" i="1"/>
  <c r="I79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54" i="1"/>
  <c r="I49" i="1"/>
  <c r="I50" i="1"/>
  <c r="I48" i="1"/>
  <c r="I38" i="1"/>
  <c r="I39" i="1"/>
  <c r="I40" i="1"/>
  <c r="I41" i="1"/>
  <c r="I42" i="1"/>
  <c r="I37" i="1"/>
  <c r="I29" i="1"/>
  <c r="I30" i="1"/>
  <c r="I31" i="1"/>
  <c r="I32" i="1"/>
  <c r="I33" i="1"/>
  <c r="I34" i="1"/>
  <c r="I35" i="1"/>
  <c r="I27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2" i="2"/>
  <c r="I23" i="2"/>
  <c r="I25" i="2"/>
  <c r="I26" i="2"/>
  <c r="I28" i="2"/>
  <c r="I29" i="2"/>
  <c r="I30" i="2"/>
  <c r="I31" i="2"/>
  <c r="I32" i="2"/>
  <c r="I33" i="2"/>
  <c r="I21" i="2"/>
  <c r="I10" i="2"/>
  <c r="I11" i="2"/>
  <c r="I12" i="2"/>
  <c r="I15" i="2"/>
  <c r="I16" i="2"/>
  <c r="I9" i="2"/>
  <c r="E34" i="2"/>
  <c r="F34" i="2"/>
  <c r="G34" i="2"/>
  <c r="H34" i="2"/>
  <c r="D34" i="2"/>
  <c r="E18" i="2"/>
  <c r="H18" i="2"/>
  <c r="G106" i="1"/>
  <c r="H106" i="1"/>
  <c r="D106" i="1"/>
  <c r="G100" i="1"/>
  <c r="H100" i="1"/>
  <c r="D100" i="1"/>
  <c r="G92" i="1"/>
  <c r="H92" i="1"/>
  <c r="G76" i="1"/>
  <c r="H76" i="1"/>
  <c r="D76" i="1"/>
  <c r="G51" i="1"/>
  <c r="H51" i="1"/>
  <c r="D51" i="1"/>
  <c r="G43" i="1"/>
  <c r="H43" i="1"/>
  <c r="G24" i="1"/>
  <c r="H24" i="1"/>
  <c r="D24" i="1"/>
  <c r="I36" i="1" l="1"/>
  <c r="I43" i="1" s="1"/>
  <c r="H36" i="2"/>
  <c r="H49" i="2" s="1"/>
  <c r="D17" i="7"/>
  <c r="D26" i="7" s="1"/>
  <c r="D30" i="7" s="1"/>
  <c r="G36" i="2"/>
  <c r="F36" i="2"/>
  <c r="G49" i="4"/>
  <c r="E49" i="4"/>
  <c r="H49" i="4"/>
  <c r="I23" i="4"/>
  <c r="I84" i="4"/>
  <c r="D49" i="4"/>
  <c r="F19" i="3"/>
  <c r="E36" i="2"/>
  <c r="G14" i="3"/>
  <c r="G19" i="3" s="1"/>
  <c r="I24" i="1"/>
  <c r="I51" i="1"/>
  <c r="D18" i="2"/>
  <c r="I18" i="2"/>
  <c r="D38" i="3"/>
  <c r="E17" i="7"/>
  <c r="E26" i="7" s="1"/>
  <c r="E30" i="7" s="1"/>
  <c r="D45" i="1"/>
  <c r="F49" i="4"/>
  <c r="I47" i="4"/>
  <c r="I41" i="4"/>
  <c r="I31" i="4"/>
  <c r="G49" i="3"/>
  <c r="E38" i="3"/>
  <c r="G36" i="3"/>
  <c r="I47" i="2"/>
  <c r="I106" i="1"/>
  <c r="I92" i="1"/>
  <c r="I100" i="1"/>
  <c r="I76" i="1"/>
  <c r="I34" i="2"/>
  <c r="G45" i="1"/>
  <c r="H94" i="1"/>
  <c r="D94" i="1"/>
  <c r="G94" i="1"/>
  <c r="H45" i="1"/>
  <c r="E53" i="4" l="1"/>
  <c r="G53" i="4"/>
  <c r="F53" i="4"/>
  <c r="H53" i="4"/>
  <c r="D53" i="4"/>
  <c r="F38" i="3"/>
  <c r="E51" i="3"/>
  <c r="D51" i="3"/>
  <c r="H53" i="2"/>
  <c r="G49" i="2"/>
  <c r="F49" i="2"/>
  <c r="D36" i="2"/>
  <c r="E49" i="2"/>
  <c r="I36" i="2"/>
  <c r="I49" i="2" s="1"/>
  <c r="I53" i="2" s="1"/>
  <c r="I58" i="2" s="1"/>
  <c r="I49" i="4"/>
  <c r="I53" i="4" s="1"/>
  <c r="I45" i="1"/>
  <c r="I94" i="1"/>
  <c r="G38" i="3" l="1"/>
  <c r="E54" i="3"/>
  <c r="E59" i="3" s="1"/>
  <c r="D49" i="2"/>
  <c r="F51" i="3"/>
  <c r="D54" i="3"/>
  <c r="H58" i="2"/>
  <c r="G53" i="2"/>
  <c r="F53" i="2"/>
  <c r="E53" i="2"/>
  <c r="D53" i="2" l="1"/>
  <c r="F54" i="3"/>
  <c r="G51" i="3"/>
  <c r="D59" i="3"/>
  <c r="G58" i="2"/>
  <c r="F58" i="2"/>
  <c r="E58" i="2"/>
  <c r="D58" i="2" l="1"/>
  <c r="F59" i="3"/>
  <c r="G54" i="3"/>
  <c r="G59" i="3" l="1"/>
</calcChain>
</file>

<file path=xl/sharedStrings.xml><?xml version="1.0" encoding="utf-8"?>
<sst xmlns="http://schemas.openxmlformats.org/spreadsheetml/2006/main" count="2285" uniqueCount="1320">
  <si>
    <t>Statement of Net Position—All Funds</t>
  </si>
  <si>
    <t>OPERATING FUND</t>
  </si>
  <si>
    <t>TOTAL ALL FUNDS</t>
  </si>
  <si>
    <t>ASSETS</t>
  </si>
  <si>
    <t>CURRENT ASSETS</t>
  </si>
  <si>
    <t>Cash and Cash Equivalents</t>
  </si>
  <si>
    <t>Net Assets for Pool Participants</t>
  </si>
  <si>
    <t>Investments</t>
  </si>
  <si>
    <t>Accounts Receivable (net of uncollectible allowance)</t>
  </si>
  <si>
    <t>Other Receivables</t>
  </si>
  <si>
    <t>Member Assessments/Contributions</t>
  </si>
  <si>
    <t>Accrued Deductibles/Co-pays</t>
  </si>
  <si>
    <t>Excess/Reinsurance Recoverable</t>
  </si>
  <si>
    <t>Due from Other Governments</t>
  </si>
  <si>
    <t>Inventory</t>
  </si>
  <si>
    <t>Prepaids</t>
  </si>
  <si>
    <t>Restricted Assets</t>
  </si>
  <si>
    <t xml:space="preserve">TOTAL CURRENT ASSETS </t>
  </si>
  <si>
    <t>NONCURRENT ASSETS</t>
  </si>
  <si>
    <t>Capital Assets</t>
  </si>
  <si>
    <t>Construction in Progress</t>
  </si>
  <si>
    <t>Building</t>
  </si>
  <si>
    <t>Equipment</t>
  </si>
  <si>
    <t>Less: Accumulated Depreciation</t>
  </si>
  <si>
    <t>NET CAPITAL ASSETS</t>
  </si>
  <si>
    <t>Net Cash/Investments Held for Compensated Absences</t>
  </si>
  <si>
    <t>Net Cash/Investments Held for Unemployment</t>
  </si>
  <si>
    <t>Investment in Joint Venture</t>
  </si>
  <si>
    <t>Contracts Receivable</t>
  </si>
  <si>
    <t xml:space="preserve">TOTAL NONCURRENT ASSETS </t>
  </si>
  <si>
    <t>TOTAL ASSETS</t>
  </si>
  <si>
    <t>DEFERRED OUTFLOWS OF RESOURCES</t>
  </si>
  <si>
    <t>TOTAL DEFERRED OUTFLOWS OF RESOURCES</t>
  </si>
  <si>
    <t>LIABILITIES</t>
  </si>
  <si>
    <t>CURRENT LIABILITIES</t>
  </si>
  <si>
    <t>Accounts Payable</t>
  </si>
  <si>
    <t>Amount Due to Pool Participants</t>
  </si>
  <si>
    <t>Notes Payable</t>
  </si>
  <si>
    <t>Accrued Interest Payable</t>
  </si>
  <si>
    <t>Accrued Salaries</t>
  </si>
  <si>
    <t>Payroll Deductions &amp; Taxes Payable</t>
  </si>
  <si>
    <t>Public Employees' Retirement System</t>
  </si>
  <si>
    <t>Deferred Compensation</t>
  </si>
  <si>
    <t>Compensated Absences</t>
  </si>
  <si>
    <t>Bonds Payable</t>
  </si>
  <si>
    <t>Claim Reserves</t>
  </si>
  <si>
    <t>IBNR</t>
  </si>
  <si>
    <t>Open Claims</t>
  </si>
  <si>
    <t>Unallocated Loss Adjustment Expenses</t>
  </si>
  <si>
    <t>Future L&amp;I Assessments</t>
  </si>
  <si>
    <t>Deposits</t>
  </si>
  <si>
    <t>Unearned Revenue</t>
  </si>
  <si>
    <t>Unearned Member Assessments/Contributions</t>
  </si>
  <si>
    <t>Other Liabilities and Credits</t>
  </si>
  <si>
    <t>TOTAL CURRENT LIABILITIES</t>
  </si>
  <si>
    <t>NONCURRENT LIABILITIES</t>
  </si>
  <si>
    <t>Net Pension Liability</t>
  </si>
  <si>
    <t>TOTAL NONCURRENT LIABILITIES</t>
  </si>
  <si>
    <t>TOTAL LIABILITIES</t>
  </si>
  <si>
    <t>DEFERRED INFLOWS OF RESOURCES</t>
  </si>
  <si>
    <t>TOTAL DEFERRED INFLOWS OF RESOURCES</t>
  </si>
  <si>
    <t>NET POSITION</t>
  </si>
  <si>
    <t>Net Investment in Capital Assets</t>
  </si>
  <si>
    <t>Unrestricted</t>
  </si>
  <si>
    <t>TOTAL NET POSITION</t>
  </si>
  <si>
    <t>WORKERS COMP</t>
  </si>
  <si>
    <t>Other Assets</t>
  </si>
  <si>
    <t>Investments_</t>
  </si>
  <si>
    <t>Other Assets_</t>
  </si>
  <si>
    <t>Compensated Absences_</t>
  </si>
  <si>
    <t>Notes Payable_</t>
  </si>
  <si>
    <t>Claim Reserves_</t>
  </si>
  <si>
    <t>IBNR_</t>
  </si>
  <si>
    <t>Open Claims_</t>
  </si>
  <si>
    <t>Unallocated Loss Adjustment Expenses_</t>
  </si>
  <si>
    <t>Future L&amp;I Assessments_</t>
  </si>
  <si>
    <t>Bonds Payable_</t>
  </si>
  <si>
    <t>Other Liabilities and Credits_</t>
  </si>
  <si>
    <t>Deferred Loss on Refunding</t>
  </si>
  <si>
    <t>Deferred OutFlows Related to Pensions</t>
  </si>
  <si>
    <t>Deferred OutFlows Related to OPEB</t>
  </si>
  <si>
    <t>Unemployment_</t>
  </si>
  <si>
    <t>OPEB Liability_</t>
  </si>
  <si>
    <t>Deferred Gain on Refunding</t>
  </si>
  <si>
    <t>Deferred InFlows Related to Pensions</t>
  </si>
  <si>
    <t>Deferred InFlows Related to OPEB</t>
  </si>
  <si>
    <t>Leases Payable</t>
  </si>
  <si>
    <t>Leases Payable_</t>
  </si>
  <si>
    <t>Restricted</t>
  </si>
  <si>
    <t>Net Pension Asset</t>
  </si>
  <si>
    <t>Lease Receivables</t>
  </si>
  <si>
    <t>Interfund Receivables</t>
  </si>
  <si>
    <t>Land</t>
  </si>
  <si>
    <t>Land Improvements</t>
  </si>
  <si>
    <t>Leased Assets and L/H Improvements</t>
  </si>
  <si>
    <t>Interfund Payable</t>
  </si>
  <si>
    <t>Total OPEB Liability</t>
  </si>
  <si>
    <t>Item</t>
  </si>
  <si>
    <t>101</t>
  </si>
  <si>
    <t>141</t>
  </si>
  <si>
    <t>111</t>
  </si>
  <si>
    <t>102</t>
  </si>
  <si>
    <t>103</t>
  </si>
  <si>
    <t>106</t>
  </si>
  <si>
    <t>105</t>
  </si>
  <si>
    <t>104</t>
  </si>
  <si>
    <t>107</t>
  </si>
  <si>
    <t>108</t>
  </si>
  <si>
    <t>109</t>
  </si>
  <si>
    <t>110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</si>
  <si>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</si>
  <si>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</si>
  <si>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</si>
  <si>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</si>
  <si>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</si>
  <si>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</si>
  <si>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</si>
  <si>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</si>
  <si>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</si>
  <si>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126</t>
  </si>
  <si>
    <t>127</t>
  </si>
  <si>
    <t>128</t>
  </si>
  <si>
    <t>131</t>
  </si>
  <si>
    <t>132</t>
  </si>
  <si>
    <t>133</t>
  </si>
  <si>
    <t>134</t>
  </si>
  <si>
    <t>135</t>
  </si>
  <si>
    <t>136</t>
  </si>
  <si>
    <t>120</t>
  </si>
  <si>
    <t>130</t>
  </si>
  <si>
    <t>151</t>
  </si>
  <si>
    <t>152</t>
  </si>
  <si>
    <t>153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</si>
  <si>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</si>
  <si>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</si>
  <si>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</si>
  <si>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</si>
  <si>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</si>
  <si>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</si>
  <si>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</si>
  <si>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</si>
  <si>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</si>
  <si>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</si>
  <si>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</si>
  <si>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</si>
  <si>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</si>
  <si>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</si>
  <si>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</si>
  <si>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</si>
  <si>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</si>
  <si>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</si>
  <si>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</si>
  <si>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</si>
  <si>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116</t>
  </si>
  <si>
    <t>119</t>
  </si>
  <si>
    <t>138</t>
  </si>
  <si>
    <t>142</t>
  </si>
  <si>
    <t>143</t>
  </si>
  <si>
    <t>144</t>
  </si>
  <si>
    <t>148</t>
  </si>
  <si>
    <t>149</t>
  </si>
  <si>
    <t>150</t>
  </si>
  <si>
    <t>154</t>
  </si>
  <si>
    <t>155</t>
  </si>
  <si>
    <t>156</t>
  </si>
  <si>
    <t>157</t>
  </si>
  <si>
    <t>158</t>
  </si>
  <si>
    <t>159</t>
  </si>
  <si>
    <t>160</t>
  </si>
  <si>
    <t>183</t>
  </si>
  <si>
    <t>184</t>
  </si>
  <si>
    <t>185</t>
  </si>
  <si>
    <t>186</t>
  </si>
  <si>
    <t>188</t>
  </si>
  <si>
    <t>191</t>
  </si>
  <si>
    <t>192</t>
  </si>
  <si>
    <t>193</t>
  </si>
  <si>
    <t>194</t>
  </si>
  <si>
    <t>197</t>
  </si>
  <si>
    <t>198</t>
  </si>
  <si>
    <t>199</t>
  </si>
  <si>
    <t>200</t>
  </si>
  <si>
    <t>Description</t>
  </si>
  <si>
    <t>Statement of Revenues, Expenses, and Changes in Net Position</t>
  </si>
  <si>
    <t>OPERATING REVENUES</t>
  </si>
  <si>
    <t>Local Sources</t>
  </si>
  <si>
    <t>State Sources</t>
  </si>
  <si>
    <t>Allotment</t>
  </si>
  <si>
    <t>Federal Sources</t>
  </si>
  <si>
    <t>Cooperative Programs</t>
  </si>
  <si>
    <t>Other Programs</t>
  </si>
  <si>
    <t>Supplemental Member Assessments</t>
  </si>
  <si>
    <t>Other Operating Revenue</t>
  </si>
  <si>
    <t>TOTAL OPERATING REVENUE</t>
  </si>
  <si>
    <t>OPERATING EXPENSES</t>
  </si>
  <si>
    <t>General Operations and Administration</t>
  </si>
  <si>
    <t>Instructional Support Programs</t>
  </si>
  <si>
    <t>Non Instructional Support Programs</t>
  </si>
  <si>
    <t>Incurred Loss/Loss Adjustment Expenses</t>
  </si>
  <si>
    <t>Paid on Current Losses</t>
  </si>
  <si>
    <t>Change in Loss Reserves</t>
  </si>
  <si>
    <t>Paid Unallocated Loss Adjustment Expenses</t>
  </si>
  <si>
    <t>Change in Unallocated Loss Reserves</t>
  </si>
  <si>
    <t>Excess/Reinsurance Premiums</t>
  </si>
  <si>
    <t>Labor &amp; Industries Assessments</t>
  </si>
  <si>
    <t>Depreciation/Depletion</t>
  </si>
  <si>
    <t>Other Operating Expenses</t>
  </si>
  <si>
    <t>TOTAL OPERATING EXPENSES</t>
  </si>
  <si>
    <t>OPERATING INCOME (LOSS)</t>
  </si>
  <si>
    <t>NONOPERATING REVENUES (EXPENSES)</t>
  </si>
  <si>
    <t>Interest and Investment Income</t>
  </si>
  <si>
    <t>Interest Expense and Related Charges</t>
  </si>
  <si>
    <t>Lease Income</t>
  </si>
  <si>
    <t>Gains (Losses) on Capital Asset Disposition</t>
  </si>
  <si>
    <t>Change in Joint Venture</t>
  </si>
  <si>
    <t>Change in Compensated Absences</t>
  </si>
  <si>
    <t>Other Nonoperating Revenues</t>
  </si>
  <si>
    <t>Other Nonoperating Expenses</t>
  </si>
  <si>
    <t>TOTAL NONOPERATING REVENUES (EXPENSES)</t>
  </si>
  <si>
    <t>INCOME (LOSS) BEFORE OTHER ITEMS</t>
  </si>
  <si>
    <t>Extraordinary Items</t>
  </si>
  <si>
    <t>Special Items</t>
  </si>
  <si>
    <t>INCREASE (DECREASE) IN NET POSITION</t>
  </si>
  <si>
    <t>NET POSITION - BEGINNING BALANCE</t>
  </si>
  <si>
    <t>Cumulative Effect of Change in Accounting Principle</t>
  </si>
  <si>
    <t>PRIOR PERIOD ADJUSTMENT</t>
  </si>
  <si>
    <t>NET POSITION - ENDING BALANCE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</si>
  <si>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</si>
  <si>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</si>
  <si>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</si>
  <si>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</si>
  <si>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</si>
  <si>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</si>
  <si>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</si>
  <si>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</si>
  <si>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</si>
  <si>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</si>
  <si>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</si>
  <si>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</si>
  <si>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</si>
  <si>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</si>
  <si>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</si>
  <si>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</si>
  <si>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</si>
  <si>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</si>
  <si>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</si>
  <si>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</si>
  <si>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</si>
  <si>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</si>
  <si>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</si>
  <si>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</si>
  <si>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</si>
  <si>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</si>
  <si>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</si>
  <si>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</si>
  <si>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</si>
  <si>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</si>
  <si>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</si>
  <si>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</si>
  <si>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</si>
  <si>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</si>
  <si>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</si>
  <si>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</si>
  <si>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</si>
  <si>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</si>
  <si>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</si>
  <si>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</si>
  <si>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</si>
  <si>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</si>
  <si>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</si>
  <si>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</si>
  <si>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</si>
  <si>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</si>
  <si>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</si>
  <si>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</si>
  <si>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</si>
  <si>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</si>
  <si>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</si>
  <si>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Budgeted Amounts</t>
  </si>
  <si>
    <t>Original</t>
  </si>
  <si>
    <t>Final</t>
  </si>
  <si>
    <t>Actual Amounts
Budgetary Basis</t>
  </si>
  <si>
    <t>Variance with Final Budget—Positive (Negative)</t>
  </si>
  <si>
    <t>Professional Fees</t>
  </si>
  <si>
    <t>Cummulative Effect of Change in Accounting Principal</t>
  </si>
  <si>
    <t>301</t>
  </si>
  <si>
    <t>960</t>
  </si>
  <si>
    <t>390</t>
  </si>
  <si>
    <t>860</t>
  </si>
  <si>
    <t>302</t>
  </si>
  <si>
    <t>303</t>
  </si>
  <si>
    <t>330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</si>
  <si>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</si>
  <si>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</si>
  <si>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</si>
  <si>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</si>
  <si>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</si>
  <si>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</si>
  <si>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</si>
  <si>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</si>
  <si>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</si>
  <si>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</si>
  <si>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</si>
  <si>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</si>
  <si>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</si>
  <si>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</si>
  <si>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</si>
  <si>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</si>
  <si>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</si>
  <si>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</si>
  <si>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</si>
  <si>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</si>
  <si>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</si>
  <si>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</si>
  <si>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</si>
  <si>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</si>
  <si>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</si>
  <si>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</si>
  <si>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</si>
  <si>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</si>
  <si>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</si>
  <si>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</si>
  <si>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</si>
  <si>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</si>
  <si>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</si>
  <si>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</si>
  <si>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</si>
  <si>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</si>
  <si>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</si>
  <si>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</si>
  <si>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</si>
  <si>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</si>
  <si>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</si>
  <si>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</si>
  <si>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</si>
  <si>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</si>
  <si>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</si>
  <si>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</si>
  <si>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</si>
  <si>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</si>
  <si>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Statement of Cash Flows</t>
  </si>
  <si>
    <t>CASH FLOW FROM OPERATING ACTIVITIES</t>
  </si>
  <si>
    <t>Cash Received from Customers</t>
  </si>
  <si>
    <t>Cash Received from State and Federal Sources</t>
  </si>
  <si>
    <t>Cash Received from Members</t>
  </si>
  <si>
    <t>Payments to Suppliers for Goods and Services</t>
  </si>
  <si>
    <t>Payments to Employees for Services</t>
  </si>
  <si>
    <t>Cash Paid for Compensated Absences</t>
  </si>
  <si>
    <t>Cash Paid for Benefits/Claims</t>
  </si>
  <si>
    <t>Internal Activity - Reimbursements from Other Funds</t>
  </si>
  <si>
    <t>Internal Activity - Payments made to Other Funds</t>
  </si>
  <si>
    <t>Cash Paid for Reinsurance</t>
  </si>
  <si>
    <t>Cash Received for Labor and Industries Assessments</t>
  </si>
  <si>
    <t>Cash Paid for Labor and Industries Assessments</t>
  </si>
  <si>
    <t>Cash Paid for Other Operating Expense</t>
  </si>
  <si>
    <t>Other Receipts (Payments)</t>
  </si>
  <si>
    <t>NET CASH PROVIDED (USED) BY OPERATING ACTIVITIES</t>
  </si>
  <si>
    <t>CASH FLOWS FROM NONCAPITAL FINANCING ACTIVITIES</t>
  </si>
  <si>
    <t>Operating Grants Received</t>
  </si>
  <si>
    <t>Transfer to (from) Other Funds</t>
  </si>
  <si>
    <t>Proceeds from Issuance of Notes</t>
  </si>
  <si>
    <t>Principal and Interest Payment on Notes</t>
  </si>
  <si>
    <t>Other Noncapital Activities</t>
  </si>
  <si>
    <t>NET CASH PROVIDED (USED) BY NONCAPITAL FINANCING ACTIVITIES</t>
  </si>
  <si>
    <t>CASH FLOWS FROM CAPITAL AND RELATED FINANCING ACTIVITIES</t>
  </si>
  <si>
    <t>Purchase of Capital Assets</t>
  </si>
  <si>
    <t>Proceeds from Capital Debt</t>
  </si>
  <si>
    <t>Principal and Interest Paid on Capital Debt</t>
  </si>
  <si>
    <t>Capital Contributions</t>
  </si>
  <si>
    <t>Principal and Interest Paid on Lease Financing</t>
  </si>
  <si>
    <t>Other Receipts (Payments)_</t>
  </si>
  <si>
    <t>NET CASH PROVIDED (USED) BY CAPITAL AND RELATED FINANCING ACTIVITIES</t>
  </si>
  <si>
    <t>CASH FLOWS FROM INVESTING ACTIVITIES</t>
  </si>
  <si>
    <t>Proceeds from Sales and Maturities of Investments</t>
  </si>
  <si>
    <t>Purchase of Investments</t>
  </si>
  <si>
    <t>Interest and Dividends Received</t>
  </si>
  <si>
    <t>NET CASH PROVIDED (USED) BY INVESTING ACTIVITIES</t>
  </si>
  <si>
    <t>INCREASE (DECREASE) IN CASH AND CASH EQUIVALENTS</t>
  </si>
  <si>
    <t>CASH AND CASH EQUIVALENTS - BEGINNING</t>
  </si>
  <si>
    <t>CASH AND CASH EQUIVALENTS - ENDING</t>
  </si>
  <si>
    <t>RECONCILIATION OF OPERATING INCOME TO NET CASH PROVIDED (USED) BY OPERATING ACTIVITIES</t>
  </si>
  <si>
    <t>OPERATING NET INCOME</t>
  </si>
  <si>
    <t>Depreciation Expense</t>
  </si>
  <si>
    <t>Change in Assets and Liabilities</t>
  </si>
  <si>
    <t>Receivables, Net</t>
  </si>
  <si>
    <t>Inventories</t>
  </si>
  <si>
    <t>Accounts and Other Payables</t>
  </si>
  <si>
    <t>Accrued Expenses</t>
  </si>
  <si>
    <t>Pension Expense from change in Net Pension Liability</t>
  </si>
  <si>
    <t>Change in Deferred Outflows</t>
  </si>
  <si>
    <t>Change in Deferred Inflows</t>
  </si>
  <si>
    <t>Change in Net Pension Liability</t>
  </si>
  <si>
    <t>OPEB Expense from change in Net OPEB Liability</t>
  </si>
  <si>
    <t>Change in Deferred Outflows_</t>
  </si>
  <si>
    <t>Change in Deferred Inflows_</t>
  </si>
  <si>
    <t>Change in Net OPEB Liability_</t>
  </si>
  <si>
    <t>Other Changes for Insurance Funds</t>
  </si>
  <si>
    <t>Claims Reserve-Current</t>
  </si>
  <si>
    <t>Claims Reserve-Prior Year</t>
  </si>
  <si>
    <t>IBNR-Current</t>
  </si>
  <si>
    <t>IBNR-Prior Year</t>
  </si>
  <si>
    <t>Provision for Unallocated Loss Adjustment</t>
  </si>
  <si>
    <t>Unearned Member Assessments</t>
  </si>
  <si>
    <t>Insurance Recoverables</t>
  </si>
  <si>
    <t>NET CASH PROVIDED (USED) BY OPERATING ACTIVITIES_</t>
  </si>
  <si>
    <t>401</t>
  </si>
  <si>
    <t>892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</si>
  <si>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</si>
  <si>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</si>
  <si>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</si>
  <si>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</si>
  <si>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</si>
  <si>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</si>
  <si>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</si>
  <si>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</si>
  <si>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</si>
  <si>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</si>
  <si>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</si>
  <si>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</si>
  <si>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</si>
  <si>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</si>
  <si>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</si>
  <si>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</si>
  <si>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</si>
  <si>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</si>
  <si>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</si>
  <si>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</si>
  <si>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</si>
  <si>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</si>
  <si>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</si>
  <si>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</si>
  <si>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</si>
  <si>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</si>
  <si>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</si>
  <si>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</si>
  <si>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</si>
  <si>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</si>
  <si>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</si>
  <si>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</si>
  <si>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</si>
  <si>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</si>
  <si>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</si>
  <si>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</si>
  <si>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</si>
  <si>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</si>
  <si>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</si>
  <si>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</si>
  <si>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</si>
  <si>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</si>
  <si>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</si>
  <si>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</si>
  <si>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</si>
  <si>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</si>
  <si>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</si>
  <si>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</si>
  <si>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</si>
  <si>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</si>
  <si>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</si>
  <si>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</si>
  <si>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</si>
  <si>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</si>
  <si>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</si>
  <si>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</si>
  <si>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</si>
  <si>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</si>
  <si>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</si>
  <si>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</si>
  <si>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</si>
  <si>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</si>
  <si>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</si>
  <si>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</si>
  <si>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</si>
  <si>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</si>
  <si>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</si>
  <si>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</si>
  <si>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</si>
  <si>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</si>
  <si>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</si>
  <si>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</si>
  <si>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</si>
  <si>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</si>
  <si>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</si>
  <si>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</si>
  <si>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</si>
  <si>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</si>
  <si>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Adjustment to Reconcile Operating Inc to Net Cash Provided (Used) by Operating Activities</t>
  </si>
  <si>
    <t>117</t>
  </si>
  <si>
    <t>118</t>
  </si>
  <si>
    <t>129</t>
  </si>
  <si>
    <t>137</t>
  </si>
  <si>
    <t>139</t>
  </si>
  <si>
    <t>140</t>
  </si>
  <si>
    <t>145</t>
  </si>
  <si>
    <t>146</t>
  </si>
  <si>
    <t>147</t>
  </si>
  <si>
    <t>171</t>
  </si>
  <si>
    <t>172</t>
  </si>
  <si>
    <t>187</t>
  </si>
  <si>
    <t>189</t>
  </si>
  <si>
    <t>190</t>
  </si>
  <si>
    <t>195</t>
  </si>
  <si>
    <t>196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</si>
  <si>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</si>
  <si>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</si>
  <si>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</si>
  <si>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</si>
  <si>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</si>
  <si>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</si>
  <si>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</si>
  <si>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</si>
  <si>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</si>
  <si>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</si>
  <si>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</si>
  <si>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</si>
  <si>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</si>
  <si>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</si>
  <si>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</si>
  <si>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</si>
  <si>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</si>
  <si>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</si>
  <si>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</si>
  <si>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</si>
  <si>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</si>
  <si>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</si>
  <si>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</si>
  <si>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</si>
  <si>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</si>
  <si>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</si>
  <si>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</si>
  <si>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</si>
  <si>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</si>
  <si>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</si>
  <si>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</si>
  <si>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</si>
  <si>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</si>
  <si>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</si>
  <si>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</si>
  <si>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</si>
  <si>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</si>
  <si>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</si>
  <si>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</si>
  <si>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</si>
  <si>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</si>
  <si>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</si>
  <si>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</si>
  <si>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</si>
  <si>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</si>
  <si>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</si>
  <si>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</si>
  <si>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</si>
  <si>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</si>
  <si>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</si>
  <si>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</si>
  <si>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</si>
  <si>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</si>
  <si>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</si>
  <si>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</si>
  <si>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</si>
  <si>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</si>
  <si>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</si>
  <si>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</si>
  <si>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</si>
  <si>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</si>
  <si>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</si>
  <si>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</si>
  <si>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</si>
  <si>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</si>
  <si>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</si>
  <si>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</si>
  <si>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</si>
  <si>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</si>
  <si>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</si>
  <si>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</si>
  <si>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</si>
  <si>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</si>
  <si>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</si>
  <si>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</si>
  <si>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</si>
  <si>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</si>
  <si>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</si>
  <si>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</si>
  <si>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</si>
  <si>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</si>
  <si>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</si>
  <si>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</si>
  <si>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</si>
  <si>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</si>
  <si>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</si>
  <si>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</si>
  <si>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</si>
  <si>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</si>
  <si>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</si>
  <si>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</si>
  <si>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</si>
  <si>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</si>
  <si>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</si>
  <si>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</si>
  <si>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</si>
  <si>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</si>
  <si>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</si>
  <si>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</si>
  <si>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</si>
  <si>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</si>
  <si>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</si>
  <si>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</si>
  <si>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</si>
  <si>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</si>
  <si>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</si>
  <si>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</si>
  <si>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</si>
  <si>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</si>
  <si>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</si>
  <si>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</si>
  <si>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</si>
  <si>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</si>
  <si>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</si>
  <si>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</si>
  <si>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</si>
  <si>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</si>
  <si>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</si>
  <si>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</si>
  <si>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</si>
  <si>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</si>
  <si>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</si>
  <si>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</si>
  <si>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</si>
  <si>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</si>
  <si>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</si>
  <si>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</si>
  <si>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</si>
  <si>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</si>
  <si>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</si>
  <si>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</si>
  <si>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</si>
  <si>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</si>
  <si>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</si>
  <si>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</si>
  <si>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</si>
  <si>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</si>
  <si>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</si>
  <si>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</si>
  <si>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</si>
  <si>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</si>
  <si>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</si>
  <si>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</si>
  <si>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</si>
  <si>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</si>
  <si>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</si>
  <si>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</si>
  <si>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</si>
  <si>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</si>
  <si>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</si>
  <si>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</si>
  <si>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</si>
  <si>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</si>
  <si>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</si>
  <si>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</si>
  <si>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</si>
  <si>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</si>
  <si>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</si>
  <si>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</si>
  <si>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</si>
  <si>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</si>
  <si>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</si>
  <si>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</si>
  <si>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</si>
  <si>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</si>
  <si>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</si>
  <si>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</si>
  <si>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</si>
  <si>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</si>
  <si>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</si>
  <si>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</si>
  <si>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</si>
  <si>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</si>
  <si>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</si>
  <si>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</si>
  <si>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</si>
  <si>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</si>
  <si>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</si>
  <si>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</si>
  <si>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</si>
  <si>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</si>
  <si>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</si>
  <si>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</si>
  <si>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</si>
  <si>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</si>
  <si>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</si>
  <si>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</si>
  <si>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</si>
  <si>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</si>
  <si>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</si>
  <si>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</si>
  <si>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</si>
  <si>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</si>
  <si>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</si>
  <si>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</si>
  <si>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</si>
  <si>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</si>
  <si>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</si>
  <si>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</si>
  <si>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</si>
  <si>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</si>
  <si>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</si>
  <si>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</si>
  <si>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</si>
  <si>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</si>
  <si>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</si>
  <si>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</si>
  <si>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</si>
  <si>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</si>
  <si>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</si>
  <si>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</si>
  <si>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</si>
  <si>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</si>
  <si>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</si>
  <si>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</si>
  <si>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</si>
  <si>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</si>
  <si>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</si>
  <si>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</si>
  <si>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</si>
  <si>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</si>
  <si>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</si>
  <si>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</si>
  <si>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</si>
  <si>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</si>
  <si>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</si>
  <si>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</si>
  <si>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</si>
  <si>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</si>
  <si>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</si>
  <si>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</si>
  <si>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</si>
  <si>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</si>
  <si>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</si>
  <si>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</si>
  <si>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</si>
  <si>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</si>
  <si>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</si>
  <si>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</si>
  <si>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</si>
  <si>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</si>
  <si>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</si>
  <si>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</si>
  <si>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</si>
  <si>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</si>
  <si>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</si>
  <si>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</si>
  <si>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</si>
  <si>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</si>
  <si>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</si>
  <si>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</si>
  <si>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</si>
  <si>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</si>
  <si>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</si>
  <si>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</si>
  <si>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</si>
  <si>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</si>
  <si>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</si>
  <si>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</si>
  <si>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</si>
  <si>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</si>
  <si>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</si>
  <si>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</si>
  <si>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</si>
  <si>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</si>
  <si>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</si>
  <si>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</si>
  <si>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</si>
  <si>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</si>
  <si>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</si>
  <si>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</si>
  <si>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</si>
  <si>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</si>
  <si>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</si>
  <si>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</si>
  <si>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</si>
  <si>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</si>
  <si>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</si>
  <si>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</si>
  <si>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</si>
  <si>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</si>
  <si>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</si>
  <si>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</si>
  <si>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</si>
  <si>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</si>
  <si>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</si>
  <si>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</si>
  <si>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</si>
  <si>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</si>
  <si>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</si>
  <si>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</si>
  <si>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</si>
  <si>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</si>
  <si>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</si>
  <si>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</si>
  <si>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</si>
  <si>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</si>
  <si>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</si>
  <si>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</si>
  <si>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</si>
  <si>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</si>
  <si>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</si>
  <si>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</si>
  <si>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</si>
  <si>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</si>
  <si>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</si>
  <si>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</si>
  <si>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</si>
  <si>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</si>
  <si>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</si>
  <si>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</si>
  <si>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</si>
  <si>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</si>
  <si>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</si>
  <si>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</si>
  <si>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</si>
  <si>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</si>
  <si>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</si>
  <si>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</si>
  <si>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</si>
  <si>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</si>
  <si>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</si>
  <si>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</si>
  <si>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</si>
  <si>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</si>
  <si>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</si>
  <si>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</si>
  <si>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</si>
  <si>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</si>
  <si>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</si>
  <si>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</si>
  <si>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</si>
  <si>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</si>
  <si>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</si>
  <si>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</si>
  <si>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</si>
  <si>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</si>
  <si>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</si>
  <si>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</si>
  <si>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</si>
  <si>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</si>
  <si>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</si>
  <si>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</si>
  <si>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</si>
  <si>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</si>
  <si>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</si>
  <si>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</si>
  <si>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</si>
  <si>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</si>
  <si>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</si>
  <si>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</si>
  <si>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</si>
  <si>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</si>
  <si>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</si>
  <si>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</si>
  <si>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</si>
  <si>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</si>
  <si>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</si>
  <si>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</si>
  <si>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</si>
  <si>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</si>
  <si>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</si>
  <si>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</si>
  <si>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</si>
  <si>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</si>
  <si>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</si>
  <si>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</si>
  <si>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</si>
  <si>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</si>
  <si>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</si>
  <si>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</si>
  <si>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</si>
  <si>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</si>
  <si>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</si>
  <si>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</si>
  <si>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</si>
  <si>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</si>
  <si>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</si>
  <si>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</si>
  <si>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</si>
  <si>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</si>
  <si>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</si>
  <si>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</si>
  <si>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</si>
  <si>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</si>
  <si>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</si>
  <si>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</si>
  <si>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</si>
  <si>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</si>
  <si>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</si>
  <si>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</si>
  <si>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</si>
  <si>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</si>
  <si>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</si>
  <si>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</si>
  <si>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</si>
  <si>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</si>
  <si>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</si>
  <si>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</si>
  <si>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</si>
  <si>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</si>
  <si>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</si>
  <si>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</si>
  <si>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</si>
  <si>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</si>
  <si>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</si>
  <si>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</si>
  <si>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</si>
  <si>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</si>
  <si>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</si>
  <si>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</si>
  <si>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</si>
  <si>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</si>
  <si>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</si>
  <si>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</si>
  <si>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</si>
  <si>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</si>
  <si>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</si>
  <si>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</si>
  <si>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</si>
  <si>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</si>
  <si>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</si>
  <si>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</si>
  <si>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</si>
  <si>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</si>
  <si>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</si>
  <si>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</si>
  <si>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</si>
  <si>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</si>
  <si>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</si>
  <si>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</si>
  <si>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</si>
  <si>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</si>
  <si>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</si>
  <si>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</si>
  <si>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</si>
  <si>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</si>
  <si>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</si>
  <si>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</si>
  <si>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</si>
  <si>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</si>
  <si>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</si>
  <si>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</si>
  <si>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</si>
  <si>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</si>
  <si>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</si>
  <si>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</si>
  <si>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</si>
  <si>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</si>
  <si>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</si>
  <si>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</si>
  <si>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</si>
  <si>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</si>
  <si>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</si>
  <si>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</si>
  <si>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</si>
  <si>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</si>
  <si>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</si>
  <si>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</si>
  <si>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</si>
  <si>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</si>
  <si>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</si>
  <si>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</si>
  <si>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</si>
  <si>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</si>
  <si>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</si>
  <si>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</si>
  <si>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</si>
  <si>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</si>
  <si>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</si>
  <si>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</si>
  <si>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</si>
  <si>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</si>
  <si>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</si>
  <si>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</si>
  <si>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</si>
  <si>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</si>
  <si>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</si>
  <si>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</si>
  <si>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</si>
  <si>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</si>
  <si>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</si>
  <si>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</si>
  <si>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</si>
  <si>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</si>
  <si>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</si>
  <si>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</si>
  <si>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</si>
  <si>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</si>
  <si>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</si>
  <si>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</si>
  <si>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</si>
  <si>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</si>
  <si>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</si>
  <si>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</si>
  <si>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</si>
  <si>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</si>
  <si>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</si>
  <si>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</si>
  <si>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</si>
  <si>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</si>
  <si>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</si>
  <si>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</si>
  <si>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</si>
  <si>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</si>
  <si>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</si>
  <si>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</si>
  <si>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</si>
  <si>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</si>
  <si>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</si>
  <si>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</si>
  <si>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</si>
  <si>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</si>
  <si>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</si>
  <si>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</si>
  <si>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</si>
  <si>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</si>
  <si>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</si>
  <si>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</si>
  <si>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</si>
  <si>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</si>
  <si>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</si>
  <si>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</si>
  <si>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</si>
  <si>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</si>
  <si>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</si>
  <si>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</si>
  <si>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</si>
  <si>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</si>
  <si>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</si>
  <si>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</si>
  <si>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</si>
  <si>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</si>
  <si>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</si>
  <si>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</si>
  <si>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</si>
  <si>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</si>
  <si>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</si>
  <si>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</si>
  <si>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</si>
  <si>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</si>
  <si>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</si>
  <si>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</si>
  <si>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</si>
  <si>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</si>
  <si>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</si>
  <si>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</si>
  <si>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</si>
  <si>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</si>
  <si>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</si>
  <si>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</si>
  <si>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</si>
  <si>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</si>
  <si>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</si>
  <si>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</si>
  <si>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</si>
  <si>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</si>
  <si>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</si>
  <si>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</si>
  <si>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</si>
  <si>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</si>
  <si>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</si>
  <si>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</si>
  <si>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</si>
  <si>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</si>
  <si>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</si>
  <si>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</si>
  <si>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</si>
  <si>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</si>
  <si>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</si>
  <si>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</si>
  <si>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</si>
  <si>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</si>
  <si>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</si>
  <si>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</si>
  <si>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</si>
  <si>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</si>
  <si>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</si>
  <si>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</si>
  <si>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</si>
  <si>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</si>
  <si>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</si>
  <si>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</si>
  <si>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</si>
  <si>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</si>
  <si>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</si>
  <si>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</si>
  <si>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</si>
  <si>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</si>
  <si>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</si>
  <si>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</si>
  <si>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</si>
  <si>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</si>
  <si>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</si>
  <si>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</si>
  <si>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</si>
  <si>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</si>
  <si>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</si>
  <si>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</si>
  <si>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</si>
  <si>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</si>
  <si>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</si>
  <si>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</si>
  <si>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</si>
  <si>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</si>
  <si>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</si>
  <si>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</si>
  <si>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</si>
  <si>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</si>
  <si>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</si>
  <si>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</si>
  <si>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</si>
  <si>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</si>
  <si>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</t>
  </si>
  <si>
    <t>Statement of Net Position</t>
  </si>
  <si>
    <t>Stmt of Rev Exp Cng in Net Pos</t>
  </si>
  <si>
    <t>Statement of Cash Flow</t>
  </si>
  <si>
    <t>Statement of Fiduciary Net Position</t>
  </si>
  <si>
    <t>PRIVATE PURPOSE TRUST FUNDS</t>
  </si>
  <si>
    <t>CUSTODIAL FUNDS</t>
  </si>
  <si>
    <t>Accounts Receivable</t>
  </si>
  <si>
    <t>Assets Used in Operations</t>
  </si>
  <si>
    <t xml:space="preserve">TOTAL ASSETS </t>
  </si>
  <si>
    <t>Accounts Payable and Other Liabilities</t>
  </si>
  <si>
    <t>Program Refunds Payable to JV Participants</t>
  </si>
  <si>
    <t>Due to Local Governments</t>
  </si>
  <si>
    <t>Fiduciary Net Position</t>
  </si>
  <si>
    <t>Statement of Changes in Fiduciary Net Position</t>
  </si>
  <si>
    <t>ADDITIONS</t>
  </si>
  <si>
    <t>Total Contributions</t>
  </si>
  <si>
    <t>Investment Earnings</t>
  </si>
  <si>
    <t>Interest</t>
  </si>
  <si>
    <t>Net Increase (Decrease) in the Fair Value of Investments</t>
  </si>
  <si>
    <t>Total Investment Earnings</t>
  </si>
  <si>
    <t>Other Additions</t>
  </si>
  <si>
    <t>TOTAL ADDITIONS</t>
  </si>
  <si>
    <t>DEDUCTIONS</t>
  </si>
  <si>
    <t>Distribution to Pool Participants</t>
  </si>
  <si>
    <t>Refunds of Contributions</t>
  </si>
  <si>
    <t>Administrative Expenses</t>
  </si>
  <si>
    <t>Other Payments in Accordance with Trust Agreement</t>
  </si>
  <si>
    <t>TOTAL DEDUCTIONS</t>
  </si>
  <si>
    <t>CHANGE IN NET POSITION</t>
  </si>
  <si>
    <t>NET POSITION - BEGINNING</t>
  </si>
  <si>
    <t>NET POSITION - ENDING</t>
  </si>
  <si>
    <t>Employer Contributions</t>
  </si>
  <si>
    <t>Member Contributiuons</t>
  </si>
  <si>
    <t>Restricted for: Individuals, Orgs, and Other Govmts</t>
  </si>
  <si>
    <t>Fiduciary Changes</t>
  </si>
  <si>
    <t>Budget To Actual - Origional Budget</t>
  </si>
  <si>
    <t>UNEMPLOYMENT</t>
  </si>
  <si>
    <t>PROPERTY CASUALTY</t>
  </si>
  <si>
    <t>CHILD CARE</t>
  </si>
  <si>
    <t>Budgetary Comparison Schedule</t>
  </si>
  <si>
    <t>General Expense Fund</t>
  </si>
  <si>
    <t>Column</t>
  </si>
  <si>
    <t>Opperating</t>
  </si>
  <si>
    <t>WorkersComp</t>
  </si>
  <si>
    <t>Unemployment</t>
  </si>
  <si>
    <t>PropertyCasualty</t>
  </si>
  <si>
    <t>ChildCare</t>
  </si>
  <si>
    <t>ESD Statewide Totals</t>
  </si>
  <si>
    <t>Actual</t>
  </si>
  <si>
    <t>PPT</t>
  </si>
  <si>
    <t>Custodial</t>
  </si>
  <si>
    <t>Depreciation</t>
  </si>
  <si>
    <t>89</t>
  </si>
  <si>
    <t>Debt Service - Interest</t>
  </si>
  <si>
    <t>83</t>
  </si>
  <si>
    <t>Purchase - Rebuilding of  Buses</t>
  </si>
  <si>
    <t>59</t>
  </si>
  <si>
    <t>Total</t>
  </si>
  <si>
    <t>99 - Transportation Equipment</t>
  </si>
  <si>
    <t>Transfers</t>
  </si>
  <si>
    <t>99</t>
  </si>
  <si>
    <t>General Support</t>
  </si>
  <si>
    <t>98</t>
  </si>
  <si>
    <t>Direct Instruction</t>
  </si>
  <si>
    <t>27</t>
  </si>
  <si>
    <t>Staff Development</t>
  </si>
  <si>
    <t>21</t>
  </si>
  <si>
    <t>Financial Services</t>
  </si>
  <si>
    <t>14</t>
  </si>
  <si>
    <t>89 - Other Non Instructional Support</t>
  </si>
  <si>
    <t>78 - Fiscal Agent Services</t>
  </si>
  <si>
    <t>76 - Employment Programs</t>
  </si>
  <si>
    <t>74 - Human Resources Services</t>
  </si>
  <si>
    <t>Health Related Services</t>
  </si>
  <si>
    <t>26</t>
  </si>
  <si>
    <t>73 - Nursing Services</t>
  </si>
  <si>
    <t>72 - Environmental Compliance</t>
  </si>
  <si>
    <t>Facilities</t>
  </si>
  <si>
    <t>60</t>
  </si>
  <si>
    <t>Transportation Insurance</t>
  </si>
  <si>
    <t>56</t>
  </si>
  <si>
    <t>Maintenance of Buses</t>
  </si>
  <si>
    <t>53</t>
  </si>
  <si>
    <t>Operating Buses</t>
  </si>
  <si>
    <t>52</t>
  </si>
  <si>
    <t>Transportation Supervision &amp; Coordination</t>
  </si>
  <si>
    <t>51</t>
  </si>
  <si>
    <t>70 - Transportation</t>
  </si>
  <si>
    <t>68 - Public Communications</t>
  </si>
  <si>
    <t>66 - Risk Management</t>
  </si>
  <si>
    <t>Information Systems</t>
  </si>
  <si>
    <t>72</t>
  </si>
  <si>
    <t>64 - Data Processing</t>
  </si>
  <si>
    <t>62 - Adult Education</t>
  </si>
  <si>
    <t>59 - Other Instructional Support Programs</t>
  </si>
  <si>
    <t>51 - Special Ed Coops Infants &amp; Toddlers State</t>
  </si>
  <si>
    <t>46 - Health and Fitness</t>
  </si>
  <si>
    <t>42 - State Institutions</t>
  </si>
  <si>
    <t>38 - Alternative Learning Experience</t>
  </si>
  <si>
    <t>36 - Migrant Education</t>
  </si>
  <si>
    <t>Printing and Copying</t>
  </si>
  <si>
    <t>73</t>
  </si>
  <si>
    <t>Food Services Operations</t>
  </si>
  <si>
    <t>44</t>
  </si>
  <si>
    <t>Food Services Food</t>
  </si>
  <si>
    <t>42</t>
  </si>
  <si>
    <t>Supervision of Instruction</t>
  </si>
  <si>
    <t>20</t>
  </si>
  <si>
    <t>34 - Early Childhood</t>
  </si>
  <si>
    <t>32 - Vocational</t>
  </si>
  <si>
    <t>30 - Highly Capable</t>
  </si>
  <si>
    <t>28 - Environmental Education</t>
  </si>
  <si>
    <t>27 - Social Studies</t>
  </si>
  <si>
    <t>26 - Art</t>
  </si>
  <si>
    <t>25 - Communication, Reading and Writing</t>
  </si>
  <si>
    <t>Motor Pool</t>
  </si>
  <si>
    <t>75</t>
  </si>
  <si>
    <t>24 - Math and Science</t>
  </si>
  <si>
    <t>23 - Special Education ESD Federal</t>
  </si>
  <si>
    <t>22 - Traffic Safety</t>
  </si>
  <si>
    <t>21 - Special Education ESA State</t>
  </si>
  <si>
    <t>20 - Safe and Drug-Free Schools</t>
  </si>
  <si>
    <t>19 - K-20</t>
  </si>
  <si>
    <t>18 - Educational Technology</t>
  </si>
  <si>
    <t>16 - Staff Development</t>
  </si>
  <si>
    <t>13 - Special Education Cooperatives</t>
  </si>
  <si>
    <t>12 - Special Education</t>
  </si>
  <si>
    <t>Human Resources</t>
  </si>
  <si>
    <t>15</t>
  </si>
  <si>
    <t>10 - Instructional Resources</t>
  </si>
  <si>
    <t>Debt Service - Principal</t>
  </si>
  <si>
    <t>84</t>
  </si>
  <si>
    <t>02 - ESD Direct Cost Centers &amp; Agency Services</t>
  </si>
  <si>
    <t>Certification</t>
  </si>
  <si>
    <t>23</t>
  </si>
  <si>
    <t>Curriculum Support</t>
  </si>
  <si>
    <t>22</t>
  </si>
  <si>
    <t>Public Information</t>
  </si>
  <si>
    <t>17</t>
  </si>
  <si>
    <t>Regional Committee for S. D. Reorganization</t>
  </si>
  <si>
    <t>16</t>
  </si>
  <si>
    <t>Business Office</t>
  </si>
  <si>
    <t>13</t>
  </si>
  <si>
    <t>Superintendent's Office</t>
  </si>
  <si>
    <t>12</t>
  </si>
  <si>
    <t>Board of Directors</t>
  </si>
  <si>
    <t>11</t>
  </si>
  <si>
    <t>01 - ESD Core Governmental &amp; Indirect Services</t>
  </si>
  <si>
    <t>Capital Outlay</t>
  </si>
  <si>
    <t>Travel</t>
  </si>
  <si>
    <t>Purchased Services</t>
  </si>
  <si>
    <t>Supplies</t>
  </si>
  <si>
    <t>Employee Benefits and Payroll Taxes</t>
  </si>
  <si>
    <t>Salaries - Classified Employees</t>
  </si>
  <si>
    <t>Salaries - Certificated Employees</t>
  </si>
  <si>
    <t>Credit Transfer</t>
  </si>
  <si>
    <t>Debit Transfer</t>
  </si>
  <si>
    <t>Description (Activites)</t>
  </si>
  <si>
    <t>Activity Code</t>
  </si>
  <si>
    <t>Program - Description</t>
  </si>
  <si>
    <t>Grand Total</t>
  </si>
  <si>
    <t>24-25 Statewide ESD Expenditure Matrix</t>
  </si>
  <si>
    <t>For the Year Ended August 31, 2025</t>
  </si>
  <si>
    <t>August 31, 2025</t>
  </si>
  <si>
    <t>For the Fiscal Year Ended August 31, 2025</t>
  </si>
  <si>
    <t>Description (Revenues)</t>
  </si>
  <si>
    <t>Rervenue Code</t>
  </si>
  <si>
    <t>24-25 Statewide ESD Revenue</t>
  </si>
  <si>
    <t>Tuition and Fees</t>
  </si>
  <si>
    <t>Sale of Goods, Supplies and/or Services</t>
  </si>
  <si>
    <t>Food Services Fees and Charges</t>
  </si>
  <si>
    <t>Gifts and Donations</t>
  </si>
  <si>
    <t>Rental of Property</t>
  </si>
  <si>
    <t>Insurance Recoveries</t>
  </si>
  <si>
    <t>Certification Fees</t>
  </si>
  <si>
    <t>E-Rate</t>
  </si>
  <si>
    <t>Local Sources, Unassigned</t>
  </si>
  <si>
    <t>ESD Allotment</t>
  </si>
  <si>
    <t>Special Education</t>
  </si>
  <si>
    <t>State Institutions, Centers, or Homes–Delinquent</t>
  </si>
  <si>
    <t>Special, Pilot or Enhancement Programs</t>
  </si>
  <si>
    <t>Nursing Services</t>
  </si>
  <si>
    <t>State General Purpose - Unassigned</t>
  </si>
  <si>
    <t>Early Childhood</t>
  </si>
  <si>
    <t>Transportation–Operations</t>
  </si>
  <si>
    <t>Transportation Reimbursement–Depreciation</t>
  </si>
  <si>
    <t>Other State Agencies</t>
  </si>
  <si>
    <t>State Special Purpose, Unassigned</t>
  </si>
  <si>
    <t>Special Education, IDEA</t>
  </si>
  <si>
    <t>Remedial</t>
  </si>
  <si>
    <t>Migrant</t>
  </si>
  <si>
    <t>School Food Service</t>
  </si>
  <si>
    <t>Head Start</t>
  </si>
  <si>
    <t>Youth Training Programs</t>
  </si>
  <si>
    <t>USDA Commodities</t>
  </si>
  <si>
    <t>Qualified Bond Interest Credit Payments</t>
  </si>
  <si>
    <t>Federal ARRA Grants</t>
  </si>
  <si>
    <t>Federal Special Purpose, Unassigned</t>
  </si>
  <si>
    <t>Payments from School Districts in Washington</t>
  </si>
  <si>
    <t>Payments from Other Entities</t>
  </si>
  <si>
    <t>Payments from School Districts in Other States</t>
  </si>
  <si>
    <t>Sale of Real Property</t>
  </si>
  <si>
    <t>Sale of Personal Property</t>
  </si>
  <si>
    <t>Change in Joint Venture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</si>
</sst>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_);_(&quot;$&quot;* \(#,##0\);_(&quot;$&quot;* &quot;-&quot;??_);_(@_)"/>
    <numFmt numFmtId="167" formatCode="#,##0.00;\(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1" fillId="0" borderId="0" applyBorder="0"/>
  </cellStyleXfs>
  <cellXfs count="257">
    <xf numFmtId="0" fontId="0" fillId="0" borderId="0" xfId="0"/>
    <xf numFmtId="44" fontId="4" fillId="0" borderId="0" xfId="4" applyFont="1" applyFill="1" applyAlignment="1">
      <alignment vertical="center" wrapText="1"/>
    </xf>
    <xf numFmtId="44" fontId="4" fillId="0" borderId="0" xfId="4" applyFont="1" applyBorder="1" applyAlignment="1">
      <alignment horizontal="left" vertical="center" wrapText="1"/>
    </xf>
    <xf numFmtId="44" fontId="4" fillId="0" borderId="0" xfId="4" applyFont="1" applyFill="1" applyBorder="1" applyAlignment="1">
      <alignment horizontal="left" vertical="center" wrapText="1"/>
    </xf>
    <xf numFmtId="44" fontId="4" fillId="0" borderId="0" xfId="4" applyFont="1" applyFill="1" applyBorder="1" applyAlignment="1">
      <alignment vertical="center" wrapText="1"/>
    </xf>
    <xf numFmtId="44" fontId="3" fillId="0" borderId="0" xfId="4" applyFont="1" applyFill="1" applyBorder="1" applyAlignment="1">
      <alignment vertical="center" wrapText="1"/>
    </xf>
    <xf numFmtId="44" fontId="4" fillId="0" borderId="0" xfId="4" applyFont="1" applyFill="1" applyBorder="1" applyAlignment="1">
      <alignment horizontal="left" vertical="center" wrapText="1" indent="1"/>
    </xf>
    <xf numFmtId="44" fontId="4" fillId="0" borderId="0" xfId="4" applyFont="1" applyBorder="1" applyAlignment="1">
      <alignment horizontal="left" vertical="center" wrapText="1" indent="1"/>
    </xf>
    <xf numFmtId="44" fontId="3" fillId="0" borderId="0" xfId="4" applyFont="1" applyBorder="1" applyAlignment="1">
      <alignment horizontal="left" vertical="center" wrapText="1"/>
    </xf>
    <xf numFmtId="44" fontId="4" fillId="0" borderId="0" xfId="4" applyFont="1" applyBorder="1" applyAlignment="1">
      <alignment vertical="center" wrapText="1"/>
    </xf>
    <xf numFmtId="44" fontId="4" fillId="2" borderId="0" xfId="4" applyFont="1" applyFill="1" applyBorder="1" applyAlignment="1">
      <alignment vertical="center" wrapText="1"/>
    </xf>
    <xf numFmtId="43" fontId="0" fillId="0" borderId="0" xfId="1" applyFont="1"/>
    <xf numFmtId="49" fontId="0" fillId="0" borderId="0" xfId="0" applyNumberFormat="1"/>
    <xf numFmtId="0" fontId="0" fillId="0" borderId="0" xfId="0" applyAlignment="1">
      <alignment horizontal="left" indent="1"/>
    </xf>
    <xf numFmtId="165" fontId="0" fillId="0" borderId="0" xfId="1" applyNumberFormat="1" applyFont="1" applyFill="1"/>
    <xf numFmtId="43" fontId="0" fillId="0" borderId="0" xfId="1" applyFont="1" applyFill="1"/>
    <xf numFmtId="44" fontId="3" fillId="0" borderId="0" xfId="4" applyFont="1" applyBorder="1" applyAlignment="1">
      <alignment vertical="center" wrapText="1"/>
    </xf>
    <xf numFmtId="44" fontId="3" fillId="2" borderId="0" xfId="4" applyFont="1" applyFill="1" applyBorder="1" applyAlignment="1">
      <alignment vertical="center" wrapText="1"/>
    </xf>
    <xf numFmtId="0" fontId="6" fillId="0" borderId="0" xfId="0" applyFont="1"/>
    <xf numFmtId="44" fontId="3" fillId="2" borderId="0" xfId="4" applyFont="1" applyFill="1" applyAlignment="1">
      <alignment vertical="center" wrapText="1"/>
    </xf>
    <xf numFmtId="44" fontId="3" fillId="0" borderId="0" xfId="4" applyFont="1" applyFill="1" applyBorder="1" applyAlignment="1">
      <alignment horizontal="left" vertical="center" wrapText="1"/>
    </xf>
    <xf numFmtId="49" fontId="8" fillId="0" borderId="0" xfId="6" applyNumberFormat="1" applyFont="1" applyAlignment="1">
      <alignment horizontal="left" vertical="top"/>
    </xf>
    <xf numFmtId="43" fontId="3" fillId="0" borderId="1" xfId="8" applyFont="1" applyBorder="1" applyAlignment="1">
      <alignment horizontal="center" vertical="center" wrapText="1"/>
    </xf>
    <xf numFmtId="43" fontId="3" fillId="2" borderId="0" xfId="8" applyFont="1" applyFill="1" applyBorder="1" applyAlignment="1">
      <alignment horizontal="center" vertical="center" wrapText="1"/>
    </xf>
    <xf numFmtId="0" fontId="8" fillId="0" borderId="0" xfId="6" applyFont="1" applyAlignment="1">
      <alignment horizontal="left" vertical="top"/>
    </xf>
    <xf numFmtId="43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0" borderId="1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6" fontId="6" fillId="0" borderId="0" xfId="5" applyNumberFormat="1" applyFont="1" applyFill="1"/>
    <xf numFmtId="0" fontId="0" fillId="2" borderId="0" xfId="0" applyFill="1"/>
    <xf numFmtId="49" fontId="0" fillId="0" borderId="0" xfId="0" applyNumberFormat="1" applyAlignment="1">
      <alignment wrapText="1"/>
    </xf>
    <xf numFmtId="41" fontId="0" fillId="0" borderId="0" xfId="0" applyNumberFormat="1"/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4" fontId="3" fillId="2" borderId="0" xfId="0" applyNumberFormat="1" applyFont="1" applyFill="1" applyAlignment="1">
      <alignment horizontal="left" vertical="center"/>
    </xf>
    <xf numFmtId="4" fontId="4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left" vertical="center"/>
    </xf>
    <xf numFmtId="44" fontId="3" fillId="0" borderId="0" xfId="0" applyNumberFormat="1" applyFont="1" applyAlignment="1">
      <alignment horizontal="left" vertical="center"/>
    </xf>
    <xf numFmtId="44" fontId="4" fillId="0" borderId="0" xfId="4" applyFont="1" applyFill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3" fillId="0" borderId="3" xfId="1" applyFont="1" applyFill="1" applyBorder="1" applyAlignment="1"/>
    <xf numFmtId="43" fontId="4" fillId="0" borderId="0" xfId="1" applyFont="1" applyFill="1" applyBorder="1" applyAlignment="1">
      <alignment vertical="center"/>
    </xf>
    <xf numFmtId="43" fontId="4" fillId="0" borderId="0" xfId="1" applyFont="1" applyFill="1" applyBorder="1"/>
    <xf numFmtId="0" fontId="4" fillId="0" borderId="0" xfId="7" applyFont="1"/>
    <xf numFmtId="0" fontId="3" fillId="2" borderId="0" xfId="7" applyFont="1" applyFill="1" applyAlignment="1">
      <alignment vertical="center"/>
    </xf>
    <xf numFmtId="0" fontId="8" fillId="0" borderId="0" xfId="6" applyFont="1" applyAlignment="1">
      <alignment horizontal="left" vertical="top" indent="1"/>
    </xf>
    <xf numFmtId="0" fontId="8" fillId="0" borderId="0" xfId="6" applyFont="1" applyAlignment="1">
      <alignment horizontal="left" vertical="top" indent="2"/>
    </xf>
    <xf numFmtId="0" fontId="9" fillId="0" borderId="0" xfId="6" applyFont="1" applyAlignment="1">
      <alignment horizontal="left" vertical="center" indent="1"/>
    </xf>
    <xf numFmtId="0" fontId="9" fillId="0" borderId="0" xfId="6" applyFont="1" applyAlignment="1">
      <alignment horizontal="left" vertical="top"/>
    </xf>
    <xf numFmtId="0" fontId="9" fillId="2" borderId="0" xfId="6" applyFont="1" applyFill="1" applyAlignment="1">
      <alignment horizontal="left" vertical="top"/>
    </xf>
    <xf numFmtId="0" fontId="9" fillId="0" borderId="0" xfId="6" applyFont="1" applyAlignment="1">
      <alignment horizontal="left" vertical="center"/>
    </xf>
    <xf numFmtId="44" fontId="4" fillId="0" borderId="0" xfId="7" applyNumberFormat="1" applyFont="1"/>
    <xf numFmtId="44" fontId="3" fillId="0" borderId="8" xfId="8" applyNumberFormat="1" applyFont="1" applyBorder="1" applyAlignment="1">
      <alignment horizontal="center" vertical="center"/>
    </xf>
    <xf numFmtId="44" fontId="3" fillId="0" borderId="2" xfId="8" applyNumberFormat="1" applyFont="1" applyBorder="1" applyAlignment="1">
      <alignment horizontal="center" vertical="center"/>
    </xf>
    <xf numFmtId="44" fontId="3" fillId="0" borderId="1" xfId="8" applyNumberFormat="1" applyFont="1" applyBorder="1" applyAlignment="1">
      <alignment horizontal="center" vertical="center" wrapText="1"/>
    </xf>
    <xf numFmtId="44" fontId="3" fillId="2" borderId="0" xfId="8" applyNumberFormat="1" applyFont="1" applyFill="1" applyBorder="1" applyAlignment="1">
      <alignment horizontal="center" vertical="center"/>
    </xf>
    <xf numFmtId="44" fontId="3" fillId="2" borderId="0" xfId="8" applyNumberFormat="1" applyFont="1" applyFill="1" applyBorder="1" applyAlignment="1">
      <alignment horizontal="center" vertical="center" wrapText="1"/>
    </xf>
    <xf numFmtId="44" fontId="8" fillId="0" borderId="0" xfId="9" applyNumberFormat="1" applyFont="1" applyFill="1" applyBorder="1" applyAlignment="1">
      <alignment horizontal="left" vertical="top"/>
    </xf>
    <xf numFmtId="44" fontId="1" fillId="0" borderId="0" xfId="9" applyNumberFormat="1" applyFont="1" applyFill="1" applyBorder="1" applyAlignment="1">
      <alignment horizontal="left" vertical="top"/>
    </xf>
    <xf numFmtId="44" fontId="8" fillId="0" borderId="0" xfId="6" applyNumberFormat="1" applyFont="1" applyAlignment="1">
      <alignment horizontal="left" vertical="top"/>
    </xf>
    <xf numFmtId="43" fontId="8" fillId="0" borderId="0" xfId="9" applyFont="1" applyFill="1" applyBorder="1" applyAlignment="1">
      <alignment horizontal="left" vertical="top"/>
    </xf>
    <xf numFmtId="43" fontId="8" fillId="0" borderId="6" xfId="9" applyFont="1" applyFill="1" applyBorder="1" applyAlignment="1">
      <alignment horizontal="left" vertical="top"/>
    </xf>
    <xf numFmtId="43" fontId="8" fillId="4" borderId="2" xfId="9" applyFont="1" applyFill="1" applyBorder="1" applyAlignment="1">
      <alignment horizontal="left" vertical="center"/>
    </xf>
    <xf numFmtId="43" fontId="8" fillId="4" borderId="1" xfId="9" applyFont="1" applyFill="1" applyBorder="1" applyAlignment="1">
      <alignment horizontal="left" vertical="center"/>
    </xf>
    <xf numFmtId="43" fontId="8" fillId="0" borderId="9" xfId="9" applyFont="1" applyFill="1" applyBorder="1" applyAlignment="1">
      <alignment horizontal="left" vertical="top"/>
    </xf>
    <xf numFmtId="43" fontId="8" fillId="2" borderId="0" xfId="9" applyFont="1" applyFill="1" applyBorder="1" applyAlignment="1">
      <alignment horizontal="left" vertical="top"/>
    </xf>
    <xf numFmtId="43" fontId="8" fillId="0" borderId="2" xfId="9" applyFont="1" applyFill="1" applyBorder="1" applyAlignment="1">
      <alignment horizontal="left" vertical="top"/>
    </xf>
    <xf numFmtId="49" fontId="4" fillId="0" borderId="0" xfId="0" applyNumberFormat="1" applyFont="1"/>
    <xf numFmtId="49" fontId="3" fillId="0" borderId="4" xfId="1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43" fontId="3" fillId="0" borderId="6" xfId="1" applyFont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65" fontId="0" fillId="2" borderId="0" xfId="1" applyNumberFormat="1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/>
    </xf>
    <xf numFmtId="49" fontId="6" fillId="6" borderId="0" xfId="0" applyNumberFormat="1" applyFont="1" applyFill="1"/>
    <xf numFmtId="0" fontId="6" fillId="6" borderId="0" xfId="0" applyFont="1" applyFill="1"/>
    <xf numFmtId="49" fontId="0" fillId="6" borderId="0" xfId="0" applyNumberFormat="1" applyFill="1"/>
    <xf numFmtId="0" fontId="0" fillId="6" borderId="0" xfId="0" applyFill="1"/>
    <xf numFmtId="43" fontId="0" fillId="2" borderId="0" xfId="1" applyFont="1" applyFill="1" applyBorder="1" applyProtection="1">
      <protection locked="0"/>
    </xf>
    <xf numFmtId="44" fontId="0" fillId="0" borderId="0" xfId="5" applyFont="1" applyBorder="1" applyAlignment="1">
      <alignment horizontal="left" indent="1"/>
    </xf>
    <xf numFmtId="44" fontId="0" fillId="0" borderId="0" xfId="5" applyFont="1" applyBorder="1" applyAlignment="1"/>
    <xf numFmtId="44" fontId="0" fillId="0" borderId="0" xfId="5" applyFont="1" applyFill="1" applyBorder="1" applyAlignment="1">
      <alignment horizontal="left" indent="1"/>
    </xf>
    <xf numFmtId="44" fontId="0" fillId="0" borderId="0" xfId="5" applyFont="1" applyFill="1" applyBorder="1" applyAlignment="1"/>
    <xf numFmtId="43" fontId="0" fillId="0" borderId="1" xfId="10" applyNumberFormat="1" applyFont="1" applyFill="1" applyBorder="1" applyAlignment="1">
      <alignment horizontal="center" vertical="center" wrapText="1"/>
    </xf>
    <xf numFmtId="43" fontId="0" fillId="0" borderId="0" xfId="10" applyNumberFormat="1" applyFont="1" applyFill="1" applyBorder="1" applyAlignment="1">
      <alignment horizontal="center" vertical="center" wrapText="1"/>
    </xf>
    <xf numFmtId="49" fontId="0" fillId="0" borderId="1" xfId="10" applyNumberFormat="1" applyFont="1" applyFill="1" applyBorder="1" applyAlignment="1">
      <alignment horizontal="center" vertical="center" wrapText="1"/>
    </xf>
    <xf numFmtId="0" fontId="4" fillId="0" borderId="0" xfId="11" applyFont="1" applyAlignment="1">
      <alignment horizontal="centerContinuous"/>
    </xf>
    <xf numFmtId="43" fontId="3" fillId="0" borderId="0" xfId="8" applyFont="1" applyBorder="1" applyAlignment="1">
      <alignment horizontal="center" wrapText="1"/>
    </xf>
    <xf numFmtId="43" fontId="3" fillId="0" borderId="0" xfId="8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0" borderId="0" xfId="11" applyFont="1"/>
    <xf numFmtId="0" fontId="4" fillId="0" borderId="0" xfId="11" applyFont="1" applyAlignment="1">
      <alignment horizontal="left" indent="1"/>
    </xf>
    <xf numFmtId="4" fontId="4" fillId="0" borderId="0" xfId="11" applyNumberFormat="1" applyFont="1" applyAlignment="1">
      <alignment horizontal="left" indent="1"/>
    </xf>
    <xf numFmtId="4" fontId="4" fillId="0" borderId="0" xfId="10" applyNumberFormat="1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4" fillId="0" borderId="0" xfId="11" applyFont="1" applyAlignment="1">
      <alignment horizontal="left"/>
    </xf>
    <xf numFmtId="0" fontId="4" fillId="2" borderId="0" xfId="11" applyFont="1" applyFill="1" applyAlignment="1">
      <alignment horizontal="left"/>
    </xf>
    <xf numFmtId="0" fontId="3" fillId="0" borderId="0" xfId="11" applyFont="1" applyAlignment="1">
      <alignment horizontal="left"/>
    </xf>
    <xf numFmtId="4" fontId="3" fillId="0" borderId="0" xfId="11" applyNumberFormat="1" applyFont="1" applyAlignment="1">
      <alignment horizontal="left" vertical="center"/>
    </xf>
    <xf numFmtId="49" fontId="3" fillId="0" borderId="1" xfId="8" applyNumberFormat="1" applyFont="1" applyBorder="1" applyAlignment="1">
      <alignment horizontal="center" vertical="center" wrapText="1"/>
    </xf>
    <xf numFmtId="49" fontId="4" fillId="0" borderId="0" xfId="11" applyNumberFormat="1" applyFont="1"/>
    <xf numFmtId="0" fontId="4" fillId="2" borderId="0" xfId="11" applyFont="1" applyFill="1" applyAlignment="1">
      <alignment horizontal="left" vertical="center"/>
    </xf>
    <xf numFmtId="4" fontId="4" fillId="2" borderId="0" xfId="11" applyNumberFormat="1" applyFont="1" applyFill="1" applyAlignment="1">
      <alignment horizontal="left"/>
    </xf>
    <xf numFmtId="44" fontId="0" fillId="0" borderId="0" xfId="5" applyFont="1" applyFill="1" applyBorder="1" applyAlignment="1">
      <alignment horizontal="left" vertical="center"/>
    </xf>
    <xf numFmtId="4" fontId="3" fillId="0" borderId="0" xfId="11" applyNumberFormat="1" applyFont="1" applyAlignment="1">
      <alignment horizontal="left"/>
    </xf>
    <xf numFmtId="0" fontId="3" fillId="0" borderId="0" xfId="11" applyFont="1" applyAlignment="1">
      <alignment horizontal="left" vertical="center" indent="2"/>
    </xf>
    <xf numFmtId="0" fontId="3" fillId="0" borderId="10" xfId="8" applyNumberFormat="1" applyFont="1" applyBorder="1" applyAlignment="1">
      <alignment horizontal="center" vertical="center"/>
    </xf>
    <xf numFmtId="49" fontId="3" fillId="0" borderId="0" xfId="8" applyNumberFormat="1" applyFont="1" applyFill="1" applyBorder="1" applyAlignment="1">
      <alignment horizontal="center" vertical="center"/>
    </xf>
    <xf numFmtId="44" fontId="3" fillId="0" borderId="2" xfId="4" applyFont="1" applyFill="1" applyBorder="1" applyAlignment="1">
      <alignment vertical="center" wrapText="1"/>
    </xf>
    <xf numFmtId="43" fontId="6" fillId="0" borderId="6" xfId="4" applyNumberFormat="1" applyFont="1" applyFill="1" applyBorder="1"/>
    <xf numFmtId="43" fontId="6" fillId="0" borderId="7" xfId="4" applyNumberFormat="1" applyFont="1" applyFill="1" applyBorder="1"/>
    <xf numFmtId="43" fontId="6" fillId="0" borderId="0" xfId="1" applyFont="1" applyFill="1"/>
    <xf numFmtId="0" fontId="6" fillId="2" borderId="0" xfId="0" applyFont="1" applyFill="1"/>
    <xf numFmtId="49" fontId="3" fillId="0" borderId="1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  <xf numFmtId="0" fontId="3" fillId="0" borderId="0" xfId="8" applyNumberFormat="1" applyFont="1" applyBorder="1" applyAlignment="1">
      <alignment horizontal="center" vertical="center"/>
    </xf>
    <xf numFmtId="44" fontId="3" fillId="0" borderId="0" xfId="8" applyNumberFormat="1" applyFont="1" applyBorder="1" applyAlignment="1">
      <alignment horizontal="center" vertical="center"/>
    </xf>
    <xf numFmtId="44" fontId="3" fillId="0" borderId="0" xfId="8" applyNumberFormat="1" applyFont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/>
    </xf>
    <xf numFmtId="43" fontId="0" fillId="0" borderId="0" xfId="1" applyFont="1" applyFill="1" applyBorder="1" applyProtection="1">
      <protection locked="0"/>
    </xf>
    <xf numFmtId="43" fontId="0" fillId="4" borderId="2" xfId="1" applyFont="1" applyFill="1" applyBorder="1"/>
    <xf numFmtId="43" fontId="6" fillId="4" borderId="2" xfId="1" applyFont="1" applyFill="1" applyBorder="1"/>
    <xf numFmtId="43" fontId="0" fillId="0" borderId="0" xfId="1" applyFont="1" applyFill="1" applyBorder="1"/>
    <xf numFmtId="43" fontId="0" fillId="2" borderId="0" xfId="1" applyFont="1" applyFill="1" applyBorder="1" applyAlignment="1">
      <alignment horizontal="center"/>
    </xf>
    <xf numFmtId="43" fontId="6" fillId="2" borderId="0" xfId="1" applyFont="1" applyFill="1"/>
    <xf numFmtId="43" fontId="6" fillId="0" borderId="6" xfId="1" applyFont="1" applyFill="1" applyBorder="1"/>
    <xf numFmtId="43" fontId="6" fillId="2" borderId="6" xfId="1" applyFont="1" applyFill="1" applyBorder="1"/>
    <xf numFmtId="43" fontId="6" fillId="4" borderId="1" xfId="1" applyFont="1" applyFill="1" applyBorder="1"/>
    <xf numFmtId="43" fontId="6" fillId="0" borderId="0" xfId="1" applyFont="1" applyFill="1" applyBorder="1" applyAlignment="1">
      <alignment horizontal="center"/>
    </xf>
    <xf numFmtId="43" fontId="8" fillId="0" borderId="10" xfId="9" applyFont="1" applyFill="1" applyBorder="1" applyAlignment="1">
      <alignment horizontal="left" vertical="top"/>
    </xf>
    <xf numFmtId="44" fontId="4" fillId="0" borderId="0" xfId="0" applyNumberFormat="1" applyFont="1" applyAlignment="1">
      <alignment horizontal="left" vertical="center"/>
    </xf>
    <xf numFmtId="43" fontId="0" fillId="0" borderId="0" xfId="5" applyNumberFormat="1" applyFont="1"/>
    <xf numFmtId="43" fontId="6" fillId="0" borderId="6" xfId="5" applyNumberFormat="1" applyFont="1" applyBorder="1"/>
    <xf numFmtId="43" fontId="6" fillId="4" borderId="2" xfId="5" applyNumberFormat="1" applyFont="1" applyFill="1" applyBorder="1"/>
    <xf numFmtId="43" fontId="6" fillId="4" borderId="1" xfId="5" applyNumberFormat="1" applyFont="1" applyFill="1" applyBorder="1"/>
    <xf numFmtId="43" fontId="6" fillId="0" borderId="0" xfId="5" applyNumberFormat="1" applyFont="1"/>
    <xf numFmtId="43" fontId="6" fillId="2" borderId="0" xfId="5" applyNumberFormat="1" applyFont="1" applyFill="1"/>
    <xf numFmtId="43" fontId="0" fillId="2" borderId="0" xfId="5" applyNumberFormat="1" applyFont="1" applyFill="1"/>
    <xf numFmtId="43" fontId="6" fillId="0" borderId="2" xfId="5" applyNumberFormat="1" applyFont="1" applyBorder="1"/>
    <xf numFmtId="43" fontId="6" fillId="0" borderId="7" xfId="5" applyNumberFormat="1" applyFont="1" applyBorder="1"/>
    <xf numFmtId="0" fontId="0" fillId="0" borderId="0" xfId="0" applyAlignment="1">
      <alignment horizontal="centerContinuous"/>
    </xf>
    <xf numFmtId="4" fontId="0" fillId="0" borderId="0" xfId="0" applyNumberFormat="1" applyAlignment="1">
      <alignment horizontal="left" indent="1"/>
    </xf>
    <xf numFmtId="4" fontId="0" fillId="0" borderId="0" xfId="0" applyNumberFormat="1" applyAlignment="1">
      <alignment horizontal="left" indent="2"/>
    </xf>
    <xf numFmtId="4" fontId="0" fillId="0" borderId="0" xfId="0" applyNumberFormat="1"/>
    <xf numFmtId="44" fontId="0" fillId="0" borderId="0" xfId="0" applyNumberFormat="1"/>
    <xf numFmtId="0" fontId="0" fillId="0" borderId="0" xfId="0" applyAlignment="1">
      <alignment horizontal="right"/>
    </xf>
    <xf numFmtId="43" fontId="3" fillId="0" borderId="0" xfId="1" applyFont="1" applyBorder="1" applyAlignment="1">
      <alignment horizontal="center" vertical="center" wrapText="1"/>
    </xf>
    <xf numFmtId="0" fontId="3" fillId="2" borderId="0" xfId="0" applyFont="1" applyFill="1"/>
    <xf numFmtId="43" fontId="3" fillId="2" borderId="0" xfId="1" applyFont="1" applyFill="1" applyBorder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4" fontId="4" fillId="0" borderId="0" xfId="0" applyNumberFormat="1" applyFont="1"/>
    <xf numFmtId="44" fontId="4" fillId="0" borderId="0" xfId="4" applyFont="1" applyFill="1" applyBorder="1"/>
    <xf numFmtId="43" fontId="3" fillId="0" borderId="0" xfId="1" applyFont="1" applyBorder="1" applyAlignment="1">
      <alignment horizontal="center"/>
    </xf>
    <xf numFmtId="44" fontId="4" fillId="2" borderId="0" xfId="5" applyFont="1" applyFill="1" applyAlignment="1"/>
    <xf numFmtId="44" fontId="3" fillId="0" borderId="0" xfId="5" applyFont="1" applyBorder="1" applyAlignment="1"/>
    <xf numFmtId="44" fontId="4" fillId="2" borderId="0" xfId="5" applyFont="1" applyFill="1" applyBorder="1" applyAlignment="1"/>
    <xf numFmtId="44" fontId="3" fillId="0" borderId="0" xfId="5" applyFont="1" applyFill="1" applyBorder="1" applyAlignment="1"/>
    <xf numFmtId="43" fontId="0" fillId="0" borderId="0" xfId="1" applyFont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43" fontId="0" fillId="2" borderId="0" xfId="0" applyNumberFormat="1" applyFill="1"/>
    <xf numFmtId="43" fontId="6" fillId="0" borderId="0" xfId="1" applyFont="1" applyFill="1" applyBorder="1" applyProtection="1">
      <protection locked="0"/>
    </xf>
    <xf numFmtId="43" fontId="1" fillId="4" borderId="2" xfId="1" applyFont="1" applyFill="1" applyBorder="1"/>
    <xf numFmtId="43" fontId="1" fillId="4" borderId="1" xfId="1" applyFont="1" applyFill="1" applyBorder="1"/>
    <xf numFmtId="43" fontId="0" fillId="0" borderId="0" xfId="4" applyNumberFormat="1" applyFont="1" applyFill="1" applyBorder="1" applyProtection="1"/>
    <xf numFmtId="165" fontId="6" fillId="2" borderId="0" xfId="1" applyNumberFormat="1" applyFont="1" applyFill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6" fillId="4" borderId="1" xfId="1" applyFont="1" applyFill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43" fontId="6" fillId="0" borderId="0" xfId="1" applyFont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43" fontId="3" fillId="0" borderId="0" xfId="1" applyFont="1" applyFill="1" applyBorder="1"/>
    <xf numFmtId="49" fontId="3" fillId="0" borderId="0" xfId="0" applyNumberFormat="1" applyFont="1" applyAlignment="1">
      <alignment vertical="center"/>
    </xf>
    <xf numFmtId="43" fontId="0" fillId="0" borderId="0" xfId="5" applyNumberFormat="1" applyFont="1" applyFill="1" applyBorder="1" applyProtection="1"/>
    <xf numFmtId="43" fontId="4" fillId="0" borderId="0" xfId="5" applyNumberFormat="1" applyFont="1" applyFill="1" applyBorder="1" applyAlignment="1" applyProtection="1">
      <alignment vertical="center"/>
    </xf>
    <xf numFmtId="43" fontId="6" fillId="4" borderId="2" xfId="1" applyFont="1" applyFill="1" applyBorder="1" applyProtection="1"/>
    <xf numFmtId="43" fontId="6" fillId="0" borderId="1" xfId="1" applyFont="1" applyFill="1" applyBorder="1" applyProtection="1"/>
    <xf numFmtId="43" fontId="6" fillId="0" borderId="5" xfId="1" applyFont="1" applyFill="1" applyBorder="1" applyProtection="1"/>
    <xf numFmtId="43" fontId="6" fillId="4" borderId="1" xfId="4" applyNumberFormat="1" applyFont="1" applyFill="1" applyBorder="1" applyProtection="1"/>
    <xf numFmtId="43" fontId="6" fillId="4" borderId="2" xfId="4" applyNumberFormat="1" applyFont="1" applyFill="1" applyBorder="1" applyProtection="1"/>
    <xf numFmtId="43" fontId="0" fillId="4" borderId="2" xfId="1" applyFont="1" applyFill="1" applyBorder="1" applyProtection="1"/>
    <xf numFmtId="43" fontId="4" fillId="4" borderId="2" xfId="5" applyNumberFormat="1" applyFont="1" applyFill="1" applyBorder="1" applyAlignment="1" applyProtection="1">
      <alignment vertical="center"/>
    </xf>
    <xf numFmtId="43" fontId="4" fillId="0" borderId="0" xfId="10" applyNumberFormat="1" applyFont="1" applyFill="1" applyBorder="1" applyAlignment="1" applyProtection="1">
      <alignment vertical="center"/>
    </xf>
    <xf numFmtId="43" fontId="0" fillId="0" borderId="0" xfId="1" applyFont="1" applyFill="1" applyAlignment="1" applyProtection="1">
      <alignment vertical="center"/>
    </xf>
    <xf numFmtId="43" fontId="4" fillId="2" borderId="0" xfId="5" applyNumberFormat="1" applyFont="1" applyFill="1" applyBorder="1" applyAlignment="1" applyProtection="1">
      <alignment vertical="center"/>
    </xf>
    <xf numFmtId="43" fontId="0" fillId="2" borderId="0" xfId="1" applyFont="1" applyFill="1" applyAlignment="1" applyProtection="1">
      <alignment vertical="center"/>
    </xf>
    <xf numFmtId="43" fontId="0" fillId="0" borderId="0" xfId="1" applyFont="1" applyAlignment="1" applyProtection="1">
      <alignment vertical="center"/>
    </xf>
    <xf numFmtId="43" fontId="0" fillId="0" borderId="0" xfId="0" applyNumberFormat="1" applyAlignment="1">
      <alignment vertical="center"/>
    </xf>
    <xf numFmtId="43" fontId="4" fillId="4" borderId="2" xfId="1" applyFont="1" applyFill="1" applyBorder="1" applyProtection="1"/>
    <xf numFmtId="43" fontId="0" fillId="0" borderId="0" xfId="1" applyFont="1" applyBorder="1" applyProtection="1"/>
    <xf numFmtId="0" fontId="13" fillId="0" borderId="0" xfId="0" quotePrefix="1" applyFont="1" applyAlignment="1">
      <alignment horizontal="left"/>
    </xf>
    <xf numFmtId="0" fontId="13" fillId="0" borderId="0" xfId="0" quotePrefix="1" applyFont="1" applyAlignment="1">
      <alignment horizontal="center"/>
    </xf>
    <xf numFmtId="0" fontId="13" fillId="0" borderId="0" xfId="0" quotePrefix="1" applyFont="1" applyAlignment="1">
      <alignment horizontal="left" vertical="top"/>
    </xf>
    <xf numFmtId="3" fontId="1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3" fillId="0" borderId="0" xfId="0" quotePrefix="1" applyFont="1" applyAlignment="1">
      <alignment vertical="top" wrapText="1"/>
    </xf>
    <xf numFmtId="0" fontId="14" fillId="0" borderId="2" xfId="0" quotePrefix="1" applyFont="1" applyBorder="1" applyAlignment="1">
      <alignment vertical="top" wrapText="1"/>
    </xf>
    <xf numFmtId="0" fontId="14" fillId="0" borderId="2" xfId="0" quotePrefix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2" xfId="0" quotePrefix="1" applyFont="1" applyBorder="1" applyAlignment="1">
      <alignment vertical="center" wrapText="1"/>
    </xf>
    <xf numFmtId="0" fontId="14" fillId="0" borderId="2" xfId="0" quotePrefix="1" applyFont="1" applyBorder="1" applyAlignment="1">
      <alignment vertical="top"/>
    </xf>
    <xf numFmtId="0" fontId="6" fillId="0" borderId="2" xfId="0" applyFont="1" applyBorder="1"/>
    <xf numFmtId="0" fontId="13" fillId="0" borderId="0" xfId="0" quotePrefix="1" applyFont="1" applyAlignment="1">
      <alignment horizontal="left" vertical="center"/>
    </xf>
    <xf numFmtId="165" fontId="6" fillId="0" borderId="0" xfId="1" applyNumberFormat="1" applyFont="1"/>
    <xf numFmtId="165" fontId="0" fillId="0" borderId="0" xfId="1" applyNumberFormat="1" applyFont="1"/>
    <xf numFmtId="165" fontId="14" fillId="0" borderId="0" xfId="1" quotePrefix="1" applyNumberFormat="1" applyFont="1" applyAlignment="1">
      <alignment vertical="center"/>
    </xf>
    <xf numFmtId="165" fontId="0" fillId="3" borderId="0" xfId="1" applyNumberFormat="1" applyFont="1" applyFill="1" applyAlignment="1">
      <alignment horizontal="center" vertical="center" wrapText="1"/>
    </xf>
    <xf numFmtId="165" fontId="0" fillId="7" borderId="0" xfId="1" applyNumberFormat="1" applyFont="1" applyFill="1" applyAlignment="1">
      <alignment horizontal="center" vertical="center" wrapText="1"/>
    </xf>
    <xf numFmtId="165" fontId="14" fillId="3" borderId="0" xfId="1" quotePrefix="1" applyNumberFormat="1" applyFont="1" applyFill="1" applyAlignment="1">
      <alignment vertical="center" wrapText="1"/>
    </xf>
    <xf numFmtId="165" fontId="13" fillId="3" borderId="0" xfId="1" quotePrefix="1" applyNumberFormat="1" applyFont="1" applyFill="1" applyAlignment="1">
      <alignment horizontal="center" vertical="center" wrapText="1"/>
    </xf>
    <xf numFmtId="165" fontId="14" fillId="0" borderId="2" xfId="1" applyNumberFormat="1" applyFont="1" applyBorder="1" applyAlignment="1">
      <alignment vertical="center"/>
    </xf>
    <xf numFmtId="165" fontId="14" fillId="0" borderId="0" xfId="1" applyNumberFormat="1" applyFont="1" applyAlignment="1">
      <alignment vertical="center"/>
    </xf>
    <xf numFmtId="165" fontId="13" fillId="0" borderId="0" xfId="1" applyNumberFormat="1" applyFont="1" applyAlignment="1">
      <alignment vertical="center"/>
    </xf>
    <xf numFmtId="165" fontId="6" fillId="0" borderId="2" xfId="1" applyNumberFormat="1" applyFont="1" applyBorder="1"/>
    <xf numFmtId="165" fontId="1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7" fontId="13" fillId="0" borderId="0" xfId="0" applyNumberFormat="1" applyFont="1" applyAlignment="1">
      <alignment vertical="center"/>
    </xf>
    <xf numFmtId="167" fontId="14" fillId="0" borderId="2" xfId="0" applyNumberFormat="1" applyFont="1" applyBorder="1" applyAlignment="1">
      <alignment vertical="center"/>
    </xf>
    <xf numFmtId="0" fontId="13" fillId="3" borderId="0" xfId="0" quotePrefix="1" applyFont="1" applyFill="1" applyAlignment="1">
      <alignment horizontal="left" vertical="center"/>
    </xf>
    <xf numFmtId="0" fontId="6" fillId="3" borderId="0" xfId="0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0" fontId="12" fillId="0" borderId="0" xfId="0" quotePrefix="1" applyFont="1" applyAlignment="1">
      <alignment horizontal="center" vertical="center"/>
    </xf>
    <xf numFmtId="0" fontId="0" fillId="0" borderId="0" xfId="0"/>
    <xf numFmtId="3" fontId="3" fillId="3" borderId="0" xfId="0" applyNumberFormat="1" applyFont="1" applyFill="1" applyAlignment="1" applyProtection="1">
      <alignment horizontal="center"/>
      <protection locked="0"/>
    </xf>
    <xf numFmtId="3" fontId="3" fillId="3" borderId="0" xfId="0" applyNumberFormat="1" applyFont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43" fontId="3" fillId="0" borderId="3" xfId="1" applyFont="1" applyFill="1" applyBorder="1" applyAlignment="1">
      <alignment horizontal="center"/>
    </xf>
    <xf numFmtId="0" fontId="3" fillId="3" borderId="0" xfId="6" applyFont="1" applyFill="1" applyAlignment="1">
      <alignment horizontal="center" vertical="top" wrapText="1"/>
    </xf>
    <xf numFmtId="0" fontId="3" fillId="3" borderId="3" xfId="6" applyFont="1" applyFill="1" applyBorder="1" applyAlignment="1">
      <alignment horizontal="center" vertical="top" wrapText="1"/>
    </xf>
    <xf numFmtId="44" fontId="4" fillId="0" borderId="2" xfId="7" applyNumberFormat="1" applyFont="1" applyBorder="1" applyAlignment="1">
      <alignment horizontal="center"/>
    </xf>
    <xf numFmtId="3" fontId="3" fillId="3" borderId="0" xfId="11" applyNumberFormat="1" applyFont="1" applyFill="1" applyAlignment="1" applyProtection="1">
      <alignment horizontal="center"/>
      <protection locked="0"/>
    </xf>
    <xf numFmtId="3" fontId="3" fillId="3" borderId="0" xfId="11" applyNumberFormat="1" applyFont="1" applyFill="1" applyAlignment="1">
      <alignment horizontal="center"/>
    </xf>
    <xf numFmtId="49" fontId="3" fillId="3" borderId="0" xfId="11" applyNumberFormat="1" applyFont="1" applyFill="1" applyAlignment="1">
      <alignment horizontal="center"/>
    </xf>
  </cellXfs>
  <cellStyles count="13">
    <cellStyle name="Comma" xfId="1" builtinId="3"/>
    <cellStyle name="Comma 2" xfId="3" xr:uid="{00000000-0005-0000-0000-000001000000}"/>
    <cellStyle name="Comma 3" xfId="8" xr:uid="{D2714247-8D8F-478B-A069-BC642C1B74BB}"/>
    <cellStyle name="Comma 4" xfId="9" xr:uid="{44F11DA3-CC09-4584-B5ED-9FBDB76F500F}"/>
    <cellStyle name="Currency" xfId="5" builtinId="4"/>
    <cellStyle name="Currency 2" xfId="4" xr:uid="{00000000-0005-0000-0000-000003000000}"/>
    <cellStyle name="Hyperlink 2" xfId="10" xr:uid="{3C7D2E13-35B7-45E4-8373-C7072BDBB9EA}"/>
    <cellStyle name="Normal" xfId="0" builtinId="0"/>
    <cellStyle name="Normal 2" xfId="2" xr:uid="{00000000-0005-0000-0000-000005000000}"/>
    <cellStyle name="Normal 3" xfId="6" xr:uid="{69E5E710-A620-42C6-8A3D-BA0A6B4E80AD}"/>
    <cellStyle name="Normal 4" xfId="11" xr:uid="{C1EA6EB0-8C51-4EA4-9DDA-5AEF82F0ACA0}"/>
    <cellStyle name="Normal 5" xfId="12" xr:uid="{C6365D3B-FB30-43D6-BBBA-5F711944B01F}"/>
    <cellStyle name="Normal 6" xfId="7" xr:uid="{C59168C9-797F-4923-9D68-2F076A737068}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F0CA1B-71D9-40A6-9B9F-0E404CA094BA}" name="NetPos" displayName="NetPos" ref="A2:F85" totalsRowShown="0" headerRowDxfId="32" dataDxfId="31">
  <autoFilter ref="A2:F85" xr:uid="{07F0CA1B-71D9-40A6-9B9F-0E404CA094BA}"/>
  <tableColumns count="6">
    <tableColumn id="1" xr3:uid="{16D58B33-B794-4CDE-8FE4-3751CDB88551}" name="Item" dataDxfId="30"/>
    <tableColumn id="2" xr3:uid="{64128721-7038-4202-82B3-10551D698EA6}" name="ChildCare" dataDxfId="29"/>
    <tableColumn id="3" xr3:uid="{11AA3A6A-F340-45F6-AF25-35FCF5A34B4D}" name="Opperating" dataDxfId="28"/>
    <tableColumn id="4" xr3:uid="{028FEC0A-98BF-45FA-939F-99F0735B9783}" name="PropertyCasualty" dataDxfId="27"/>
    <tableColumn id="5" xr3:uid="{90A7E050-1808-453E-9167-6641E11367D4}" name="Unemployment" dataDxfId="26"/>
    <tableColumn id="6" xr3:uid="{371A3F4F-FFCF-42A8-A6FF-4D9EA65B2697}" name="WorkersComp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5AC540-4C96-4E7B-9F35-83B172247996}" name="Chg" displayName="Chg" ref="A2:F43" totalsRowShown="0" headerRowDxfId="24" dataDxfId="23">
  <autoFilter ref="A2:F43" xr:uid="{D45AC540-4C96-4E7B-9F35-83B172247996}"/>
  <tableColumns count="6">
    <tableColumn id="1" xr3:uid="{F982CCF6-848A-4FFC-9599-4EEDC75E3658}" name="Item" dataDxfId="22"/>
    <tableColumn id="2" xr3:uid="{5D48C3F7-1436-47E2-8A32-75E0F7D637EC}" name="ChildCare" dataDxfId="21"/>
    <tableColumn id="3" xr3:uid="{CE6A609A-5352-4879-9433-726538066740}" name="Opperating" dataDxfId="20"/>
    <tableColumn id="4" xr3:uid="{B5C424A5-FCA0-4B6C-A924-FB7121923836}" name="PropertyCasualty" dataDxfId="19"/>
    <tableColumn id="5" xr3:uid="{7857E73B-CEE9-4997-A33C-B8EA65EA4CE8}" name="Unemployment" dataDxfId="18"/>
    <tableColumn id="6" xr3:uid="{7D403F8C-3054-415B-BD0B-389024929DD0}" name="WorkersComp" dataDxf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65F9470-285B-4704-9E02-7325A1DE3EE6}" name="Flow" displayName="Flow" ref="A2:F68" totalsRowShown="0" headerRowDxfId="16" dataDxfId="15">
  <autoFilter ref="A2:F68" xr:uid="{F65F9470-285B-4704-9E02-7325A1DE3EE6}"/>
  <tableColumns count="6">
    <tableColumn id="1" xr3:uid="{E767A238-E680-4E34-A780-A761AA170821}" name="Item" dataDxfId="14"/>
    <tableColumn id="2" xr3:uid="{A998233E-6060-45AA-A176-3311901B07B6}" name="ChildCare" dataDxfId="13"/>
    <tableColumn id="3" xr3:uid="{05C0361E-20AF-4445-AFE4-47B5331D14DB}" name="Opperating" dataDxfId="12"/>
    <tableColumn id="4" xr3:uid="{8985EC4D-71CB-43B2-BD92-9C0C3E7FA216}" name="PropertyCasualty" dataDxfId="11"/>
    <tableColumn id="5" xr3:uid="{D849785E-1569-4101-A6CA-414E5F5F3606}" name="Unemployment" dataDxfId="10"/>
    <tableColumn id="6" xr3:uid="{8044BEC7-4A87-4113-9322-59FECC4298EE}" name="WorkersComp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0A6C256-32D5-46B8-B10D-A574CF25DE88}" name="Comp" displayName="Comp" ref="A2:D45" totalsRowShown="0" headerRowDxfId="8" dataDxfId="7">
  <autoFilter ref="A2:D45" xr:uid="{20A6C256-32D5-46B8-B10D-A574CF25DE88}"/>
  <tableColumns count="4">
    <tableColumn id="1" xr3:uid="{EE163E0C-476C-4241-89EF-45613E557BF7}" name="Item" dataDxfId="6"/>
    <tableColumn id="2" xr3:uid="{14F1BAE0-29CF-4234-954A-B1FD6273F815}" name="Actual" dataDxfId="5"/>
    <tableColumn id="3" xr3:uid="{F4DC8401-EA49-4312-BCA5-B1FEC8BE1032}" name="Final" dataDxfId="4"/>
    <tableColumn id="4" xr3:uid="{BF9DCC85-940D-4814-8F96-53E7E756EF74}" name="Original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1FB269-75EC-4D14-A1CC-59A373BDB386}" name="Fidos" displayName="Fidos" ref="A2:C31" totalsRowShown="0">
  <autoFilter ref="A2:C31" xr:uid="{1C1FB269-75EC-4D14-A1CC-59A373BDB386}"/>
  <tableColumns count="3">
    <tableColumn id="1" xr3:uid="{756D8226-CB92-402E-B483-A11D43003DEF}" name="Item" dataDxfId="2"/>
    <tableColumn id="2" xr3:uid="{42CEA20F-F5D6-4111-B76A-0B3A545E2278}" name="Custodial" dataDxfId="1"/>
    <tableColumn id="3" xr3:uid="{2BD749E3-6A6C-429F-9BDC-72DBDD1F5B64}" name="PP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B2:R111"/>
  <sheetViews>
    <sheetView tabSelected="1" zoomScaleNormal="100" workbookViewId="0">
      <pane ySplit="6" topLeftCell="A19" activePane="bottomLeft" state="frozen"/>
      <selection pane="bottomLeft"/>
    </sheetView>
  </sheetViews>
  <sheetFormatPr defaultColWidth="9.140625" defaultRowHeight="15" x14ac:dyDescent="0.25"/>
  <cols>
    <col min="2" max="2" width="7.7109375" style="12" hidden="1" customWidth="1"/>
    <col min="3" max="3" width="52" customWidth="1"/>
    <col min="4" max="4" width="16.7109375" customWidth="1"/>
    <col min="5" max="5" width="17.5703125" bestFit="1" customWidth="1"/>
    <col min="6" max="7" width="16.7109375" customWidth="1"/>
    <col min="8" max="8" width="13.140625" bestFit="1" customWidth="1"/>
    <col min="9" max="9" width="16.7109375" style="18" customWidth="1"/>
    <col min="11" max="11" width="12.28515625" bestFit="1" customWidth="1"/>
    <col min="13" max="14" width="13.7109375" bestFit="1" customWidth="1"/>
    <col min="15" max="15" width="12.5703125" bestFit="1" customWidth="1"/>
    <col min="16" max="16" width="16.42578125" bestFit="1" customWidth="1"/>
    <col min="17" max="17" width="11.7109375" bestFit="1" customWidth="1"/>
    <col min="18" max="18" width="13.7109375" bestFit="1" customWidth="1"/>
  </cols>
  <sheetData>
    <row r="2" spans="2:18" x14ac:dyDescent="0.25">
      <c r="C2" s="243" t="s">
        <v>1163</v>
      </c>
      <c r="D2" s="243"/>
      <c r="E2" s="243"/>
      <c r="F2" s="243"/>
      <c r="G2" s="243"/>
      <c r="H2" s="243"/>
      <c r="I2" s="243"/>
    </row>
    <row r="3" spans="2:18" x14ac:dyDescent="0.25">
      <c r="C3" s="243" t="s">
        <v>0</v>
      </c>
      <c r="D3" s="243"/>
      <c r="E3" s="243"/>
      <c r="F3" s="243"/>
      <c r="G3" s="243"/>
      <c r="H3" s="243"/>
      <c r="I3" s="243"/>
    </row>
    <row r="4" spans="2:18" x14ac:dyDescent="0.25">
      <c r="C4" s="244" t="s">
        <v>1278</v>
      </c>
      <c r="D4" s="244"/>
      <c r="E4" s="244"/>
      <c r="F4" s="244"/>
      <c r="G4" s="244"/>
      <c r="H4" s="244"/>
      <c r="I4" s="244"/>
    </row>
    <row r="6" spans="2:18" s="29" customFormat="1" ht="30" x14ac:dyDescent="0.25">
      <c r="B6" s="26" t="s">
        <v>97</v>
      </c>
      <c r="C6" s="27" t="s">
        <v>182</v>
      </c>
      <c r="D6" s="26" t="s">
        <v>1</v>
      </c>
      <c r="E6" s="26" t="s">
        <v>65</v>
      </c>
      <c r="F6" s="26" t="s">
        <v>1152</v>
      </c>
      <c r="G6" s="26" t="s">
        <v>1153</v>
      </c>
      <c r="H6" s="28" t="s">
        <v>1154</v>
      </c>
      <c r="I6" s="26" t="s">
        <v>2</v>
      </c>
      <c r="K6"/>
      <c r="L6"/>
      <c r="M6"/>
      <c r="N6"/>
      <c r="O6"/>
      <c r="P6"/>
      <c r="Q6"/>
      <c r="R6"/>
    </row>
    <row r="7" spans="2:18" x14ac:dyDescent="0.25">
      <c r="C7" s="1"/>
      <c r="D7" s="14"/>
      <c r="E7" s="14"/>
      <c r="F7" s="14"/>
      <c r="G7" s="14"/>
      <c r="H7" s="14"/>
      <c r="I7" s="30"/>
    </row>
    <row r="8" spans="2:18" x14ac:dyDescent="0.25">
      <c r="C8" s="19" t="s">
        <v>4</v>
      </c>
      <c r="D8" s="31"/>
      <c r="E8" s="31"/>
      <c r="F8" s="31"/>
      <c r="G8" s="31"/>
      <c r="H8" s="31"/>
      <c r="I8" s="120"/>
    </row>
    <row r="9" spans="2:18" x14ac:dyDescent="0.25">
      <c r="B9" s="12" t="s">
        <v>98</v>
      </c>
      <c r="C9" s="32" t="s">
        <v>5</v>
      </c>
      <c r="D9" s="139">
        <f>VLOOKUP($B9,NetPos[#All],3,0)</f>
        <v>50642364.209999993</v>
      </c>
      <c r="E9" s="139">
        <f>VLOOKUP($B9,NetPos[#All],6,0)</f>
        <v>125828908.95999999</v>
      </c>
      <c r="F9" s="139">
        <f>VLOOKUP($B9,NetPos[#All],5,0)</f>
        <v>23158045.440000001</v>
      </c>
      <c r="G9" s="139">
        <f>VLOOKUP($B9,NetPos[#All],4,0)</f>
        <v>667.6200000000008</v>
      </c>
      <c r="H9" s="139">
        <f>VLOOKUP($B9,NetPos[#All],2,0)</f>
        <v>617.94999999999982</v>
      </c>
      <c r="I9" s="140">
        <f t="shared" ref="I9:I23" si="0">SUM(D9:H9)</f>
        <v>199630604.17999998</v>
      </c>
    </row>
    <row r="10" spans="2:18" x14ac:dyDescent="0.25">
      <c r="B10" s="12" t="s">
        <v>101</v>
      </c>
      <c r="C10" s="32" t="s">
        <v>6</v>
      </c>
      <c r="D10" s="139">
        <f>VLOOKUP($B10,NetPos[#All],3,0)</f>
        <v>0</v>
      </c>
      <c r="E10" s="139">
        <f>VLOOKUP($B10,NetPos[#All],6,0)</f>
        <v>0</v>
      </c>
      <c r="F10" s="139">
        <f>VLOOKUP($B10,NetPos[#All],5,0)</f>
        <v>1587541.06</v>
      </c>
      <c r="G10" s="139">
        <f>VLOOKUP($B10,NetPos[#All],4,0)</f>
        <v>0</v>
      </c>
      <c r="H10" s="139">
        <f>VLOOKUP($B10,NetPos[#All],2,0)</f>
        <v>0</v>
      </c>
      <c r="I10" s="140">
        <f t="shared" si="0"/>
        <v>1587541.06</v>
      </c>
    </row>
    <row r="11" spans="2:18" x14ac:dyDescent="0.25">
      <c r="B11" s="12" t="s">
        <v>102</v>
      </c>
      <c r="C11" s="3" t="s">
        <v>7</v>
      </c>
      <c r="D11" s="139">
        <f>VLOOKUP($B11,NetPos[#All],3,0)</f>
        <v>109642884.42999999</v>
      </c>
      <c r="E11" s="139">
        <f>VLOOKUP($B11,NetPos[#All],6,0)</f>
        <v>102701022.83000001</v>
      </c>
      <c r="F11" s="139">
        <f>VLOOKUP($B11,NetPos[#All],5,0)</f>
        <v>41219292.730000004</v>
      </c>
      <c r="G11" s="139">
        <f>VLOOKUP($B11,NetPos[#All],4,0)</f>
        <v>8279695.6699999999</v>
      </c>
      <c r="H11" s="139">
        <f>VLOOKUP($B11,NetPos[#All],2,0)</f>
        <v>729724.62</v>
      </c>
      <c r="I11" s="140">
        <f t="shared" si="0"/>
        <v>262572620.28</v>
      </c>
    </row>
    <row r="12" spans="2:18" x14ac:dyDescent="0.25">
      <c r="B12" s="12" t="s">
        <v>105</v>
      </c>
      <c r="C12" s="3" t="s">
        <v>8</v>
      </c>
      <c r="D12" s="139">
        <f>VLOOKUP($B12,NetPos[#All],3,0)</f>
        <v>53382123.770000003</v>
      </c>
      <c r="E12" s="139">
        <f>VLOOKUP($B12,NetPos[#All],6,0)</f>
        <v>2663754.23</v>
      </c>
      <c r="F12" s="139">
        <f>VLOOKUP($B12,NetPos[#All],5,0)</f>
        <v>283029.66000000003</v>
      </c>
      <c r="G12" s="139">
        <f>VLOOKUP($B12,NetPos[#All],4,0)</f>
        <v>0</v>
      </c>
      <c r="H12" s="139">
        <f>VLOOKUP($B12,NetPos[#All],2,0)</f>
        <v>173739.74</v>
      </c>
      <c r="I12" s="140">
        <f t="shared" si="0"/>
        <v>56502647.399999999</v>
      </c>
    </row>
    <row r="13" spans="2:18" x14ac:dyDescent="0.25">
      <c r="B13" s="12" t="s">
        <v>104</v>
      </c>
      <c r="C13" s="3" t="s">
        <v>90</v>
      </c>
      <c r="D13" s="139">
        <f>VLOOKUP($B13,NetPos[#All],3,0)</f>
        <v>232945.11</v>
      </c>
      <c r="E13" s="139">
        <f>VLOOKUP($B13,NetPos[#All],6,0)</f>
        <v>0</v>
      </c>
      <c r="F13" s="139">
        <f>VLOOKUP($B13,NetPos[#All],5,0)</f>
        <v>0</v>
      </c>
      <c r="G13" s="139">
        <f>VLOOKUP($B13,NetPos[#All],4,0)</f>
        <v>0</v>
      </c>
      <c r="H13" s="139">
        <f>VLOOKUP($B13,NetPos[#All],2,0)</f>
        <v>0</v>
      </c>
      <c r="I13" s="140">
        <f t="shared" si="0"/>
        <v>232945.11</v>
      </c>
    </row>
    <row r="14" spans="2:18" x14ac:dyDescent="0.25">
      <c r="B14" s="12" t="s">
        <v>103</v>
      </c>
      <c r="C14" s="3" t="s">
        <v>91</v>
      </c>
      <c r="D14" s="139">
        <f>VLOOKUP($B14,NetPos[#All],3,0)</f>
        <v>398944.56</v>
      </c>
      <c r="E14" s="139">
        <f>VLOOKUP($B14,NetPos[#All],6,0)</f>
        <v>0</v>
      </c>
      <c r="F14" s="139">
        <f>VLOOKUP($B14,NetPos[#All],5,0)</f>
        <v>0</v>
      </c>
      <c r="G14" s="139">
        <f>VLOOKUP($B14,NetPos[#All],4,0)</f>
        <v>0</v>
      </c>
      <c r="H14" s="139">
        <f>VLOOKUP($B14,NetPos[#All],2,0)</f>
        <v>0</v>
      </c>
      <c r="I14" s="140">
        <f t="shared" si="0"/>
        <v>398944.56</v>
      </c>
    </row>
    <row r="15" spans="2:18" x14ac:dyDescent="0.25">
      <c r="B15" s="12" t="s">
        <v>106</v>
      </c>
      <c r="C15" s="3" t="s">
        <v>9</v>
      </c>
      <c r="D15" s="139">
        <f>VLOOKUP($B15,NetPos[#All],3,0)</f>
        <v>124403.45999999999</v>
      </c>
      <c r="E15" s="139">
        <f>VLOOKUP($B15,NetPos[#All],6,0)</f>
        <v>82177.919999999998</v>
      </c>
      <c r="F15" s="139">
        <f>VLOOKUP($B15,NetPos[#All],5,0)</f>
        <v>46102.92</v>
      </c>
      <c r="G15" s="139">
        <f>VLOOKUP($B15,NetPos[#All],4,0)</f>
        <v>0</v>
      </c>
      <c r="H15" s="139">
        <f>VLOOKUP($B15,NetPos[#All],2,0)</f>
        <v>0</v>
      </c>
      <c r="I15" s="140">
        <f t="shared" si="0"/>
        <v>252684.3</v>
      </c>
    </row>
    <row r="16" spans="2:18" x14ac:dyDescent="0.25">
      <c r="B16" s="12" t="s">
        <v>107</v>
      </c>
      <c r="C16" s="3" t="s">
        <v>10</v>
      </c>
      <c r="D16" s="139">
        <f>VLOOKUP($B16,NetPos[#All],3,0)</f>
        <v>0</v>
      </c>
      <c r="E16" s="139">
        <f>VLOOKUP($B16,NetPos[#All],6,0)</f>
        <v>1913522.5200000061</v>
      </c>
      <c r="F16" s="139">
        <f>VLOOKUP($B16,NetPos[#All],5,0)</f>
        <v>435091.26999999996</v>
      </c>
      <c r="G16" s="139">
        <f>VLOOKUP($B16,NetPos[#All],4,0)</f>
        <v>0</v>
      </c>
      <c r="H16" s="139">
        <f>VLOOKUP($B16,NetPos[#All],2,0)</f>
        <v>0</v>
      </c>
      <c r="I16" s="140">
        <f t="shared" si="0"/>
        <v>2348613.7900000061</v>
      </c>
    </row>
    <row r="17" spans="2:9" x14ac:dyDescent="0.25">
      <c r="B17" s="12" t="s">
        <v>108</v>
      </c>
      <c r="C17" s="3" t="s">
        <v>11</v>
      </c>
      <c r="D17" s="139">
        <f>VLOOKUP($B17,NetPos[#All],3,0)</f>
        <v>0</v>
      </c>
      <c r="E17" s="139">
        <f>VLOOKUP($B17,NetPos[#All],6,0)</f>
        <v>0</v>
      </c>
      <c r="F17" s="139">
        <f>VLOOKUP($B17,NetPos[#All],5,0)</f>
        <v>0</v>
      </c>
      <c r="G17" s="139">
        <f>VLOOKUP($B17,NetPos[#All],4,0)</f>
        <v>0</v>
      </c>
      <c r="H17" s="139">
        <f>VLOOKUP($B17,NetPos[#All],2,0)</f>
        <v>0</v>
      </c>
      <c r="I17" s="140">
        <f t="shared" si="0"/>
        <v>0</v>
      </c>
    </row>
    <row r="18" spans="2:9" x14ac:dyDescent="0.25">
      <c r="B18" s="12" t="s">
        <v>109</v>
      </c>
      <c r="C18" s="3" t="s">
        <v>12</v>
      </c>
      <c r="D18" s="139">
        <f>VLOOKUP($B18,NetPos[#All],3,0)</f>
        <v>0</v>
      </c>
      <c r="E18" s="139">
        <f>VLOOKUP($B18,NetPos[#All],6,0)</f>
        <v>706469.28999999992</v>
      </c>
      <c r="F18" s="139">
        <f>VLOOKUP($B18,NetPos[#All],5,0)</f>
        <v>0</v>
      </c>
      <c r="G18" s="139">
        <f>VLOOKUP($B18,NetPos[#All],4,0)</f>
        <v>0</v>
      </c>
      <c r="H18" s="139">
        <f>VLOOKUP($B18,NetPos[#All],2,0)</f>
        <v>0</v>
      </c>
      <c r="I18" s="140">
        <f t="shared" si="0"/>
        <v>706469.28999999992</v>
      </c>
    </row>
    <row r="19" spans="2:9" x14ac:dyDescent="0.25">
      <c r="B19" s="12" t="s">
        <v>100</v>
      </c>
      <c r="C19" s="3" t="s">
        <v>13</v>
      </c>
      <c r="D19" s="139">
        <f>VLOOKUP($B19,NetPos[#All],3,0)</f>
        <v>136573.28</v>
      </c>
      <c r="E19" s="139">
        <f>VLOOKUP($B19,NetPos[#All],6,0)</f>
        <v>337845.68999999901</v>
      </c>
      <c r="F19" s="139">
        <f>VLOOKUP($B19,NetPos[#All],5,0)</f>
        <v>55535.830000000075</v>
      </c>
      <c r="G19" s="139">
        <f>VLOOKUP($B19,NetPos[#All],4,0)</f>
        <v>0</v>
      </c>
      <c r="H19" s="139">
        <f>VLOOKUP($B19,NetPos[#All],2,0)</f>
        <v>0</v>
      </c>
      <c r="I19" s="140">
        <f t="shared" si="0"/>
        <v>529954.79999999912</v>
      </c>
    </row>
    <row r="20" spans="2:9" x14ac:dyDescent="0.25">
      <c r="B20" s="12" t="s">
        <v>110</v>
      </c>
      <c r="C20" s="3" t="s">
        <v>14</v>
      </c>
      <c r="D20" s="139">
        <f>VLOOKUP($B20,NetPos[#All],3,0)</f>
        <v>24773.96</v>
      </c>
      <c r="E20" s="139">
        <f>VLOOKUP($B20,NetPos[#All],6,0)</f>
        <v>0</v>
      </c>
      <c r="F20" s="139">
        <f>VLOOKUP($B20,NetPos[#All],5,0)</f>
        <v>0</v>
      </c>
      <c r="G20" s="139">
        <f>VLOOKUP($B20,NetPos[#All],4,0)</f>
        <v>0</v>
      </c>
      <c r="H20" s="139">
        <f>VLOOKUP($B20,NetPos[#All],2,0)</f>
        <v>0</v>
      </c>
      <c r="I20" s="140">
        <f t="shared" si="0"/>
        <v>24773.96</v>
      </c>
    </row>
    <row r="21" spans="2:9" x14ac:dyDescent="0.25">
      <c r="B21" s="12" t="s">
        <v>111</v>
      </c>
      <c r="C21" s="3" t="s">
        <v>15</v>
      </c>
      <c r="D21" s="139">
        <f>VLOOKUP($B21,NetPos[#All],3,0)</f>
        <v>882086.29</v>
      </c>
      <c r="E21" s="139">
        <f>VLOOKUP($B21,NetPos[#All],6,0)</f>
        <v>581881.93000000005</v>
      </c>
      <c r="F21" s="139">
        <f>VLOOKUP($B21,NetPos[#All],5,0)</f>
        <v>0</v>
      </c>
      <c r="G21" s="139">
        <f>VLOOKUP($B21,NetPos[#All],4,0)</f>
        <v>13174.2</v>
      </c>
      <c r="H21" s="139">
        <f>VLOOKUP($B21,NetPos[#All],2,0)</f>
        <v>0</v>
      </c>
      <c r="I21" s="140">
        <f t="shared" si="0"/>
        <v>1477142.4200000002</v>
      </c>
    </row>
    <row r="22" spans="2:9" x14ac:dyDescent="0.25">
      <c r="B22" s="12" t="s">
        <v>112</v>
      </c>
      <c r="C22" s="3" t="s">
        <v>16</v>
      </c>
      <c r="D22" s="139">
        <f>VLOOKUP($B22,NetPos[#All],3,0)</f>
        <v>0</v>
      </c>
      <c r="E22" s="139">
        <f>VLOOKUP($B22,NetPos[#All],6,0)</f>
        <v>0</v>
      </c>
      <c r="F22" s="139">
        <f>VLOOKUP($B22,NetPos[#All],5,0)</f>
        <v>0</v>
      </c>
      <c r="G22" s="139">
        <f>VLOOKUP($B22,NetPos[#All],4,0)</f>
        <v>0</v>
      </c>
      <c r="H22" s="139">
        <f>VLOOKUP($B22,NetPos[#All],2,0)</f>
        <v>0</v>
      </c>
      <c r="I22" s="140">
        <f t="shared" si="0"/>
        <v>0</v>
      </c>
    </row>
    <row r="23" spans="2:9" x14ac:dyDescent="0.25">
      <c r="B23" s="12" t="s">
        <v>113</v>
      </c>
      <c r="C23" s="3" t="s">
        <v>66</v>
      </c>
      <c r="D23" s="139">
        <f>VLOOKUP($B23,NetPos[#All],3,0)</f>
        <v>0</v>
      </c>
      <c r="E23" s="139">
        <f>VLOOKUP($B23,NetPos[#All],6,0)</f>
        <v>0</v>
      </c>
      <c r="F23" s="139">
        <f>VLOOKUP($B23,NetPos[#All],5,0)</f>
        <v>0</v>
      </c>
      <c r="G23" s="139">
        <f>VLOOKUP($B23,NetPos[#All],4,0)</f>
        <v>0</v>
      </c>
      <c r="H23" s="139">
        <f>VLOOKUP($B23,NetPos[#All],2,0)</f>
        <v>0</v>
      </c>
      <c r="I23" s="140">
        <f t="shared" si="0"/>
        <v>0</v>
      </c>
    </row>
    <row r="24" spans="2:9" x14ac:dyDescent="0.25">
      <c r="B24" s="12" t="s">
        <v>153</v>
      </c>
      <c r="C24" s="116" t="s">
        <v>17</v>
      </c>
      <c r="D24" s="141">
        <f>SUM(D9:D23)</f>
        <v>215467099.07000002</v>
      </c>
      <c r="E24" s="141">
        <f t="shared" ref="E24:H24" si="1">SUM(E9:E23)</f>
        <v>234815583.37</v>
      </c>
      <c r="F24" s="141">
        <f t="shared" si="1"/>
        <v>66784638.910000004</v>
      </c>
      <c r="G24" s="141">
        <f t="shared" si="1"/>
        <v>8293537.4900000002</v>
      </c>
      <c r="H24" s="141">
        <f t="shared" si="1"/>
        <v>904082.30999999994</v>
      </c>
      <c r="I24" s="142">
        <f>SUM(I9:I23)</f>
        <v>526264941.15000004</v>
      </c>
    </row>
    <row r="25" spans="2:9" x14ac:dyDescent="0.25">
      <c r="C25" s="4"/>
      <c r="D25" s="139"/>
      <c r="E25" s="139"/>
      <c r="F25" s="139"/>
      <c r="G25" s="139"/>
      <c r="H25" s="139"/>
      <c r="I25" s="143"/>
    </row>
    <row r="26" spans="2:9" x14ac:dyDescent="0.25">
      <c r="C26" s="17" t="s">
        <v>18</v>
      </c>
      <c r="D26" s="144"/>
      <c r="E26" s="144"/>
      <c r="F26" s="144"/>
      <c r="G26" s="144"/>
      <c r="H26" s="144"/>
      <c r="I26" s="144"/>
    </row>
    <row r="27" spans="2:9" x14ac:dyDescent="0.25">
      <c r="B27" s="12" t="s">
        <v>128</v>
      </c>
      <c r="C27" s="3" t="s">
        <v>67</v>
      </c>
      <c r="D27" s="139">
        <f>VLOOKUP($B27,NetPos[#All],3,0)</f>
        <v>0</v>
      </c>
      <c r="E27" s="139">
        <f>VLOOKUP($B27,NetPos[#All],6,0)</f>
        <v>0</v>
      </c>
      <c r="F27" s="139">
        <f>VLOOKUP($B27,NetPos[#All],5,0)</f>
        <v>0</v>
      </c>
      <c r="G27" s="139">
        <f>VLOOKUP($B27,NetPos[#All],4,0)</f>
        <v>0</v>
      </c>
      <c r="H27" s="139">
        <f>VLOOKUP($B27,NetPos[#All],2,0)</f>
        <v>0</v>
      </c>
      <c r="I27" s="140">
        <f>SUM(D27:H27)</f>
        <v>0</v>
      </c>
    </row>
    <row r="28" spans="2:9" x14ac:dyDescent="0.25">
      <c r="C28" s="20" t="s">
        <v>19</v>
      </c>
      <c r="D28" s="145"/>
      <c r="E28" s="145"/>
      <c r="F28" s="145"/>
      <c r="G28" s="145"/>
      <c r="H28" s="145"/>
      <c r="I28" s="144"/>
    </row>
    <row r="29" spans="2:9" x14ac:dyDescent="0.25">
      <c r="B29" s="12" t="s">
        <v>114</v>
      </c>
      <c r="C29" s="6" t="s">
        <v>92</v>
      </c>
      <c r="D29" s="139">
        <f>VLOOKUP($B29,NetPos[#All],3,0)</f>
        <v>15067851.34</v>
      </c>
      <c r="E29" s="139">
        <f>VLOOKUP($B29,NetPos[#All],6,0)</f>
        <v>0</v>
      </c>
      <c r="F29" s="139">
        <f>VLOOKUP($B29,NetPos[#All],5,0)</f>
        <v>0</v>
      </c>
      <c r="G29" s="139">
        <f>VLOOKUP($B29,NetPos[#All],4,0)</f>
        <v>0</v>
      </c>
      <c r="H29" s="139">
        <f>VLOOKUP($B29,NetPos[#All],2,0)</f>
        <v>0</v>
      </c>
      <c r="I29" s="140">
        <f t="shared" ref="I29:I35" si="2">SUM(D29:H29)</f>
        <v>15067851.34</v>
      </c>
    </row>
    <row r="30" spans="2:9" x14ac:dyDescent="0.25">
      <c r="B30" s="12" t="s">
        <v>115</v>
      </c>
      <c r="C30" s="6" t="s">
        <v>20</v>
      </c>
      <c r="D30" s="139">
        <f>VLOOKUP($B30,NetPos[#All],3,0)</f>
        <v>431250.67000000004</v>
      </c>
      <c r="E30" s="139">
        <f>VLOOKUP($B30,NetPos[#All],6,0)</f>
        <v>0</v>
      </c>
      <c r="F30" s="139">
        <f>VLOOKUP($B30,NetPos[#All],5,0)</f>
        <v>0</v>
      </c>
      <c r="G30" s="139">
        <f>VLOOKUP($B30,NetPos[#All],4,0)</f>
        <v>0</v>
      </c>
      <c r="H30" s="139">
        <f>VLOOKUP($B30,NetPos[#All],2,0)</f>
        <v>0</v>
      </c>
      <c r="I30" s="140">
        <f t="shared" si="2"/>
        <v>431250.67000000004</v>
      </c>
    </row>
    <row r="31" spans="2:9" x14ac:dyDescent="0.25">
      <c r="B31" s="12" t="s">
        <v>116</v>
      </c>
      <c r="C31" s="6" t="s">
        <v>93</v>
      </c>
      <c r="D31" s="139">
        <f>VLOOKUP($B31,NetPos[#All],3,0)</f>
        <v>1104136.49</v>
      </c>
      <c r="E31" s="139">
        <f>VLOOKUP($B31,NetPos[#All],6,0)</f>
        <v>0</v>
      </c>
      <c r="F31" s="139">
        <f>VLOOKUP($B31,NetPos[#All],5,0)</f>
        <v>0</v>
      </c>
      <c r="G31" s="139">
        <f>VLOOKUP($B31,NetPos[#All],4,0)</f>
        <v>0</v>
      </c>
      <c r="H31" s="139">
        <f>VLOOKUP($B31,NetPos[#All],2,0)</f>
        <v>0</v>
      </c>
      <c r="I31" s="140">
        <f t="shared" si="2"/>
        <v>1104136.49</v>
      </c>
    </row>
    <row r="32" spans="2:9" x14ac:dyDescent="0.25">
      <c r="B32" s="12" t="s">
        <v>117</v>
      </c>
      <c r="C32" s="6" t="s">
        <v>21</v>
      </c>
      <c r="D32" s="139">
        <f>VLOOKUP($B32,NetPos[#All],3,0)</f>
        <v>122781286.97000001</v>
      </c>
      <c r="E32" s="139">
        <f>VLOOKUP($B32,NetPos[#All],6,0)</f>
        <v>0</v>
      </c>
      <c r="F32" s="139">
        <f>VLOOKUP($B32,NetPos[#All],5,0)</f>
        <v>0</v>
      </c>
      <c r="G32" s="139">
        <f>VLOOKUP($B32,NetPos[#All],4,0)</f>
        <v>0</v>
      </c>
      <c r="H32" s="139">
        <f>VLOOKUP($B32,NetPos[#All],2,0)</f>
        <v>0</v>
      </c>
      <c r="I32" s="140">
        <f t="shared" si="2"/>
        <v>122781286.97000001</v>
      </c>
    </row>
    <row r="33" spans="2:9" x14ac:dyDescent="0.25">
      <c r="B33" s="12" t="s">
        <v>118</v>
      </c>
      <c r="C33" s="6" t="s">
        <v>22</v>
      </c>
      <c r="D33" s="139">
        <f>VLOOKUP($B33,NetPos[#All],3,0)</f>
        <v>19541054.509999998</v>
      </c>
      <c r="E33" s="139">
        <f>VLOOKUP($B33,NetPos[#All],6,0)</f>
        <v>16793.72</v>
      </c>
      <c r="F33" s="139">
        <f>VLOOKUP($B33,NetPos[#All],5,0)</f>
        <v>0</v>
      </c>
      <c r="G33" s="139">
        <f>VLOOKUP($B33,NetPos[#All],4,0)</f>
        <v>0</v>
      </c>
      <c r="H33" s="139">
        <f>VLOOKUP($B33,NetPos[#All],2,0)</f>
        <v>0</v>
      </c>
      <c r="I33" s="140">
        <f t="shared" si="2"/>
        <v>19557848.229999997</v>
      </c>
    </row>
    <row r="34" spans="2:9" x14ac:dyDescent="0.25">
      <c r="B34" s="12" t="s">
        <v>119</v>
      </c>
      <c r="C34" s="6" t="s">
        <v>94</v>
      </c>
      <c r="D34" s="139">
        <f>VLOOKUP($B34,NetPos[#All],3,0)</f>
        <v>13384523.27</v>
      </c>
      <c r="E34" s="139">
        <f>VLOOKUP($B34,NetPos[#All],6,0)</f>
        <v>37128.280000000028</v>
      </c>
      <c r="F34" s="139">
        <f>VLOOKUP($B34,NetPos[#All],5,0)</f>
        <v>0</v>
      </c>
      <c r="G34" s="139">
        <f>VLOOKUP($B34,NetPos[#All],4,0)</f>
        <v>0</v>
      </c>
      <c r="H34" s="139">
        <f>VLOOKUP($B34,NetPos[#All],2,0)</f>
        <v>0</v>
      </c>
      <c r="I34" s="140">
        <f t="shared" si="2"/>
        <v>13421651.549999999</v>
      </c>
    </row>
    <row r="35" spans="2:9" x14ac:dyDescent="0.25">
      <c r="B35" s="12" t="s">
        <v>120</v>
      </c>
      <c r="C35" s="7" t="s">
        <v>23</v>
      </c>
      <c r="D35" s="139">
        <f>VLOOKUP($B35,NetPos[#All],3,0)</f>
        <v>-70433158.25</v>
      </c>
      <c r="E35" s="139">
        <f>VLOOKUP($B35,NetPos[#All],6,0)</f>
        <v>-16793.72</v>
      </c>
      <c r="F35" s="139">
        <f>VLOOKUP($B35,NetPos[#All],5,0)</f>
        <v>0</v>
      </c>
      <c r="G35" s="139">
        <f>VLOOKUP($B35,NetPos[#All],4,0)</f>
        <v>0</v>
      </c>
      <c r="H35" s="139">
        <f>VLOOKUP($B35,NetPos[#All],2,0)</f>
        <v>0</v>
      </c>
      <c r="I35" s="140">
        <f t="shared" si="2"/>
        <v>-70449951.969999999</v>
      </c>
    </row>
    <row r="36" spans="2:9" x14ac:dyDescent="0.25">
      <c r="B36" s="12" t="s">
        <v>121</v>
      </c>
      <c r="C36" s="8" t="s">
        <v>24</v>
      </c>
      <c r="D36" s="139">
        <f>VLOOKUP($B36,NetPos[#All],3,0)</f>
        <v>101876945</v>
      </c>
      <c r="E36" s="139">
        <f>VLOOKUP($B36,NetPos[#All],6,0)</f>
        <v>37128.280000000028</v>
      </c>
      <c r="F36" s="139">
        <f>VLOOKUP($B36,NetPos[#All],5,0)</f>
        <v>0</v>
      </c>
      <c r="G36" s="139">
        <f>VLOOKUP($B36,NetPos[#All],4,0)</f>
        <v>0</v>
      </c>
      <c r="H36" s="139">
        <f>VLOOKUP($B36,NetPos[#All],2,0)</f>
        <v>0</v>
      </c>
      <c r="I36" s="142">
        <f>SUM(I27:I35)</f>
        <v>101914073.28000003</v>
      </c>
    </row>
    <row r="37" spans="2:9" x14ac:dyDescent="0.25">
      <c r="B37" s="12" t="s">
        <v>129</v>
      </c>
      <c r="C37" s="3" t="s">
        <v>25</v>
      </c>
      <c r="D37" s="139">
        <f>VLOOKUP($B37,NetPos[#All],3,0)</f>
        <v>4969153.46</v>
      </c>
      <c r="E37" s="139">
        <f>VLOOKUP($B37,NetPos[#All],6,0)</f>
        <v>0</v>
      </c>
      <c r="F37" s="139">
        <f>VLOOKUP($B37,NetPos[#All],5,0)</f>
        <v>0</v>
      </c>
      <c r="G37" s="139">
        <f>VLOOKUP($B37,NetPos[#All],4,0)</f>
        <v>0</v>
      </c>
      <c r="H37" s="139">
        <f>VLOOKUP($B37,NetPos[#All],2,0)</f>
        <v>0</v>
      </c>
      <c r="I37" s="140">
        <f t="shared" ref="I37:I42" si="3">SUM(D37:H37)</f>
        <v>4969153.46</v>
      </c>
    </row>
    <row r="38" spans="2:9" x14ac:dyDescent="0.25">
      <c r="B38" s="12" t="s">
        <v>122</v>
      </c>
      <c r="C38" s="3" t="s">
        <v>26</v>
      </c>
      <c r="D38" s="139">
        <f>VLOOKUP($B38,NetPos[#All],3,0)</f>
        <v>0</v>
      </c>
      <c r="E38" s="139">
        <f>VLOOKUP($B38,NetPos[#All],6,0)</f>
        <v>0</v>
      </c>
      <c r="F38" s="139">
        <f>VLOOKUP($B38,NetPos[#All],5,0)</f>
        <v>0</v>
      </c>
      <c r="G38" s="139">
        <f>VLOOKUP($B38,NetPos[#All],4,0)</f>
        <v>0</v>
      </c>
      <c r="H38" s="139">
        <f>VLOOKUP($B38,NetPos[#All],2,0)</f>
        <v>0</v>
      </c>
      <c r="I38" s="140">
        <f t="shared" si="3"/>
        <v>0</v>
      </c>
    </row>
    <row r="39" spans="2:9" x14ac:dyDescent="0.25">
      <c r="B39" s="12" t="s">
        <v>123</v>
      </c>
      <c r="C39" s="2" t="s">
        <v>27</v>
      </c>
      <c r="D39" s="139">
        <f>VLOOKUP($B39,NetPos[#All],3,0)</f>
        <v>4083813.2800000003</v>
      </c>
      <c r="E39" s="139">
        <f>VLOOKUP($B39,NetPos[#All],6,0)</f>
        <v>0</v>
      </c>
      <c r="F39" s="139">
        <f>VLOOKUP($B39,NetPos[#All],5,0)</f>
        <v>0</v>
      </c>
      <c r="G39" s="139">
        <f>VLOOKUP($B39,NetPos[#All],4,0)</f>
        <v>0</v>
      </c>
      <c r="H39" s="139">
        <f>VLOOKUP($B39,NetPos[#All],2,0)</f>
        <v>0</v>
      </c>
      <c r="I39" s="140">
        <f t="shared" si="3"/>
        <v>4083813.2800000003</v>
      </c>
    </row>
    <row r="40" spans="2:9" x14ac:dyDescent="0.25">
      <c r="B40" s="12" t="s">
        <v>124</v>
      </c>
      <c r="C40" s="3" t="s">
        <v>28</v>
      </c>
      <c r="D40" s="139">
        <f>VLOOKUP($B40,NetPos[#All],3,0)</f>
        <v>0</v>
      </c>
      <c r="E40" s="139">
        <f>VLOOKUP($B40,NetPos[#All],6,0)</f>
        <v>0</v>
      </c>
      <c r="F40" s="139">
        <f>VLOOKUP($B40,NetPos[#All],5,0)</f>
        <v>0</v>
      </c>
      <c r="G40" s="139">
        <f>VLOOKUP($B40,NetPos[#All],4,0)</f>
        <v>0</v>
      </c>
      <c r="H40" s="139">
        <f>VLOOKUP($B40,NetPos[#All],2,0)</f>
        <v>0</v>
      </c>
      <c r="I40" s="140">
        <f t="shared" si="3"/>
        <v>0</v>
      </c>
    </row>
    <row r="41" spans="2:9" x14ac:dyDescent="0.25">
      <c r="B41" s="12" t="s">
        <v>125</v>
      </c>
      <c r="C41" s="3" t="s">
        <v>89</v>
      </c>
      <c r="D41" s="139">
        <f>VLOOKUP($B41,NetPos[#All],3,0)</f>
        <v>13823157.060000001</v>
      </c>
      <c r="E41" s="139">
        <f>VLOOKUP($B41,NetPos[#All],6,0)</f>
        <v>29401.98</v>
      </c>
      <c r="F41" s="139">
        <f>VLOOKUP($B41,NetPos[#All],5,0)</f>
        <v>9417.6299999999992</v>
      </c>
      <c r="G41" s="139">
        <f>VLOOKUP($B41,NetPos[#All],4,0)</f>
        <v>20836.89</v>
      </c>
      <c r="H41" s="139">
        <f>VLOOKUP($B41,NetPos[#All],2,0)</f>
        <v>27455.439999999999</v>
      </c>
      <c r="I41" s="140">
        <f t="shared" si="3"/>
        <v>13910269.000000002</v>
      </c>
    </row>
    <row r="42" spans="2:9" x14ac:dyDescent="0.25">
      <c r="B42" s="12" t="s">
        <v>126</v>
      </c>
      <c r="C42" s="3" t="s">
        <v>68</v>
      </c>
      <c r="D42" s="139">
        <f>VLOOKUP($B42,NetPos[#All],3,0)</f>
        <v>1048042.11</v>
      </c>
      <c r="E42" s="139">
        <f>VLOOKUP($B42,NetPos[#All],6,0)</f>
        <v>0</v>
      </c>
      <c r="F42" s="139">
        <f>VLOOKUP($B42,NetPos[#All],5,0)</f>
        <v>0</v>
      </c>
      <c r="G42" s="139">
        <f>VLOOKUP($B42,NetPos[#All],4,0)</f>
        <v>0</v>
      </c>
      <c r="H42" s="139">
        <f>VLOOKUP($B42,NetPos[#All],2,0)</f>
        <v>0</v>
      </c>
      <c r="I42" s="140">
        <f t="shared" si="3"/>
        <v>1048042.11</v>
      </c>
    </row>
    <row r="43" spans="2:9" x14ac:dyDescent="0.25">
      <c r="B43" s="12" t="s">
        <v>127</v>
      </c>
      <c r="C43" s="16" t="s">
        <v>29</v>
      </c>
      <c r="D43" s="141">
        <f>SUM(D37:D42)</f>
        <v>23924165.91</v>
      </c>
      <c r="E43" s="141">
        <f t="shared" ref="E43:H43" si="4">SUM(E37:E42)</f>
        <v>29401.98</v>
      </c>
      <c r="F43" s="141">
        <f t="shared" si="4"/>
        <v>9417.6299999999992</v>
      </c>
      <c r="G43" s="141">
        <f t="shared" si="4"/>
        <v>20836.89</v>
      </c>
      <c r="H43" s="141">
        <f t="shared" si="4"/>
        <v>27455.439999999999</v>
      </c>
      <c r="I43" s="142">
        <f>SUM(I36:I42)</f>
        <v>125925351.13000003</v>
      </c>
    </row>
    <row r="44" spans="2:9" x14ac:dyDescent="0.25">
      <c r="C44" s="2"/>
      <c r="D44" s="139"/>
      <c r="E44" s="139"/>
      <c r="F44" s="139"/>
      <c r="G44" s="139"/>
      <c r="H44" s="139"/>
      <c r="I44" s="143"/>
    </row>
    <row r="45" spans="2:9" x14ac:dyDescent="0.25">
      <c r="B45" s="12" t="s">
        <v>155</v>
      </c>
      <c r="C45" s="5" t="s">
        <v>30</v>
      </c>
      <c r="D45" s="146">
        <f t="shared" ref="D45:I45" si="5">D43+D24</f>
        <v>239391264.98000002</v>
      </c>
      <c r="E45" s="146">
        <f t="shared" si="5"/>
        <v>234844985.34999999</v>
      </c>
      <c r="F45" s="146">
        <f t="shared" si="5"/>
        <v>66794056.540000007</v>
      </c>
      <c r="G45" s="146">
        <f t="shared" si="5"/>
        <v>8314374.3799999999</v>
      </c>
      <c r="H45" s="146">
        <f t="shared" si="5"/>
        <v>931537.74999999988</v>
      </c>
      <c r="I45" s="146">
        <f t="shared" si="5"/>
        <v>652190292.28000009</v>
      </c>
    </row>
    <row r="46" spans="2:9" x14ac:dyDescent="0.25">
      <c r="C46" s="9"/>
      <c r="D46" s="139"/>
      <c r="E46" s="139"/>
      <c r="F46" s="139"/>
      <c r="G46" s="139"/>
      <c r="H46" s="139"/>
      <c r="I46" s="143"/>
    </row>
    <row r="47" spans="2:9" x14ac:dyDescent="0.25">
      <c r="C47" s="10" t="s">
        <v>31</v>
      </c>
      <c r="D47" s="145"/>
      <c r="E47" s="145"/>
      <c r="F47" s="145"/>
      <c r="G47" s="145"/>
      <c r="H47" s="145"/>
      <c r="I47" s="144"/>
    </row>
    <row r="48" spans="2:9" x14ac:dyDescent="0.25">
      <c r="B48" s="12" t="s">
        <v>99</v>
      </c>
      <c r="C48" s="3" t="s">
        <v>78</v>
      </c>
      <c r="D48" s="139">
        <f>VLOOKUP($B48,NetPos[#All],3,0)</f>
        <v>286857.01</v>
      </c>
      <c r="E48" s="139">
        <f>VLOOKUP($B48,NetPos[#All],6,0)</f>
        <v>0</v>
      </c>
      <c r="F48" s="139">
        <f>VLOOKUP($B48,NetPos[#All],5,0)</f>
        <v>0</v>
      </c>
      <c r="G48" s="139">
        <f>VLOOKUP($B48,NetPos[#All],4,0)</f>
        <v>0</v>
      </c>
      <c r="H48" s="139">
        <f>VLOOKUP($B48,NetPos[#All],2,0)</f>
        <v>0</v>
      </c>
      <c r="I48" s="140">
        <f>SUM(D48:H48)</f>
        <v>286857.01</v>
      </c>
    </row>
    <row r="49" spans="2:9" x14ac:dyDescent="0.25">
      <c r="B49" s="12" t="s">
        <v>156</v>
      </c>
      <c r="C49" s="3" t="s">
        <v>79</v>
      </c>
      <c r="D49" s="139">
        <f>VLOOKUP($B49,NetPos[#All],3,0)</f>
        <v>50497269.230000004</v>
      </c>
      <c r="E49" s="139">
        <f>VLOOKUP($B49,NetPos[#All],6,0)</f>
        <v>85802.209999999992</v>
      </c>
      <c r="F49" s="139">
        <f>VLOOKUP($B49,NetPos[#All],5,0)</f>
        <v>27482.94</v>
      </c>
      <c r="G49" s="139">
        <f>VLOOKUP($B49,NetPos[#All],4,0)</f>
        <v>60807.19</v>
      </c>
      <c r="H49" s="139">
        <f>VLOOKUP($B49,NetPos[#All],2,0)</f>
        <v>80121.75</v>
      </c>
      <c r="I49" s="140">
        <f>SUM(D49:H49)</f>
        <v>50751483.32</v>
      </c>
    </row>
    <row r="50" spans="2:9" x14ac:dyDescent="0.25">
      <c r="B50" s="12" t="s">
        <v>157</v>
      </c>
      <c r="C50" s="3" t="s">
        <v>80</v>
      </c>
      <c r="D50" s="139">
        <f>VLOOKUP($B50,NetPos[#All],3,0)</f>
        <v>10269388.359999999</v>
      </c>
      <c r="E50" s="139">
        <f>VLOOKUP($B50,NetPos[#All],6,0)</f>
        <v>26993.040000000001</v>
      </c>
      <c r="F50" s="139">
        <f>VLOOKUP($B50,NetPos[#All],5,0)</f>
        <v>4373.4399999999996</v>
      </c>
      <c r="G50" s="139">
        <f>VLOOKUP($B50,NetPos[#All],4,0)</f>
        <v>14484.07</v>
      </c>
      <c r="H50" s="139">
        <f>VLOOKUP($B50,NetPos[#All],2,0)</f>
        <v>29802.1</v>
      </c>
      <c r="I50" s="147">
        <f>SUM(D50:H50)</f>
        <v>10345041.009999998</v>
      </c>
    </row>
    <row r="51" spans="2:9" x14ac:dyDescent="0.25">
      <c r="B51" s="12" t="s">
        <v>158</v>
      </c>
      <c r="C51" s="5" t="s">
        <v>32</v>
      </c>
      <c r="D51" s="141">
        <f>SUM(D48:D50)</f>
        <v>61053514.600000001</v>
      </c>
      <c r="E51" s="141">
        <f t="shared" ref="E51:I51" si="6">SUM(E48:E50)</f>
        <v>112795.25</v>
      </c>
      <c r="F51" s="141">
        <f t="shared" si="6"/>
        <v>31856.379999999997</v>
      </c>
      <c r="G51" s="141">
        <f t="shared" si="6"/>
        <v>75291.260000000009</v>
      </c>
      <c r="H51" s="141">
        <f t="shared" si="6"/>
        <v>109923.85</v>
      </c>
      <c r="I51" s="141">
        <f t="shared" si="6"/>
        <v>61383381.339999996</v>
      </c>
    </row>
    <row r="52" spans="2:9" x14ac:dyDescent="0.25">
      <c r="C52" s="9"/>
      <c r="D52" s="139"/>
      <c r="E52" s="139"/>
      <c r="F52" s="139"/>
      <c r="G52" s="139"/>
      <c r="H52" s="139"/>
      <c r="I52" s="143"/>
    </row>
    <row r="53" spans="2:9" x14ac:dyDescent="0.25">
      <c r="C53" s="10" t="s">
        <v>34</v>
      </c>
      <c r="D53" s="145"/>
      <c r="E53" s="145"/>
      <c r="F53" s="145"/>
      <c r="G53" s="145"/>
      <c r="H53" s="145"/>
      <c r="I53" s="144"/>
    </row>
    <row r="54" spans="2:9" x14ac:dyDescent="0.25">
      <c r="B54" s="12" t="s">
        <v>159</v>
      </c>
      <c r="C54" s="3" t="s">
        <v>35</v>
      </c>
      <c r="D54" s="139">
        <f>VLOOKUP($B54,NetPos[#All],3,0)</f>
        <v>20401802.490000006</v>
      </c>
      <c r="E54" s="139">
        <f>VLOOKUP($B54,NetPos[#All],6,0)</f>
        <v>8141480.04</v>
      </c>
      <c r="F54" s="139">
        <f>VLOOKUP($B54,NetPos[#All],5,0)</f>
        <v>1030478.199999999</v>
      </c>
      <c r="G54" s="139">
        <f>VLOOKUP($B54,NetPos[#All],4,0)</f>
        <v>2666.66</v>
      </c>
      <c r="H54" s="139">
        <f>VLOOKUP($B54,NetPos[#All],2,0)</f>
        <v>15894.56</v>
      </c>
      <c r="I54" s="140">
        <f t="shared" ref="I54:I75" si="7">SUM(D54:H54)</f>
        <v>29592321.950000003</v>
      </c>
    </row>
    <row r="55" spans="2:9" x14ac:dyDescent="0.25">
      <c r="B55" s="12" t="s">
        <v>160</v>
      </c>
      <c r="C55" s="3" t="s">
        <v>36</v>
      </c>
      <c r="D55" s="139">
        <f>VLOOKUP($B55,NetPos[#All],3,0)</f>
        <v>0</v>
      </c>
      <c r="E55" s="139">
        <f>VLOOKUP($B55,NetPos[#All],6,0)</f>
        <v>0</v>
      </c>
      <c r="F55" s="139">
        <f>VLOOKUP($B55,NetPos[#All],5,0)</f>
        <v>1587541.06</v>
      </c>
      <c r="G55" s="139">
        <f>VLOOKUP($B55,NetPos[#All],4,0)</f>
        <v>0</v>
      </c>
      <c r="H55" s="139">
        <f>VLOOKUP($B55,NetPos[#All],2,0)</f>
        <v>0</v>
      </c>
      <c r="I55" s="140">
        <f t="shared" si="7"/>
        <v>1587541.06</v>
      </c>
    </row>
    <row r="56" spans="2:9" x14ac:dyDescent="0.25">
      <c r="B56" s="12" t="s">
        <v>161</v>
      </c>
      <c r="C56" s="3" t="s">
        <v>37</v>
      </c>
      <c r="D56" s="139">
        <f>VLOOKUP($B56,NetPos[#All],3,0)</f>
        <v>58856.45</v>
      </c>
      <c r="E56" s="139">
        <f>VLOOKUP($B56,NetPos[#All],6,0)</f>
        <v>0</v>
      </c>
      <c r="F56" s="139">
        <f>VLOOKUP($B56,NetPos[#All],5,0)</f>
        <v>0</v>
      </c>
      <c r="G56" s="139">
        <f>VLOOKUP($B56,NetPos[#All],4,0)</f>
        <v>0</v>
      </c>
      <c r="H56" s="139">
        <f>VLOOKUP($B56,NetPos[#All],2,0)</f>
        <v>0</v>
      </c>
      <c r="I56" s="140">
        <f t="shared" si="7"/>
        <v>58856.45</v>
      </c>
    </row>
    <row r="57" spans="2:9" x14ac:dyDescent="0.25">
      <c r="B57" s="12" t="s">
        <v>130</v>
      </c>
      <c r="C57" s="3" t="s">
        <v>38</v>
      </c>
      <c r="D57" s="139">
        <f>VLOOKUP($B57,NetPos[#All],3,0)</f>
        <v>101732.67</v>
      </c>
      <c r="E57" s="139">
        <f>VLOOKUP($B57,NetPos[#All],6,0)</f>
        <v>0</v>
      </c>
      <c r="F57" s="139">
        <f>VLOOKUP($B57,NetPos[#All],5,0)</f>
        <v>0</v>
      </c>
      <c r="G57" s="139">
        <f>VLOOKUP($B57,NetPos[#All],4,0)</f>
        <v>0</v>
      </c>
      <c r="H57" s="139">
        <f>VLOOKUP($B57,NetPos[#All],2,0)</f>
        <v>0</v>
      </c>
      <c r="I57" s="140">
        <f t="shared" si="7"/>
        <v>101732.67</v>
      </c>
    </row>
    <row r="58" spans="2:9" x14ac:dyDescent="0.25">
      <c r="B58" s="12" t="s">
        <v>131</v>
      </c>
      <c r="C58" s="3" t="s">
        <v>39</v>
      </c>
      <c r="D58" s="139">
        <f>VLOOKUP($B58,NetPos[#All],3,0)</f>
        <v>977588.34000000008</v>
      </c>
      <c r="E58" s="139">
        <f>VLOOKUP($B58,NetPos[#All],6,0)</f>
        <v>0</v>
      </c>
      <c r="F58" s="139">
        <f>VLOOKUP($B58,NetPos[#All],5,0)</f>
        <v>0</v>
      </c>
      <c r="G58" s="139">
        <f>VLOOKUP($B58,NetPos[#All],4,0)</f>
        <v>0</v>
      </c>
      <c r="H58" s="139">
        <f>VLOOKUP($B58,NetPos[#All],2,0)</f>
        <v>0</v>
      </c>
      <c r="I58" s="140">
        <f t="shared" si="7"/>
        <v>977588.34000000008</v>
      </c>
    </row>
    <row r="59" spans="2:9" x14ac:dyDescent="0.25">
      <c r="B59" s="12" t="s">
        <v>132</v>
      </c>
      <c r="C59" s="3" t="s">
        <v>40</v>
      </c>
      <c r="D59" s="139">
        <f>VLOOKUP($B59,NetPos[#All],3,0)</f>
        <v>885052.95000000007</v>
      </c>
      <c r="E59" s="139">
        <f>VLOOKUP($B59,NetPos[#All],6,0)</f>
        <v>0</v>
      </c>
      <c r="F59" s="139">
        <f>VLOOKUP($B59,NetPos[#All],5,0)</f>
        <v>0</v>
      </c>
      <c r="G59" s="139">
        <f>VLOOKUP($B59,NetPos[#All],4,0)</f>
        <v>0</v>
      </c>
      <c r="H59" s="139">
        <f>VLOOKUP($B59,NetPos[#All],2,0)</f>
        <v>0</v>
      </c>
      <c r="I59" s="140">
        <f t="shared" si="7"/>
        <v>885052.95000000007</v>
      </c>
    </row>
    <row r="60" spans="2:9" x14ac:dyDescent="0.25">
      <c r="B60" s="12" t="s">
        <v>162</v>
      </c>
      <c r="C60" s="3" t="s">
        <v>41</v>
      </c>
      <c r="D60" s="139">
        <f>VLOOKUP($B60,NetPos[#All],3,0)</f>
        <v>-65.59</v>
      </c>
      <c r="E60" s="139">
        <f>VLOOKUP($B60,NetPos[#All],6,0)</f>
        <v>0</v>
      </c>
      <c r="F60" s="139">
        <f>VLOOKUP($B60,NetPos[#All],5,0)</f>
        <v>0</v>
      </c>
      <c r="G60" s="139">
        <f>VLOOKUP($B60,NetPos[#All],4,0)</f>
        <v>0</v>
      </c>
      <c r="H60" s="139">
        <f>VLOOKUP($B60,NetPos[#All],2,0)</f>
        <v>0</v>
      </c>
      <c r="I60" s="140">
        <f t="shared" si="7"/>
        <v>-65.59</v>
      </c>
    </row>
    <row r="61" spans="2:9" x14ac:dyDescent="0.25">
      <c r="B61" s="12" t="s">
        <v>163</v>
      </c>
      <c r="C61" s="3" t="s">
        <v>42</v>
      </c>
      <c r="D61" s="139">
        <f>VLOOKUP($B61,NetPos[#All],3,0)</f>
        <v>0</v>
      </c>
      <c r="E61" s="139">
        <f>VLOOKUP($B61,NetPos[#All],6,0)</f>
        <v>0</v>
      </c>
      <c r="F61" s="139">
        <f>VLOOKUP($B61,NetPos[#All],5,0)</f>
        <v>0</v>
      </c>
      <c r="G61" s="139">
        <f>VLOOKUP($B61,NetPos[#All],4,0)</f>
        <v>0</v>
      </c>
      <c r="H61" s="139">
        <f>VLOOKUP($B61,NetPos[#All],2,0)</f>
        <v>0</v>
      </c>
      <c r="I61" s="140">
        <f t="shared" si="7"/>
        <v>0</v>
      </c>
    </row>
    <row r="62" spans="2:9" x14ac:dyDescent="0.25">
      <c r="B62" s="12" t="s">
        <v>164</v>
      </c>
      <c r="C62" s="3" t="s">
        <v>43</v>
      </c>
      <c r="D62" s="139">
        <f>VLOOKUP($B62,NetPos[#All],3,0)</f>
        <v>18388773.329087261</v>
      </c>
      <c r="E62" s="139">
        <f>VLOOKUP($B62,NetPos[#All],6,0)</f>
        <v>51873.950340851785</v>
      </c>
      <c r="F62" s="139">
        <f>VLOOKUP($B62,NetPos[#All],5,0)</f>
        <v>15830.711533970234</v>
      </c>
      <c r="G62" s="139">
        <f>VLOOKUP($B62,NetPos[#All],4,0)</f>
        <v>39794.415094954209</v>
      </c>
      <c r="H62" s="139">
        <f>VLOOKUP($B62,NetPos[#All],2,0)</f>
        <v>20527.534745010988</v>
      </c>
      <c r="I62" s="140">
        <f t="shared" si="7"/>
        <v>18516799.940802049</v>
      </c>
    </row>
    <row r="63" spans="2:9" x14ac:dyDescent="0.25">
      <c r="B63" s="12" t="s">
        <v>165</v>
      </c>
      <c r="C63" s="3" t="s">
        <v>95</v>
      </c>
      <c r="D63" s="139">
        <f>VLOOKUP($B63,NetPos[#All],3,0)</f>
        <v>0</v>
      </c>
      <c r="E63" s="139">
        <f>VLOOKUP($B63,NetPos[#All],6,0)</f>
        <v>75982.820000000007</v>
      </c>
      <c r="F63" s="139">
        <f>VLOOKUP($B63,NetPos[#All],5,0)</f>
        <v>18282.080000000002</v>
      </c>
      <c r="G63" s="139">
        <f>VLOOKUP($B63,NetPos[#All],4,0)</f>
        <v>42992.34</v>
      </c>
      <c r="H63" s="139">
        <f>VLOOKUP($B63,NetPos[#All],2,0)</f>
        <v>261687.32</v>
      </c>
      <c r="I63" s="140">
        <f t="shared" si="7"/>
        <v>398944.56</v>
      </c>
    </row>
    <row r="64" spans="2:9" x14ac:dyDescent="0.25">
      <c r="B64" s="12" t="s">
        <v>166</v>
      </c>
      <c r="C64" s="3" t="s">
        <v>96</v>
      </c>
      <c r="D64" s="139">
        <f>VLOOKUP($B64,NetPos[#All],3,0)</f>
        <v>1403760.000138286</v>
      </c>
      <c r="E64" s="139">
        <f>VLOOKUP($B64,NetPos[#All],6,0)</f>
        <v>2126.18487741935</v>
      </c>
      <c r="F64" s="139">
        <f>VLOOKUP($B64,NetPos[#All],5,0)</f>
        <v>344.4864</v>
      </c>
      <c r="G64" s="139">
        <f>VLOOKUP($B64,NetPos[#All],4,0)</f>
        <v>1140.87969032258</v>
      </c>
      <c r="H64" s="139">
        <f>VLOOKUP($B64,NetPos[#All],2,0)</f>
        <v>2347.4499999999998</v>
      </c>
      <c r="I64" s="140">
        <f t="shared" si="7"/>
        <v>1409719.001106028</v>
      </c>
    </row>
    <row r="65" spans="2:9" x14ac:dyDescent="0.25">
      <c r="B65" s="12" t="s">
        <v>167</v>
      </c>
      <c r="C65" s="3" t="s">
        <v>44</v>
      </c>
      <c r="D65" s="139">
        <f>VLOOKUP($B65,NetPos[#All],3,0)</f>
        <v>2897415.23</v>
      </c>
      <c r="E65" s="139">
        <f>VLOOKUP($B65,NetPos[#All],6,0)</f>
        <v>0</v>
      </c>
      <c r="F65" s="139">
        <f>VLOOKUP($B65,NetPos[#All],5,0)</f>
        <v>0</v>
      </c>
      <c r="G65" s="139">
        <f>VLOOKUP($B65,NetPos[#All],4,0)</f>
        <v>0</v>
      </c>
      <c r="H65" s="139">
        <f>VLOOKUP($B65,NetPos[#All],2,0)</f>
        <v>0</v>
      </c>
      <c r="I65" s="140">
        <f t="shared" si="7"/>
        <v>2897415.23</v>
      </c>
    </row>
    <row r="66" spans="2:9" x14ac:dyDescent="0.25">
      <c r="B66" s="12" t="s">
        <v>168</v>
      </c>
      <c r="C66" s="3" t="s">
        <v>86</v>
      </c>
      <c r="D66" s="139">
        <f>VLOOKUP($B66,NetPos[#All],3,0)</f>
        <v>1346796.8</v>
      </c>
      <c r="E66" s="139">
        <f>VLOOKUP($B66,NetPos[#All],6,0)</f>
        <v>0</v>
      </c>
      <c r="F66" s="139">
        <f>VLOOKUP($B66,NetPos[#All],5,0)</f>
        <v>0</v>
      </c>
      <c r="G66" s="139">
        <f>VLOOKUP($B66,NetPos[#All],4,0)</f>
        <v>0</v>
      </c>
      <c r="H66" s="139">
        <f>VLOOKUP($B66,NetPos[#All],2,0)</f>
        <v>0</v>
      </c>
      <c r="I66" s="140">
        <f t="shared" si="7"/>
        <v>1346796.8</v>
      </c>
    </row>
    <row r="67" spans="2:9" x14ac:dyDescent="0.25">
      <c r="B67" s="12" t="s">
        <v>133</v>
      </c>
      <c r="C67" s="3" t="s">
        <v>45</v>
      </c>
      <c r="D67" s="139">
        <f>VLOOKUP($B67,NetPos[#All],3,0)</f>
        <v>0</v>
      </c>
      <c r="E67" s="139">
        <f>VLOOKUP($B67,NetPos[#All],6,0)</f>
        <v>0</v>
      </c>
      <c r="F67" s="139">
        <f>VLOOKUP($B67,NetPos[#All],5,0)</f>
        <v>0</v>
      </c>
      <c r="G67" s="139">
        <f>VLOOKUP($B67,NetPos[#All],4,0)</f>
        <v>0</v>
      </c>
      <c r="H67" s="139">
        <f>VLOOKUP($B67,NetPos[#All],2,0)</f>
        <v>0</v>
      </c>
      <c r="I67" s="140">
        <f t="shared" si="7"/>
        <v>0</v>
      </c>
    </row>
    <row r="68" spans="2:9" x14ac:dyDescent="0.25">
      <c r="B68" s="12" t="s">
        <v>134</v>
      </c>
      <c r="C68" s="6" t="s">
        <v>46</v>
      </c>
      <c r="D68" s="139">
        <f>VLOOKUP($B68,NetPos[#All],3,0)</f>
        <v>0</v>
      </c>
      <c r="E68" s="139">
        <f>VLOOKUP($B68,NetPos[#All],6,0)</f>
        <v>13040456.42</v>
      </c>
      <c r="F68" s="139">
        <f>VLOOKUP($B68,NetPos[#All],5,0)</f>
        <v>1108196.6400000001</v>
      </c>
      <c r="G68" s="139">
        <f>VLOOKUP($B68,NetPos[#All],4,0)</f>
        <v>975329</v>
      </c>
      <c r="H68" s="139">
        <f>VLOOKUP($B68,NetPos[#All],2,0)</f>
        <v>0</v>
      </c>
      <c r="I68" s="140">
        <f t="shared" si="7"/>
        <v>15123982.060000001</v>
      </c>
    </row>
    <row r="69" spans="2:9" x14ac:dyDescent="0.25">
      <c r="B69" s="12" t="s">
        <v>135</v>
      </c>
      <c r="C69" s="6" t="s">
        <v>47</v>
      </c>
      <c r="D69" s="139">
        <f>VLOOKUP($B69,NetPos[#All],3,0)</f>
        <v>16411.13</v>
      </c>
      <c r="E69" s="139">
        <f>VLOOKUP($B69,NetPos[#All],6,0)</f>
        <v>12096322.829999998</v>
      </c>
      <c r="F69" s="139">
        <f>VLOOKUP($B69,NetPos[#All],5,0)</f>
        <v>1183349.6200000001</v>
      </c>
      <c r="G69" s="139">
        <f>VLOOKUP($B69,NetPos[#All],4,0)</f>
        <v>325823</v>
      </c>
      <c r="H69" s="139">
        <f>VLOOKUP($B69,NetPos[#All],2,0)</f>
        <v>0</v>
      </c>
      <c r="I69" s="140">
        <f t="shared" si="7"/>
        <v>13621906.579999998</v>
      </c>
    </row>
    <row r="70" spans="2:9" x14ac:dyDescent="0.25">
      <c r="B70" s="12" t="s">
        <v>136</v>
      </c>
      <c r="C70" s="6" t="s">
        <v>48</v>
      </c>
      <c r="D70" s="139">
        <f>VLOOKUP($B70,NetPos[#All],3,0)</f>
        <v>0</v>
      </c>
      <c r="E70" s="139">
        <f>VLOOKUP($B70,NetPos[#All],6,0)</f>
        <v>5818162.29</v>
      </c>
      <c r="F70" s="139">
        <f>VLOOKUP($B70,NetPos[#All],5,0)</f>
        <v>86000</v>
      </c>
      <c r="G70" s="139">
        <f>VLOOKUP($B70,NetPos[#All],4,0)</f>
        <v>0</v>
      </c>
      <c r="H70" s="139">
        <f>VLOOKUP($B70,NetPos[#All],2,0)</f>
        <v>0</v>
      </c>
      <c r="I70" s="140">
        <f t="shared" si="7"/>
        <v>5904162.29</v>
      </c>
    </row>
    <row r="71" spans="2:9" x14ac:dyDescent="0.25">
      <c r="B71" s="12" t="s">
        <v>137</v>
      </c>
      <c r="C71" s="6" t="s">
        <v>49</v>
      </c>
      <c r="D71" s="139">
        <f>VLOOKUP($B71,NetPos[#All],3,0)</f>
        <v>0</v>
      </c>
      <c r="E71" s="139">
        <f>VLOOKUP($B71,NetPos[#All],6,0)</f>
        <v>4529403</v>
      </c>
      <c r="F71" s="139">
        <f>VLOOKUP($B71,NetPos[#All],5,0)</f>
        <v>0</v>
      </c>
      <c r="G71" s="139">
        <f>VLOOKUP($B71,NetPos[#All],4,0)</f>
        <v>0</v>
      </c>
      <c r="H71" s="139">
        <f>VLOOKUP($B71,NetPos[#All],2,0)</f>
        <v>0</v>
      </c>
      <c r="I71" s="140">
        <f t="shared" si="7"/>
        <v>4529403</v>
      </c>
    </row>
    <row r="72" spans="2:9" x14ac:dyDescent="0.25">
      <c r="B72" s="12" t="s">
        <v>138</v>
      </c>
      <c r="C72" s="3" t="s">
        <v>50</v>
      </c>
      <c r="D72" s="139">
        <f>VLOOKUP($B72,NetPos[#All],3,0)</f>
        <v>-3003.36</v>
      </c>
      <c r="E72" s="139">
        <f>VLOOKUP($B72,NetPos[#All],6,0)</f>
        <v>0</v>
      </c>
      <c r="F72" s="139">
        <f>VLOOKUP($B72,NetPos[#All],5,0)</f>
        <v>0</v>
      </c>
      <c r="G72" s="139">
        <f>VLOOKUP($B72,NetPos[#All],4,0)</f>
        <v>0</v>
      </c>
      <c r="H72" s="139">
        <f>VLOOKUP($B72,NetPos[#All],2,0)</f>
        <v>0</v>
      </c>
      <c r="I72" s="140">
        <f t="shared" si="7"/>
        <v>-3003.36</v>
      </c>
    </row>
    <row r="73" spans="2:9" x14ac:dyDescent="0.25">
      <c r="B73" s="12" t="s">
        <v>139</v>
      </c>
      <c r="C73" s="3" t="s">
        <v>51</v>
      </c>
      <c r="D73" s="139">
        <f>VLOOKUP($B73,NetPos[#All],3,0)</f>
        <v>4684108.4400000004</v>
      </c>
      <c r="E73" s="139">
        <f>VLOOKUP($B73,NetPos[#All],6,0)</f>
        <v>0</v>
      </c>
      <c r="F73" s="139">
        <f>VLOOKUP($B73,NetPos[#All],5,0)</f>
        <v>0</v>
      </c>
      <c r="G73" s="139">
        <f>VLOOKUP($B73,NetPos[#All],4,0)</f>
        <v>0</v>
      </c>
      <c r="H73" s="139">
        <f>VLOOKUP($B73,NetPos[#All],2,0)</f>
        <v>0</v>
      </c>
      <c r="I73" s="140">
        <f t="shared" si="7"/>
        <v>4684108.4400000004</v>
      </c>
    </row>
    <row r="74" spans="2:9" x14ac:dyDescent="0.25">
      <c r="B74" s="12" t="s">
        <v>140</v>
      </c>
      <c r="C74" s="3" t="s">
        <v>52</v>
      </c>
      <c r="D74" s="139">
        <f>VLOOKUP($B74,NetPos[#All],3,0)</f>
        <v>0</v>
      </c>
      <c r="E74" s="139">
        <f>VLOOKUP($B74,NetPos[#All],6,0)</f>
        <v>0</v>
      </c>
      <c r="F74" s="139">
        <f>VLOOKUP($B74,NetPos[#All],5,0)</f>
        <v>195441</v>
      </c>
      <c r="G74" s="139">
        <f>VLOOKUP($B74,NetPos[#All],4,0)</f>
        <v>0</v>
      </c>
      <c r="H74" s="139">
        <f>VLOOKUP($B74,NetPos[#All],2,0)</f>
        <v>0</v>
      </c>
      <c r="I74" s="140">
        <f t="shared" si="7"/>
        <v>195441</v>
      </c>
    </row>
    <row r="75" spans="2:9" x14ac:dyDescent="0.25">
      <c r="B75" s="12" t="s">
        <v>141</v>
      </c>
      <c r="C75" s="3" t="s">
        <v>53</v>
      </c>
      <c r="D75" s="139">
        <f>VLOOKUP($B75,NetPos[#All],3,0)</f>
        <v>18684.23</v>
      </c>
      <c r="E75" s="139">
        <f>VLOOKUP($B75,NetPos[#All],6,0)</f>
        <v>0</v>
      </c>
      <c r="F75" s="139">
        <f>VLOOKUP($B75,NetPos[#All],5,0)</f>
        <v>0</v>
      </c>
      <c r="G75" s="139">
        <f>VLOOKUP($B75,NetPos[#All],4,0)</f>
        <v>0</v>
      </c>
      <c r="H75" s="139">
        <f>VLOOKUP($B75,NetPos[#All],2,0)</f>
        <v>0</v>
      </c>
      <c r="I75" s="140">
        <f t="shared" si="7"/>
        <v>18684.23</v>
      </c>
    </row>
    <row r="76" spans="2:9" x14ac:dyDescent="0.25">
      <c r="B76" s="12" t="s">
        <v>142</v>
      </c>
      <c r="C76" s="5" t="s">
        <v>54</v>
      </c>
      <c r="D76" s="141">
        <f t="shared" ref="D76:I76" si="8">SUM(D54:D75)</f>
        <v>51177913.109225541</v>
      </c>
      <c r="E76" s="141">
        <f t="shared" si="8"/>
        <v>43755807.535218269</v>
      </c>
      <c r="F76" s="141">
        <f t="shared" si="8"/>
        <v>5225463.7979339696</v>
      </c>
      <c r="G76" s="141">
        <f t="shared" si="8"/>
        <v>1387746.2947852768</v>
      </c>
      <c r="H76" s="141">
        <f t="shared" si="8"/>
        <v>300456.86474501103</v>
      </c>
      <c r="I76" s="142">
        <f t="shared" si="8"/>
        <v>101847387.60190809</v>
      </c>
    </row>
    <row r="77" spans="2:9" x14ac:dyDescent="0.25">
      <c r="C77" s="4"/>
      <c r="D77" s="139"/>
      <c r="E77" s="139"/>
      <c r="F77" s="139"/>
      <c r="G77" s="139"/>
      <c r="H77" s="139"/>
      <c r="I77" s="143"/>
    </row>
    <row r="78" spans="2:9" x14ac:dyDescent="0.25">
      <c r="C78" s="10" t="s">
        <v>55</v>
      </c>
      <c r="D78" s="145"/>
      <c r="E78" s="145"/>
      <c r="F78" s="145"/>
      <c r="G78" s="145"/>
      <c r="H78" s="145"/>
      <c r="I78" s="144"/>
    </row>
    <row r="79" spans="2:9" x14ac:dyDescent="0.25">
      <c r="B79" s="12" t="s">
        <v>143</v>
      </c>
      <c r="C79" s="3" t="s">
        <v>69</v>
      </c>
      <c r="D79" s="139">
        <f>VLOOKUP($B79,NetPos[#All],3,0)</f>
        <v>12575728.75</v>
      </c>
      <c r="E79" s="139">
        <f>VLOOKUP($B79,NetPos[#All],6,0)</f>
        <v>108349.24506822607</v>
      </c>
      <c r="F79" s="139">
        <f>VLOOKUP($B79,NetPos[#All],5,0)</f>
        <v>41495.367944890153</v>
      </c>
      <c r="G79" s="139">
        <f>VLOOKUP($B79,NetPos[#All],4,0)</f>
        <v>80366.686602708287</v>
      </c>
      <c r="H79" s="139">
        <f>VLOOKUP($B79,NetPos[#All],2,0)</f>
        <v>19980.595396284694</v>
      </c>
      <c r="I79" s="140">
        <f t="shared" ref="I79:I91" si="9">SUM(D79:H79)</f>
        <v>12825920.645012109</v>
      </c>
    </row>
    <row r="80" spans="2:9" x14ac:dyDescent="0.25">
      <c r="B80" s="12" t="s">
        <v>144</v>
      </c>
      <c r="C80" s="3" t="s">
        <v>81</v>
      </c>
      <c r="D80" s="139">
        <f>VLOOKUP($B80,NetPos[#All],3,0)</f>
        <v>245203.39</v>
      </c>
      <c r="E80" s="139">
        <f>VLOOKUP($B80,NetPos[#All],6,0)</f>
        <v>0</v>
      </c>
      <c r="F80" s="139">
        <f>VLOOKUP($B80,NetPos[#All],5,0)</f>
        <v>0</v>
      </c>
      <c r="G80" s="139">
        <f>VLOOKUP($B80,NetPos[#All],4,0)</f>
        <v>0</v>
      </c>
      <c r="H80" s="139">
        <f>VLOOKUP($B80,NetPos[#All],2,0)</f>
        <v>0</v>
      </c>
      <c r="I80" s="140">
        <f t="shared" si="9"/>
        <v>245203.39</v>
      </c>
    </row>
    <row r="81" spans="2:9" x14ac:dyDescent="0.25">
      <c r="B81" s="12" t="s">
        <v>145</v>
      </c>
      <c r="C81" s="3" t="s">
        <v>70</v>
      </c>
      <c r="D81" s="139">
        <f>VLOOKUP($B81,NetPos[#All],3,0)</f>
        <v>1014328.21</v>
      </c>
      <c r="E81" s="139">
        <f>VLOOKUP($B81,NetPos[#All],6,0)</f>
        <v>0</v>
      </c>
      <c r="F81" s="139">
        <f>VLOOKUP($B81,NetPos[#All],5,0)</f>
        <v>0</v>
      </c>
      <c r="G81" s="139">
        <f>VLOOKUP($B81,NetPos[#All],4,0)</f>
        <v>0</v>
      </c>
      <c r="H81" s="139">
        <f>VLOOKUP($B81,NetPos[#All],2,0)</f>
        <v>0</v>
      </c>
      <c r="I81" s="140">
        <f t="shared" si="9"/>
        <v>1014328.21</v>
      </c>
    </row>
    <row r="82" spans="2:9" x14ac:dyDescent="0.25">
      <c r="B82" s="12" t="s">
        <v>146</v>
      </c>
      <c r="C82" s="3" t="s">
        <v>71</v>
      </c>
      <c r="D82" s="139">
        <f>VLOOKUP($B82,NetPos[#All],3,0)</f>
        <v>0</v>
      </c>
      <c r="E82" s="139">
        <f>VLOOKUP($B82,NetPos[#All],6,0)</f>
        <v>0</v>
      </c>
      <c r="F82" s="139">
        <f>VLOOKUP($B82,NetPos[#All],5,0)</f>
        <v>0</v>
      </c>
      <c r="G82" s="139">
        <f>VLOOKUP($B82,NetPos[#All],4,0)</f>
        <v>0</v>
      </c>
      <c r="H82" s="139">
        <f>VLOOKUP($B82,NetPos[#All],2,0)</f>
        <v>0</v>
      </c>
      <c r="I82" s="140">
        <f t="shared" si="9"/>
        <v>0</v>
      </c>
    </row>
    <row r="83" spans="2:9" x14ac:dyDescent="0.25">
      <c r="B83" s="12" t="s">
        <v>147</v>
      </c>
      <c r="C83" s="6" t="s">
        <v>72</v>
      </c>
      <c r="D83" s="139">
        <f>VLOOKUP($B83,NetPos[#All],3,0)</f>
        <v>0</v>
      </c>
      <c r="E83" s="139">
        <f>VLOOKUP($B83,NetPos[#All],6,0)</f>
        <v>23478547.75</v>
      </c>
      <c r="F83" s="139">
        <f>VLOOKUP($B83,NetPos[#All],5,0)</f>
        <v>754248.71000000008</v>
      </c>
      <c r="G83" s="139">
        <f>VLOOKUP($B83,NetPos[#All],4,0)</f>
        <v>1002225</v>
      </c>
      <c r="H83" s="139">
        <f>VLOOKUP($B83,NetPos[#All],2,0)</f>
        <v>0</v>
      </c>
      <c r="I83" s="140">
        <f t="shared" si="9"/>
        <v>25235021.460000001</v>
      </c>
    </row>
    <row r="84" spans="2:9" x14ac:dyDescent="0.25">
      <c r="B84" s="12" t="s">
        <v>148</v>
      </c>
      <c r="C84" s="6" t="s">
        <v>73</v>
      </c>
      <c r="D84" s="139">
        <f>VLOOKUP($B84,NetPos[#All],3,0)</f>
        <v>0</v>
      </c>
      <c r="E84" s="139">
        <f>VLOOKUP($B84,NetPos[#All],6,0)</f>
        <v>15120214.459999997</v>
      </c>
      <c r="F84" s="139">
        <f>VLOOKUP($B84,NetPos[#All],5,0)</f>
        <v>20094</v>
      </c>
      <c r="G84" s="139">
        <f>VLOOKUP($B84,NetPos[#All],4,0)</f>
        <v>960778</v>
      </c>
      <c r="H84" s="139">
        <f>VLOOKUP($B84,NetPos[#All],2,0)</f>
        <v>0</v>
      </c>
      <c r="I84" s="140">
        <f t="shared" si="9"/>
        <v>16101086.459999997</v>
      </c>
    </row>
    <row r="85" spans="2:9" x14ac:dyDescent="0.25">
      <c r="B85" s="12" t="s">
        <v>149</v>
      </c>
      <c r="C85" s="6" t="s">
        <v>74</v>
      </c>
      <c r="D85" s="139">
        <f>VLOOKUP($B85,NetPos[#All],3,0)</f>
        <v>0</v>
      </c>
      <c r="E85" s="139">
        <f>VLOOKUP($B85,NetPos[#All],6,0)</f>
        <v>1302165.54</v>
      </c>
      <c r="F85" s="139">
        <f>VLOOKUP($B85,NetPos[#All],5,0)</f>
        <v>185000.25</v>
      </c>
      <c r="G85" s="139">
        <f>VLOOKUP($B85,NetPos[#All],4,0)</f>
        <v>250000</v>
      </c>
      <c r="H85" s="139">
        <f>VLOOKUP($B85,NetPos[#All],2,0)</f>
        <v>0</v>
      </c>
      <c r="I85" s="140">
        <f t="shared" si="9"/>
        <v>1737165.79</v>
      </c>
    </row>
    <row r="86" spans="2:9" x14ac:dyDescent="0.25">
      <c r="B86" s="12" t="s">
        <v>150</v>
      </c>
      <c r="C86" s="6" t="s">
        <v>75</v>
      </c>
      <c r="D86" s="139">
        <f>VLOOKUP($B86,NetPos[#All],3,0)</f>
        <v>0</v>
      </c>
      <c r="E86" s="139">
        <f>VLOOKUP($B86,NetPos[#All],6,0)</f>
        <v>1848641.92</v>
      </c>
      <c r="F86" s="139">
        <f>VLOOKUP($B86,NetPos[#All],5,0)</f>
        <v>0</v>
      </c>
      <c r="G86" s="139">
        <f>VLOOKUP($B86,NetPos[#All],4,0)</f>
        <v>0</v>
      </c>
      <c r="H86" s="139">
        <f>VLOOKUP($B86,NetPos[#All],2,0)</f>
        <v>0</v>
      </c>
      <c r="I86" s="140">
        <f t="shared" si="9"/>
        <v>1848641.92</v>
      </c>
    </row>
    <row r="87" spans="2:9" x14ac:dyDescent="0.25">
      <c r="B87" s="12" t="s">
        <v>151</v>
      </c>
      <c r="C87" s="3" t="s">
        <v>56</v>
      </c>
      <c r="D87" s="139">
        <f>VLOOKUP($B87,NetPos[#All],3,0)</f>
        <v>14972193.17</v>
      </c>
      <c r="E87" s="139">
        <f>VLOOKUP($B87,NetPos[#All],6,0)</f>
        <v>23608.5</v>
      </c>
      <c r="F87" s="139">
        <f>VLOOKUP($B87,NetPos[#All],5,0)</f>
        <v>7561.94</v>
      </c>
      <c r="G87" s="139">
        <f>VLOOKUP($B87,NetPos[#All],4,0)</f>
        <v>16731.11</v>
      </c>
      <c r="H87" s="139">
        <f>VLOOKUP($B87,NetPos[#All],2,0)</f>
        <v>22045.52</v>
      </c>
      <c r="I87" s="140">
        <f t="shared" si="9"/>
        <v>15042140.239999998</v>
      </c>
    </row>
    <row r="88" spans="2:9" x14ac:dyDescent="0.25">
      <c r="B88" s="12" t="s">
        <v>152</v>
      </c>
      <c r="C88" s="3" t="s">
        <v>82</v>
      </c>
      <c r="D88" s="139">
        <f>VLOOKUP($B88,NetPos[#All],3,0)</f>
        <v>49416796.100000001</v>
      </c>
      <c r="E88" s="139">
        <f>VLOOKUP($B88,NetPos[#All],6,0)</f>
        <v>81539.995870967701</v>
      </c>
      <c r="F88" s="139">
        <f>VLOOKUP($B88,NetPos[#All],5,0)</f>
        <v>13211.183999999999</v>
      </c>
      <c r="G88" s="139">
        <f>VLOOKUP($B88,NetPos[#All],4,0)</f>
        <v>43753.168516129001</v>
      </c>
      <c r="H88" s="139">
        <f>VLOOKUP($B88,NetPos[#All],2,0)</f>
        <v>90025.55</v>
      </c>
      <c r="I88" s="140">
        <f t="shared" si="9"/>
        <v>49645325.998387098</v>
      </c>
    </row>
    <row r="89" spans="2:9" x14ac:dyDescent="0.25">
      <c r="B89" s="12" t="s">
        <v>169</v>
      </c>
      <c r="C89" s="3" t="s">
        <v>76</v>
      </c>
      <c r="D89" s="139">
        <f>VLOOKUP($B89,NetPos[#All],3,0)</f>
        <v>10196687.42</v>
      </c>
      <c r="E89" s="139">
        <f>VLOOKUP($B89,NetPos[#All],6,0)</f>
        <v>0</v>
      </c>
      <c r="F89" s="139">
        <f>VLOOKUP($B89,NetPos[#All],5,0)</f>
        <v>0</v>
      </c>
      <c r="G89" s="139">
        <f>VLOOKUP($B89,NetPos[#All],4,0)</f>
        <v>0</v>
      </c>
      <c r="H89" s="139">
        <f>VLOOKUP($B89,NetPos[#All],2,0)</f>
        <v>0</v>
      </c>
      <c r="I89" s="140">
        <f t="shared" si="9"/>
        <v>10196687.42</v>
      </c>
    </row>
    <row r="90" spans="2:9" x14ac:dyDescent="0.25">
      <c r="B90" s="12" t="s">
        <v>170</v>
      </c>
      <c r="C90" s="3" t="s">
        <v>87</v>
      </c>
      <c r="D90" s="139">
        <f>VLOOKUP($B90,NetPos[#All],3,0)</f>
        <v>9330251.8100000005</v>
      </c>
      <c r="E90" s="139">
        <f>VLOOKUP($B90,NetPos[#All],6,0)</f>
        <v>0</v>
      </c>
      <c r="F90" s="139">
        <f>VLOOKUP($B90,NetPos[#All],5,0)</f>
        <v>0</v>
      </c>
      <c r="G90" s="139">
        <f>VLOOKUP($B90,NetPos[#All],4,0)</f>
        <v>0</v>
      </c>
      <c r="H90" s="139">
        <f>VLOOKUP($B90,NetPos[#All],2,0)</f>
        <v>0</v>
      </c>
      <c r="I90" s="140">
        <f t="shared" si="9"/>
        <v>9330251.8100000005</v>
      </c>
    </row>
    <row r="91" spans="2:9" x14ac:dyDescent="0.25">
      <c r="B91" s="12" t="s">
        <v>171</v>
      </c>
      <c r="C91" s="3" t="s">
        <v>77</v>
      </c>
      <c r="D91" s="139">
        <f>VLOOKUP($B91,NetPos[#All],3,0)</f>
        <v>0</v>
      </c>
      <c r="E91" s="139">
        <f>VLOOKUP($B91,NetPos[#All],6,0)</f>
        <v>0</v>
      </c>
      <c r="F91" s="139">
        <f>VLOOKUP($B91,NetPos[#All],5,0)</f>
        <v>0</v>
      </c>
      <c r="G91" s="139">
        <f>VLOOKUP($B91,NetPos[#All],4,0)</f>
        <v>0</v>
      </c>
      <c r="H91" s="139">
        <f>VLOOKUP($B91,NetPos[#All],2,0)</f>
        <v>0</v>
      </c>
      <c r="I91" s="140">
        <f t="shared" si="9"/>
        <v>0</v>
      </c>
    </row>
    <row r="92" spans="2:9" x14ac:dyDescent="0.25">
      <c r="B92" s="12" t="s">
        <v>172</v>
      </c>
      <c r="C92" s="16" t="s">
        <v>57</v>
      </c>
      <c r="D92" s="141">
        <f t="shared" ref="D92:I92" si="10">SUM(D79:D91)</f>
        <v>97751188.850000009</v>
      </c>
      <c r="E92" s="141">
        <f t="shared" si="10"/>
        <v>41963067.410939194</v>
      </c>
      <c r="F92" s="141">
        <f t="shared" si="10"/>
        <v>1021611.4519448902</v>
      </c>
      <c r="G92" s="141">
        <f t="shared" si="10"/>
        <v>2353853.9651188366</v>
      </c>
      <c r="H92" s="141">
        <f t="shared" si="10"/>
        <v>132051.66539628469</v>
      </c>
      <c r="I92" s="142">
        <f t="shared" si="10"/>
        <v>143221773.3433992</v>
      </c>
    </row>
    <row r="93" spans="2:9" x14ac:dyDescent="0.25">
      <c r="C93" s="9"/>
      <c r="D93" s="139"/>
      <c r="E93" s="139"/>
      <c r="F93" s="139"/>
      <c r="G93" s="139"/>
      <c r="H93" s="139"/>
      <c r="I93" s="143"/>
    </row>
    <row r="94" spans="2:9" x14ac:dyDescent="0.25">
      <c r="B94" s="12" t="s">
        <v>173</v>
      </c>
      <c r="C94" s="5" t="s">
        <v>58</v>
      </c>
      <c r="D94" s="141">
        <f t="shared" ref="D94:I94" si="11">D92+D76</f>
        <v>148929101.95922554</v>
      </c>
      <c r="E94" s="141">
        <f t="shared" si="11"/>
        <v>85718874.946157455</v>
      </c>
      <c r="F94" s="141">
        <f t="shared" si="11"/>
        <v>6247075.2498788601</v>
      </c>
      <c r="G94" s="141">
        <f t="shared" si="11"/>
        <v>3741600.2599041136</v>
      </c>
      <c r="H94" s="141">
        <f t="shared" si="11"/>
        <v>432508.53014129575</v>
      </c>
      <c r="I94" s="141">
        <f t="shared" si="11"/>
        <v>245069160.94530728</v>
      </c>
    </row>
    <row r="95" spans="2:9" x14ac:dyDescent="0.25">
      <c r="C95" s="9"/>
      <c r="D95" s="139"/>
      <c r="E95" s="139"/>
      <c r="F95" s="139"/>
      <c r="G95" s="139"/>
      <c r="H95" s="139"/>
      <c r="I95" s="143"/>
    </row>
    <row r="96" spans="2:9" x14ac:dyDescent="0.25">
      <c r="C96" s="10" t="s">
        <v>59</v>
      </c>
      <c r="D96" s="145"/>
      <c r="E96" s="145"/>
      <c r="F96" s="145"/>
      <c r="G96" s="145"/>
      <c r="H96" s="145"/>
      <c r="I96" s="144"/>
    </row>
    <row r="97" spans="2:9" x14ac:dyDescent="0.25">
      <c r="B97" s="12" t="s">
        <v>499</v>
      </c>
      <c r="C97" s="3" t="s">
        <v>83</v>
      </c>
      <c r="D97" s="139">
        <f>VLOOKUP($B97,NetPos[#All],3,0)</f>
        <v>612050</v>
      </c>
      <c r="E97" s="139">
        <f>VLOOKUP($B97,NetPos[#All],6,0)</f>
        <v>0</v>
      </c>
      <c r="F97" s="139">
        <f>VLOOKUP($B97,NetPos[#All],5,0)</f>
        <v>0</v>
      </c>
      <c r="G97" s="139">
        <f>VLOOKUP($B97,NetPos[#All],4,0)</f>
        <v>0</v>
      </c>
      <c r="H97" s="139">
        <f>VLOOKUP($B97,NetPos[#All],2,0)</f>
        <v>0</v>
      </c>
      <c r="I97" s="140">
        <f>SUM(D97:H97)</f>
        <v>612050</v>
      </c>
    </row>
    <row r="98" spans="2:9" x14ac:dyDescent="0.25">
      <c r="B98" s="12" t="s">
        <v>174</v>
      </c>
      <c r="C98" s="3" t="s">
        <v>84</v>
      </c>
      <c r="D98" s="139">
        <f>VLOOKUP($B98,NetPos[#All],3,0)</f>
        <v>11807974.66</v>
      </c>
      <c r="E98" s="139">
        <f>VLOOKUP($B98,NetPos[#All],6,0)</f>
        <v>0</v>
      </c>
      <c r="F98" s="139">
        <f>VLOOKUP($B98,NetPos[#All],5,0)</f>
        <v>0</v>
      </c>
      <c r="G98" s="139">
        <f>VLOOKUP($B98,NetPos[#All],4,0)</f>
        <v>0</v>
      </c>
      <c r="H98" s="139">
        <f>VLOOKUP($B98,NetPos[#All],2,0)</f>
        <v>0</v>
      </c>
      <c r="I98" s="140">
        <f>SUM(D98:H98)</f>
        <v>11807974.66</v>
      </c>
    </row>
    <row r="99" spans="2:9" x14ac:dyDescent="0.25">
      <c r="B99" s="12" t="s">
        <v>175</v>
      </c>
      <c r="C99" s="3" t="s">
        <v>85</v>
      </c>
      <c r="D99" s="139">
        <f>VLOOKUP($B99,NetPos[#All],3,0)</f>
        <v>44616024.369999997</v>
      </c>
      <c r="E99" s="139">
        <f>VLOOKUP($B99,NetPos[#All],6,0)</f>
        <v>86665.72</v>
      </c>
      <c r="F99" s="139">
        <f>VLOOKUP($B99,NetPos[#All],5,0)</f>
        <v>14041.66</v>
      </c>
      <c r="G99" s="139">
        <f>VLOOKUP($B99,NetPos[#All],4,0)</f>
        <v>46503.56</v>
      </c>
      <c r="H99" s="139">
        <f>VLOOKUP($B99,NetPos[#All],2,0)</f>
        <v>95684.69</v>
      </c>
      <c r="I99" s="140">
        <f>SUM(D99:H99)</f>
        <v>44858919.999999993</v>
      </c>
    </row>
    <row r="100" spans="2:9" x14ac:dyDescent="0.25">
      <c r="B100" s="12" t="s">
        <v>176</v>
      </c>
      <c r="C100" s="5" t="s">
        <v>60</v>
      </c>
      <c r="D100" s="141">
        <f>SUM(D97:D99)</f>
        <v>57036049.030000001</v>
      </c>
      <c r="E100" s="141">
        <f t="shared" ref="E100:I100" si="12">SUM(E97:E99)</f>
        <v>86665.72</v>
      </c>
      <c r="F100" s="141">
        <f t="shared" si="12"/>
        <v>14041.66</v>
      </c>
      <c r="G100" s="141">
        <f t="shared" si="12"/>
        <v>46503.56</v>
      </c>
      <c r="H100" s="141">
        <f t="shared" si="12"/>
        <v>95684.69</v>
      </c>
      <c r="I100" s="142">
        <f t="shared" si="12"/>
        <v>57278944.659999996</v>
      </c>
    </row>
    <row r="101" spans="2:9" x14ac:dyDescent="0.25">
      <c r="C101" s="9"/>
      <c r="D101" s="139"/>
      <c r="E101" s="139"/>
      <c r="F101" s="139"/>
      <c r="G101" s="139"/>
      <c r="H101" s="139"/>
      <c r="I101" s="143"/>
    </row>
    <row r="102" spans="2:9" x14ac:dyDescent="0.25">
      <c r="C102" s="10" t="s">
        <v>61</v>
      </c>
      <c r="D102" s="145"/>
      <c r="E102" s="145"/>
      <c r="F102" s="145"/>
      <c r="G102" s="145"/>
      <c r="H102" s="145"/>
      <c r="I102" s="144"/>
    </row>
    <row r="103" spans="2:9" x14ac:dyDescent="0.25">
      <c r="B103" s="12" t="s">
        <v>500</v>
      </c>
      <c r="C103" s="4" t="s">
        <v>62</v>
      </c>
      <c r="D103" s="139">
        <f>VLOOKUP($B103,NetPos[#All],3,0)</f>
        <v>77624379.450000018</v>
      </c>
      <c r="E103" s="139">
        <f>VLOOKUP($B103,NetPos[#All],6,0)</f>
        <v>37128.280000000028</v>
      </c>
      <c r="F103" s="139">
        <f>VLOOKUP($B103,NetPos[#All],5,0)</f>
        <v>0</v>
      </c>
      <c r="G103" s="139">
        <f>VLOOKUP($B103,NetPos[#All],4,0)</f>
        <v>0</v>
      </c>
      <c r="H103" s="139">
        <f>VLOOKUP($B103,NetPos[#All],2,0)</f>
        <v>0</v>
      </c>
      <c r="I103" s="140">
        <f>SUM(D103:H103)</f>
        <v>77661507.730000019</v>
      </c>
    </row>
    <row r="104" spans="2:9" x14ac:dyDescent="0.25">
      <c r="B104" s="12" t="s">
        <v>501</v>
      </c>
      <c r="C104" s="4" t="s">
        <v>88</v>
      </c>
      <c r="D104" s="139">
        <f>VLOOKUP($B104,NetPos[#All],3,0)</f>
        <v>61290331.450000003</v>
      </c>
      <c r="E104" s="139">
        <f>VLOOKUP($B104,NetPos[#All],6,0)</f>
        <v>20687120.289999999</v>
      </c>
      <c r="F104" s="139">
        <f>VLOOKUP($B104,NetPos[#All],5,0)</f>
        <v>2785275.6299999994</v>
      </c>
      <c r="G104" s="139">
        <f>VLOOKUP($B104,NetPos[#All],4,0)</f>
        <v>67606.899999999994</v>
      </c>
      <c r="H104" s="139">
        <f>VLOOKUP($B104,NetPos[#All],2,0)</f>
        <v>89081.279999999999</v>
      </c>
      <c r="I104" s="140">
        <f>SUM(D104:H104)</f>
        <v>84919415.550000012</v>
      </c>
    </row>
    <row r="105" spans="2:9" x14ac:dyDescent="0.25">
      <c r="B105" s="12" t="s">
        <v>178</v>
      </c>
      <c r="C105" s="9" t="s">
        <v>63</v>
      </c>
      <c r="D105" s="139">
        <f>VLOOKUP($B105,NetPos[#All],3,0)</f>
        <v>54446644.350000009</v>
      </c>
      <c r="E105" s="139">
        <f>VLOOKUP($B105,NetPos[#All],6,0)</f>
        <v>128445299.58</v>
      </c>
      <c r="F105" s="139">
        <f>VLOOKUP($B105,NetPos[#All],5,0)</f>
        <v>57773172.899999999</v>
      </c>
      <c r="G105" s="139">
        <f>VLOOKUP($B105,NetPos[#All],4,0)</f>
        <v>4519908.6500000004</v>
      </c>
      <c r="H105" s="139">
        <f>VLOOKUP($B105,NetPos[#All],2,0)</f>
        <v>405679.2</v>
      </c>
      <c r="I105" s="140">
        <f>SUM(D105:H105)</f>
        <v>245590704.68000001</v>
      </c>
    </row>
    <row r="106" spans="2:9" x14ac:dyDescent="0.25">
      <c r="B106" s="12" t="s">
        <v>179</v>
      </c>
      <c r="C106" s="5" t="s">
        <v>64</v>
      </c>
      <c r="D106" s="141">
        <f>SUM(D103:D105)</f>
        <v>193361355.25000006</v>
      </c>
      <c r="E106" s="141">
        <f t="shared" ref="E106:I106" si="13">SUM(E103:E105)</f>
        <v>149169548.15000001</v>
      </c>
      <c r="F106" s="141">
        <f t="shared" si="13"/>
        <v>60558448.530000001</v>
      </c>
      <c r="G106" s="141">
        <f t="shared" si="13"/>
        <v>4587515.5500000007</v>
      </c>
      <c r="H106" s="141">
        <f t="shared" si="13"/>
        <v>494760.48</v>
      </c>
      <c r="I106" s="142">
        <f t="shared" si="13"/>
        <v>408171627.96000004</v>
      </c>
    </row>
    <row r="108" spans="2:9" x14ac:dyDescent="0.25">
      <c r="D108" s="11"/>
    </row>
    <row r="109" spans="2:9" x14ac:dyDescent="0.25">
      <c r="D109" s="11"/>
    </row>
    <row r="110" spans="2:9" x14ac:dyDescent="0.25">
      <c r="D110" s="11"/>
    </row>
    <row r="111" spans="2:9" x14ac:dyDescent="0.25">
      <c r="D111" s="25"/>
    </row>
  </sheetData>
  <mergeCells count="3">
    <mergeCell ref="C2:I2"/>
    <mergeCell ref="C3:I3"/>
    <mergeCell ref="C4:I4"/>
  </mergeCells>
  <phoneticPr fontId="5" type="noConversion"/>
  <printOptions horizontalCentered="1"/>
  <pageMargins left="0.25" right="0.25" top="0.5" bottom="0.3" header="0.3" footer="0.3"/>
  <pageSetup scale="84" fitToHeight="3" orientation="landscape" r:id="rId1"/>
  <rowBreaks count="1" manualBreakCount="1">
    <brk id="7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0BB92-F887-4483-BE0B-DB050FF92CC6}">
  <sheetPr>
    <tabColor theme="9" tint="0.79998168889431442"/>
  </sheetPr>
  <dimension ref="B2:I30"/>
  <sheetViews>
    <sheetView workbookViewId="0"/>
  </sheetViews>
  <sheetFormatPr defaultColWidth="8.85546875" defaultRowHeight="15" x14ac:dyDescent="0.25"/>
  <cols>
    <col min="2" max="2" width="10.140625" style="12" hidden="1" customWidth="1"/>
    <col min="3" max="3" width="56.5703125" customWidth="1"/>
    <col min="4" max="4" width="19.5703125" customWidth="1"/>
    <col min="5" max="5" width="18.42578125" bestFit="1" customWidth="1"/>
    <col min="9" max="9" width="17.5703125" customWidth="1"/>
    <col min="11" max="11" width="12.85546875" bestFit="1" customWidth="1"/>
  </cols>
  <sheetData>
    <row r="2" spans="2:9" x14ac:dyDescent="0.25">
      <c r="C2" s="254" t="s">
        <v>1163</v>
      </c>
      <c r="D2" s="254"/>
      <c r="E2" s="254"/>
    </row>
    <row r="3" spans="2:9" x14ac:dyDescent="0.25">
      <c r="C3" s="255" t="s">
        <v>1129</v>
      </c>
      <c r="D3" s="255"/>
      <c r="E3" s="255"/>
    </row>
    <row r="4" spans="2:9" x14ac:dyDescent="0.25">
      <c r="C4" s="256" t="s">
        <v>1280</v>
      </c>
      <c r="D4" s="256"/>
      <c r="E4" s="256"/>
    </row>
    <row r="5" spans="2:9" x14ac:dyDescent="0.25">
      <c r="C5" s="94"/>
      <c r="D5" s="95"/>
    </row>
    <row r="6" spans="2:9" ht="30" x14ac:dyDescent="0.25">
      <c r="B6" s="107" t="s">
        <v>97</v>
      </c>
      <c r="C6" s="96"/>
      <c r="D6" s="22" t="s">
        <v>1120</v>
      </c>
      <c r="E6" s="22" t="s">
        <v>1121</v>
      </c>
    </row>
    <row r="7" spans="2:9" x14ac:dyDescent="0.25">
      <c r="C7" s="109" t="s">
        <v>1130</v>
      </c>
      <c r="D7" s="23"/>
      <c r="E7" s="97"/>
    </row>
    <row r="8" spans="2:9" s="98" customFormat="1" x14ac:dyDescent="0.25">
      <c r="B8" s="108" t="s">
        <v>669</v>
      </c>
      <c r="C8" s="103" t="s">
        <v>1147</v>
      </c>
      <c r="D8" s="194">
        <f>VLOOKUP($B8,Fidos[#All],3,0)</f>
        <v>0</v>
      </c>
      <c r="E8" s="194">
        <f>VLOOKUP($B8,Fidos[#All],2,0)</f>
        <v>0</v>
      </c>
      <c r="H8"/>
      <c r="I8"/>
    </row>
    <row r="9" spans="2:9" s="98" customFormat="1" x14ac:dyDescent="0.25">
      <c r="B9" s="108" t="s">
        <v>670</v>
      </c>
      <c r="C9" s="103" t="s">
        <v>1148</v>
      </c>
      <c r="D9" s="194">
        <f>VLOOKUP($B9,Fidos[#All],3,0)</f>
        <v>20000</v>
      </c>
      <c r="E9" s="194">
        <f>VLOOKUP($B9,Fidos[#All],2,0)</f>
        <v>1009828.5999999999</v>
      </c>
      <c r="H9"/>
      <c r="I9"/>
    </row>
    <row r="10" spans="2:9" s="98" customFormat="1" x14ac:dyDescent="0.25">
      <c r="B10" s="108" t="s">
        <v>671</v>
      </c>
      <c r="C10" s="105" t="s">
        <v>1131</v>
      </c>
      <c r="D10" s="201">
        <f>SUM(D8:D9)</f>
        <v>20000</v>
      </c>
      <c r="E10" s="201">
        <f>SUM(E8:E9)</f>
        <v>1009828.5999999999</v>
      </c>
      <c r="H10"/>
      <c r="I10"/>
    </row>
    <row r="11" spans="2:9" s="98" customFormat="1" x14ac:dyDescent="0.25">
      <c r="B11" s="108"/>
      <c r="C11" s="99"/>
      <c r="D11" s="202"/>
      <c r="E11" s="203"/>
      <c r="H11"/>
      <c r="I11"/>
    </row>
    <row r="12" spans="2:9" s="98" customFormat="1" x14ac:dyDescent="0.25">
      <c r="B12" s="108" t="s">
        <v>673</v>
      </c>
      <c r="C12" s="104" t="s">
        <v>1132</v>
      </c>
      <c r="D12" s="204"/>
      <c r="E12" s="205"/>
      <c r="H12"/>
      <c r="I12"/>
    </row>
    <row r="13" spans="2:9" s="98" customFormat="1" x14ac:dyDescent="0.25">
      <c r="B13" s="108" t="s">
        <v>674</v>
      </c>
      <c r="C13" s="103" t="s">
        <v>1133</v>
      </c>
      <c r="D13" s="194">
        <f>VLOOKUP($B13,Fidos[#All],3,0)</f>
        <v>2318.6999999999998</v>
      </c>
      <c r="E13" s="194">
        <f>VLOOKUP($B13,Fidos[#All],2,0)</f>
        <v>175100.66</v>
      </c>
      <c r="H13"/>
      <c r="I13"/>
    </row>
    <row r="14" spans="2:9" s="98" customFormat="1" x14ac:dyDescent="0.25">
      <c r="B14" s="108" t="s">
        <v>675</v>
      </c>
      <c r="C14" s="103" t="s">
        <v>1134</v>
      </c>
      <c r="D14" s="194">
        <f>VLOOKUP($B14,Fidos[#All],3,0)</f>
        <v>0</v>
      </c>
      <c r="E14" s="194">
        <f>VLOOKUP($B14,Fidos[#All],2,0)</f>
        <v>51463.8</v>
      </c>
      <c r="H14"/>
      <c r="I14"/>
    </row>
    <row r="15" spans="2:9" s="98" customFormat="1" x14ac:dyDescent="0.25">
      <c r="B15" s="108" t="s">
        <v>676</v>
      </c>
      <c r="C15" s="106" t="s">
        <v>1135</v>
      </c>
      <c r="D15" s="201">
        <f>SUM(D13:D14)</f>
        <v>2318.6999999999998</v>
      </c>
      <c r="E15" s="201">
        <f>SUM(E13:E14)</f>
        <v>226564.46000000002</v>
      </c>
      <c r="H15"/>
      <c r="I15"/>
    </row>
    <row r="16" spans="2:9" s="98" customFormat="1" x14ac:dyDescent="0.25">
      <c r="B16" s="108" t="s">
        <v>678</v>
      </c>
      <c r="C16" s="100" t="s">
        <v>1136</v>
      </c>
      <c r="D16" s="194">
        <f>VLOOKUP($B16,Fidos[#All],3,0)</f>
        <v>0</v>
      </c>
      <c r="E16" s="194">
        <f>VLOOKUP($B16,Fidos[#All],2,0)</f>
        <v>0</v>
      </c>
      <c r="H16"/>
      <c r="I16"/>
    </row>
    <row r="17" spans="2:9" s="98" customFormat="1" x14ac:dyDescent="0.25">
      <c r="B17" s="108" t="s">
        <v>679</v>
      </c>
      <c r="C17" s="112" t="s">
        <v>1137</v>
      </c>
      <c r="D17" s="201">
        <f>D16+D15+D10</f>
        <v>22318.7</v>
      </c>
      <c r="E17" s="201">
        <f>E16+E15+E10</f>
        <v>1236393.0599999998</v>
      </c>
      <c r="H17"/>
      <c r="I17"/>
    </row>
    <row r="18" spans="2:9" s="98" customFormat="1" x14ac:dyDescent="0.25">
      <c r="B18" s="108"/>
      <c r="C18" s="100"/>
      <c r="D18" s="194"/>
      <c r="E18" s="206"/>
      <c r="H18"/>
      <c r="I18"/>
    </row>
    <row r="19" spans="2:9" s="98" customFormat="1" x14ac:dyDescent="0.25">
      <c r="B19" s="108"/>
      <c r="C19" s="110" t="s">
        <v>1138</v>
      </c>
      <c r="D19" s="204"/>
      <c r="E19" s="205"/>
      <c r="H19"/>
      <c r="I19"/>
    </row>
    <row r="20" spans="2:9" s="98" customFormat="1" x14ac:dyDescent="0.25">
      <c r="B20" s="108" t="s">
        <v>682</v>
      </c>
      <c r="C20" s="100" t="s">
        <v>1139</v>
      </c>
      <c r="D20" s="194">
        <f>VLOOKUP($B20,Fidos[#All],3,0)</f>
        <v>9945.0400000000009</v>
      </c>
      <c r="E20" s="194">
        <f>VLOOKUP($B20,Fidos[#All],2,0)</f>
        <v>1522538.58</v>
      </c>
      <c r="H20"/>
      <c r="I20"/>
    </row>
    <row r="21" spans="2:9" s="98" customFormat="1" x14ac:dyDescent="0.25">
      <c r="B21" s="108" t="s">
        <v>683</v>
      </c>
      <c r="C21" s="101" t="s">
        <v>1140</v>
      </c>
      <c r="D21" s="194">
        <f>VLOOKUP($B21,Fidos[#All],3,0)</f>
        <v>0</v>
      </c>
      <c r="E21" s="194">
        <f>VLOOKUP($B21,Fidos[#All],2,0)</f>
        <v>0</v>
      </c>
      <c r="H21"/>
      <c r="I21"/>
    </row>
    <row r="22" spans="2:9" s="98" customFormat="1" x14ac:dyDescent="0.25">
      <c r="B22" s="108" t="s">
        <v>684</v>
      </c>
      <c r="C22" s="102" t="s">
        <v>1141</v>
      </c>
      <c r="D22" s="194">
        <f>VLOOKUP($B22,Fidos[#All],3,0)</f>
        <v>843.94</v>
      </c>
      <c r="E22" s="194">
        <f>VLOOKUP($B22,Fidos[#All],2,0)</f>
        <v>600</v>
      </c>
      <c r="H22"/>
      <c r="I22"/>
    </row>
    <row r="23" spans="2:9" s="98" customFormat="1" x14ac:dyDescent="0.25">
      <c r="B23" s="108" t="s">
        <v>685</v>
      </c>
      <c r="C23" s="102" t="s">
        <v>1142</v>
      </c>
      <c r="D23" s="194">
        <f>VLOOKUP($B23,Fidos[#All],3,0)</f>
        <v>0</v>
      </c>
      <c r="E23" s="194">
        <f>VLOOKUP($B23,Fidos[#All],2,0)</f>
        <v>0</v>
      </c>
      <c r="H23"/>
      <c r="I23"/>
    </row>
    <row r="24" spans="2:9" x14ac:dyDescent="0.25">
      <c r="B24" s="108" t="s">
        <v>686</v>
      </c>
      <c r="C24" s="113" t="s">
        <v>1143</v>
      </c>
      <c r="D24" s="201">
        <f>SUM(D20:D23)</f>
        <v>10788.980000000001</v>
      </c>
      <c r="E24" s="201">
        <f>SUM(E20:E23)</f>
        <v>1523138.58</v>
      </c>
    </row>
    <row r="25" spans="2:9" x14ac:dyDescent="0.25">
      <c r="B25" s="108"/>
      <c r="C25" s="102"/>
      <c r="D25" s="194"/>
      <c r="E25" s="207"/>
    </row>
    <row r="26" spans="2:9" s="98" customFormat="1" x14ac:dyDescent="0.25">
      <c r="B26" s="108" t="s">
        <v>688</v>
      </c>
      <c r="C26" s="18" t="s">
        <v>1144</v>
      </c>
      <c r="D26" s="208">
        <f>D17-D24</f>
        <v>11529.72</v>
      </c>
      <c r="E26" s="208">
        <f>E17-E24</f>
        <v>-286745.52000000025</v>
      </c>
      <c r="H26"/>
      <c r="I26" s="33"/>
    </row>
    <row r="27" spans="2:9" x14ac:dyDescent="0.25">
      <c r="B27" s="108"/>
      <c r="D27" s="209"/>
      <c r="E27" s="209"/>
    </row>
    <row r="28" spans="2:9" x14ac:dyDescent="0.25">
      <c r="B28" s="108" t="s">
        <v>690</v>
      </c>
      <c r="C28" t="s">
        <v>1145</v>
      </c>
      <c r="D28" s="194">
        <f>VLOOKUP($B28,Fidos[#All],3,0)</f>
        <v>61815.02</v>
      </c>
      <c r="E28" s="194">
        <f>VLOOKUP($B28,Fidos[#All],2,0)</f>
        <v>4150789.52</v>
      </c>
    </row>
    <row r="29" spans="2:9" x14ac:dyDescent="0.25">
      <c r="B29" s="108" t="s">
        <v>692</v>
      </c>
      <c r="C29" s="13" t="s">
        <v>225</v>
      </c>
      <c r="D29" s="194">
        <f>VLOOKUP($B29,Fidos[#All],3,0)</f>
        <v>0</v>
      </c>
      <c r="E29" s="194">
        <f>VLOOKUP($B29,Fidos[#All],2,0)</f>
        <v>0</v>
      </c>
    </row>
    <row r="30" spans="2:9" x14ac:dyDescent="0.25">
      <c r="B30" s="108" t="s">
        <v>694</v>
      </c>
      <c r="C30" s="18" t="s">
        <v>1146</v>
      </c>
      <c r="D30" s="200">
        <f>D26+D28+D29</f>
        <v>73344.739999999991</v>
      </c>
      <c r="E30" s="200">
        <f>E26+E28+E29</f>
        <v>3864044</v>
      </c>
    </row>
  </sheetData>
  <mergeCells count="3">
    <mergeCell ref="C2:E2"/>
    <mergeCell ref="C3:E3"/>
    <mergeCell ref="C4:E4"/>
  </mergeCells>
  <phoneticPr fontId="5" type="noConversion"/>
  <printOptions horizontalCentered="1"/>
  <pageMargins left="0.7" right="0.7" top="0.75" bottom="0.75" header="0.3" footer="0.3"/>
  <pageSetup orientation="landscape" r:id="rId1"/>
  <ignoredErrors>
    <ignoredError sqref="D15:E1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1365-237B-4A3C-AB30-C73A1DE1CB11}">
  <sheetPr>
    <tabColor theme="9" tint="0.59999389629810485"/>
  </sheetPr>
  <dimension ref="B2:N216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2" max="2" width="19.5703125" style="29" customWidth="1"/>
    <col min="3" max="3" width="10.7109375" style="222" bestFit="1" customWidth="1"/>
    <col min="4" max="4" width="37" bestFit="1" customWidth="1"/>
    <col min="5" max="5" width="13.140625" style="227" customWidth="1"/>
    <col min="6" max="14" width="13.140625" style="228" customWidth="1"/>
  </cols>
  <sheetData>
    <row r="2" spans="2:14" x14ac:dyDescent="0.25">
      <c r="B2" s="18" t="s">
        <v>1277</v>
      </c>
      <c r="E2" s="229"/>
    </row>
    <row r="3" spans="2:14" s="214" customFormat="1" x14ac:dyDescent="0.25">
      <c r="B3" s="216"/>
      <c r="C3" s="216"/>
      <c r="D3" s="216"/>
      <c r="E3" s="230"/>
      <c r="F3" s="231">
        <v>1</v>
      </c>
      <c r="G3" s="231">
        <v>2</v>
      </c>
      <c r="H3" s="231">
        <v>3</v>
      </c>
      <c r="I3" s="231">
        <v>4</v>
      </c>
      <c r="J3" s="231">
        <v>5</v>
      </c>
      <c r="K3" s="231">
        <v>6</v>
      </c>
      <c r="L3" s="231">
        <v>7</v>
      </c>
      <c r="M3" s="231">
        <v>8</v>
      </c>
      <c r="N3" s="231">
        <v>9</v>
      </c>
    </row>
    <row r="4" spans="2:14" s="214" customFormat="1" ht="36" x14ac:dyDescent="0.25">
      <c r="B4" s="215" t="s">
        <v>1275</v>
      </c>
      <c r="C4" s="215" t="s">
        <v>1274</v>
      </c>
      <c r="D4" s="215" t="s">
        <v>1273</v>
      </c>
      <c r="E4" s="232" t="s">
        <v>1276</v>
      </c>
      <c r="F4" s="233" t="s">
        <v>1272</v>
      </c>
      <c r="G4" s="233" t="s">
        <v>1271</v>
      </c>
      <c r="H4" s="233" t="s">
        <v>1270</v>
      </c>
      <c r="I4" s="233" t="s">
        <v>1269</v>
      </c>
      <c r="J4" s="233" t="s">
        <v>1268</v>
      </c>
      <c r="K4" s="233" t="s">
        <v>1267</v>
      </c>
      <c r="L4" s="233" t="s">
        <v>1266</v>
      </c>
      <c r="M4" s="233" t="s">
        <v>1265</v>
      </c>
      <c r="N4" s="233" t="s">
        <v>1264</v>
      </c>
    </row>
    <row r="5" spans="2:14" s="18" customFormat="1" ht="36" x14ac:dyDescent="0.25">
      <c r="B5" s="219" t="s">
        <v>1263</v>
      </c>
      <c r="C5" s="220" t="s">
        <v>1173</v>
      </c>
      <c r="D5" s="221"/>
      <c r="E5" s="234">
        <v>59450911.159999892</v>
      </c>
      <c r="F5" s="234">
        <v>4677964.0900000026</v>
      </c>
      <c r="G5" s="234">
        <v>-915725.68</v>
      </c>
      <c r="H5" s="234">
        <v>6965789.2000000002</v>
      </c>
      <c r="I5" s="234">
        <v>32347975.919999979</v>
      </c>
      <c r="J5" s="234">
        <v>3565763.0700000008</v>
      </c>
      <c r="K5" s="234">
        <v>1259302.4199999995</v>
      </c>
      <c r="L5" s="234">
        <v>9796071.0500000101</v>
      </c>
      <c r="M5" s="234">
        <v>1129528.8799999999</v>
      </c>
      <c r="N5" s="234">
        <v>624242.21</v>
      </c>
    </row>
    <row r="6" spans="2:14" x14ac:dyDescent="0.25">
      <c r="B6" s="218"/>
      <c r="C6" s="226" t="s">
        <v>1262</v>
      </c>
      <c r="D6" s="212" t="s">
        <v>1261</v>
      </c>
      <c r="E6" s="235">
        <v>561280.1100000001</v>
      </c>
      <c r="F6" s="236">
        <v>17081.469999999998</v>
      </c>
      <c r="I6" s="236">
        <v>2493.41</v>
      </c>
      <c r="J6" s="236">
        <v>1016.14</v>
      </c>
      <c r="K6" s="236">
        <v>40644.86</v>
      </c>
      <c r="L6" s="236">
        <v>339166.78999999992</v>
      </c>
      <c r="M6" s="236">
        <v>160877.44</v>
      </c>
      <c r="N6" s="236"/>
    </row>
    <row r="7" spans="2:14" x14ac:dyDescent="0.25">
      <c r="B7" s="218"/>
      <c r="C7" s="226" t="s">
        <v>1260</v>
      </c>
      <c r="D7" s="212" t="s">
        <v>1259</v>
      </c>
      <c r="E7" s="235">
        <v>6517452.5299999984</v>
      </c>
      <c r="F7" s="236">
        <v>359936.59</v>
      </c>
      <c r="H7" s="236">
        <v>2682869.0299999998</v>
      </c>
      <c r="I7" s="236">
        <v>1396353.3499999996</v>
      </c>
      <c r="J7" s="236">
        <v>1061019.9000000001</v>
      </c>
      <c r="K7" s="236">
        <v>101514.08</v>
      </c>
      <c r="L7" s="236">
        <v>738389.34</v>
      </c>
      <c r="M7" s="236">
        <v>177370.23999999999</v>
      </c>
      <c r="N7" s="236"/>
    </row>
    <row r="8" spans="2:14" x14ac:dyDescent="0.25">
      <c r="B8" s="218"/>
      <c r="C8" s="226" t="s">
        <v>1258</v>
      </c>
      <c r="D8" s="212" t="s">
        <v>1257</v>
      </c>
      <c r="E8" s="235">
        <v>15472811.649999999</v>
      </c>
      <c r="F8" s="236">
        <v>1230543.33</v>
      </c>
      <c r="H8" s="236">
        <v>-3312.7</v>
      </c>
      <c r="I8" s="236">
        <v>8831038.0199999996</v>
      </c>
      <c r="J8" s="236">
        <v>3040220.5500000003</v>
      </c>
      <c r="K8" s="236">
        <v>150743.63</v>
      </c>
      <c r="L8" s="236">
        <v>2126339</v>
      </c>
      <c r="M8" s="236">
        <v>97239.82</v>
      </c>
      <c r="N8" s="236"/>
    </row>
    <row r="9" spans="2:14" x14ac:dyDescent="0.25">
      <c r="B9" s="218"/>
      <c r="C9" s="226" t="s">
        <v>1184</v>
      </c>
      <c r="D9" s="212" t="s">
        <v>1183</v>
      </c>
      <c r="E9" s="235">
        <v>2648338.1799999997</v>
      </c>
      <c r="F9" s="236">
        <v>133151.29</v>
      </c>
      <c r="I9" s="236">
        <v>1831748.8199999996</v>
      </c>
      <c r="J9" s="236">
        <v>569019.97</v>
      </c>
      <c r="K9" s="236">
        <v>11193.1</v>
      </c>
      <c r="L9" s="236">
        <v>87560.169999999984</v>
      </c>
      <c r="M9" s="236">
        <v>15664.83</v>
      </c>
      <c r="N9" s="236"/>
    </row>
    <row r="10" spans="2:14" x14ac:dyDescent="0.25">
      <c r="B10" s="218"/>
      <c r="C10" s="226" t="s">
        <v>1244</v>
      </c>
      <c r="D10" s="212" t="s">
        <v>1243</v>
      </c>
      <c r="E10" s="235">
        <v>6558383.7800000003</v>
      </c>
      <c r="F10" s="236">
        <v>340976.46</v>
      </c>
      <c r="I10" s="236">
        <v>4013905.7700000005</v>
      </c>
      <c r="J10" s="236">
        <v>1348967.54</v>
      </c>
      <c r="K10" s="236">
        <v>120118.63</v>
      </c>
      <c r="L10" s="236">
        <v>686931.3</v>
      </c>
      <c r="M10" s="236">
        <v>47484.08</v>
      </c>
      <c r="N10" s="236"/>
    </row>
    <row r="11" spans="2:14" x14ac:dyDescent="0.25">
      <c r="B11" s="218"/>
      <c r="C11" s="226" t="s">
        <v>1256</v>
      </c>
      <c r="D11" s="212" t="s">
        <v>1255</v>
      </c>
      <c r="E11" s="235">
        <v>378.33</v>
      </c>
      <c r="F11" s="236">
        <v>0</v>
      </c>
      <c r="I11" s="236">
        <v>0</v>
      </c>
      <c r="J11" s="236">
        <v>0</v>
      </c>
      <c r="K11" s="236">
        <v>28.33</v>
      </c>
      <c r="L11" s="236">
        <v>350</v>
      </c>
      <c r="M11" s="236">
        <v>0</v>
      </c>
      <c r="N11" s="236"/>
    </row>
    <row r="12" spans="2:14" x14ac:dyDescent="0.25">
      <c r="B12" s="218"/>
      <c r="C12" s="226" t="s">
        <v>1254</v>
      </c>
      <c r="D12" s="212" t="s">
        <v>1253</v>
      </c>
      <c r="E12" s="235">
        <v>2017960.6399999997</v>
      </c>
      <c r="F12" s="236">
        <v>100786.40999999999</v>
      </c>
      <c r="I12" s="236">
        <v>1248902.23</v>
      </c>
      <c r="J12" s="236">
        <v>427978.63999999996</v>
      </c>
      <c r="K12" s="236">
        <v>20447.87</v>
      </c>
      <c r="L12" s="236">
        <v>203681.42999999996</v>
      </c>
      <c r="M12" s="236">
        <v>16164.06</v>
      </c>
      <c r="N12" s="236"/>
    </row>
    <row r="13" spans="2:14" x14ac:dyDescent="0.25">
      <c r="B13" s="218"/>
      <c r="C13" s="226" t="s">
        <v>1182</v>
      </c>
      <c r="D13" s="212" t="s">
        <v>1181</v>
      </c>
      <c r="E13" s="235">
        <v>2539404.7600000007</v>
      </c>
      <c r="F13" s="236">
        <v>108614.57999999999</v>
      </c>
      <c r="H13" s="236">
        <v>1165359.3099999998</v>
      </c>
      <c r="I13" s="236">
        <v>229413.74</v>
      </c>
      <c r="J13" s="236">
        <v>434399.6100000001</v>
      </c>
      <c r="K13" s="236">
        <v>93725.87</v>
      </c>
      <c r="L13" s="236">
        <v>408612.76</v>
      </c>
      <c r="M13" s="236">
        <v>99278.889999999985</v>
      </c>
      <c r="N13" s="236"/>
    </row>
    <row r="14" spans="2:14" x14ac:dyDescent="0.25">
      <c r="B14" s="218"/>
      <c r="C14" s="226" t="s">
        <v>1252</v>
      </c>
      <c r="D14" s="212" t="s">
        <v>1251</v>
      </c>
      <c r="E14" s="235">
        <v>909210.95</v>
      </c>
      <c r="F14" s="236">
        <v>70378.41</v>
      </c>
      <c r="H14" s="236">
        <v>310540.86</v>
      </c>
      <c r="I14" s="236">
        <v>264913.94</v>
      </c>
      <c r="J14" s="236">
        <v>163971.88</v>
      </c>
      <c r="K14" s="236">
        <v>3164.9199999999996</v>
      </c>
      <c r="L14" s="236">
        <v>70058.11</v>
      </c>
      <c r="M14" s="236">
        <v>26182.83</v>
      </c>
      <c r="N14" s="236"/>
    </row>
    <row r="15" spans="2:14" x14ac:dyDescent="0.25">
      <c r="B15" s="218"/>
      <c r="C15" s="226" t="s">
        <v>1250</v>
      </c>
      <c r="D15" s="212" t="s">
        <v>1249</v>
      </c>
      <c r="E15" s="235">
        <v>87695.8</v>
      </c>
      <c r="F15" s="236">
        <v>792</v>
      </c>
      <c r="H15" s="236">
        <v>13118.03</v>
      </c>
      <c r="I15" s="236">
        <v>28908.5</v>
      </c>
      <c r="J15" s="236">
        <v>15398.960000000001</v>
      </c>
      <c r="L15" s="236">
        <v>29478.31</v>
      </c>
    </row>
    <row r="16" spans="2:14" x14ac:dyDescent="0.25">
      <c r="B16" s="218"/>
      <c r="C16" s="226" t="s">
        <v>1180</v>
      </c>
      <c r="D16" s="212" t="s">
        <v>1179</v>
      </c>
      <c r="E16" s="235">
        <v>20431649.430000007</v>
      </c>
      <c r="F16" s="236">
        <v>420178.98</v>
      </c>
      <c r="H16" s="236">
        <v>2119480.34</v>
      </c>
      <c r="I16" s="236">
        <v>8433430.3499999996</v>
      </c>
      <c r="J16" s="236">
        <v>4771460.9300000016</v>
      </c>
      <c r="K16" s="236">
        <v>367690.14</v>
      </c>
      <c r="L16" s="236">
        <v>4048127.4099999997</v>
      </c>
      <c r="M16" s="236">
        <v>251696.62999999998</v>
      </c>
      <c r="N16" s="236">
        <v>19584.650000000001</v>
      </c>
    </row>
    <row r="17" spans="2:14" x14ac:dyDescent="0.25">
      <c r="B17" s="218"/>
      <c r="C17" s="226" t="s">
        <v>1202</v>
      </c>
      <c r="D17" s="212" t="s">
        <v>1201</v>
      </c>
      <c r="E17" s="235">
        <v>52643.109999999993</v>
      </c>
      <c r="F17" s="236">
        <v>818.38</v>
      </c>
      <c r="I17" s="236">
        <v>2777.78</v>
      </c>
      <c r="J17" s="236">
        <v>1138.92</v>
      </c>
      <c r="L17" s="236">
        <v>47896.27</v>
      </c>
      <c r="M17" s="236">
        <v>11.76</v>
      </c>
      <c r="N17" s="236"/>
    </row>
    <row r="18" spans="2:14" x14ac:dyDescent="0.25">
      <c r="B18" s="218"/>
      <c r="C18" s="226" t="s">
        <v>1194</v>
      </c>
      <c r="D18" s="212" t="s">
        <v>1193</v>
      </c>
      <c r="E18" s="235">
        <v>553213.94000000006</v>
      </c>
      <c r="F18" s="236">
        <v>3778.83</v>
      </c>
      <c r="I18" s="236">
        <v>140152.41</v>
      </c>
      <c r="J18" s="236">
        <v>58309.53</v>
      </c>
      <c r="K18" s="236">
        <v>15900.14</v>
      </c>
      <c r="L18" s="236">
        <v>334155.65000000002</v>
      </c>
      <c r="M18" s="236">
        <v>917.38</v>
      </c>
      <c r="N18" s="236"/>
    </row>
    <row r="19" spans="2:14" x14ac:dyDescent="0.25">
      <c r="B19" s="218"/>
      <c r="C19" s="226" t="s">
        <v>1217</v>
      </c>
      <c r="D19" s="212" t="s">
        <v>1216</v>
      </c>
      <c r="E19" s="235">
        <v>19985.269999999997</v>
      </c>
      <c r="F19" s="236">
        <v>2592</v>
      </c>
      <c r="G19" s="236">
        <v>-50969.57</v>
      </c>
      <c r="I19" s="236">
        <v>21755.22</v>
      </c>
      <c r="J19" s="236">
        <v>8747.57</v>
      </c>
      <c r="K19" s="236">
        <v>1533.22</v>
      </c>
      <c r="L19" s="236">
        <v>36326.83</v>
      </c>
    </row>
    <row r="20" spans="2:14" x14ac:dyDescent="0.25">
      <c r="B20" s="218"/>
      <c r="C20" s="226" t="s">
        <v>1170</v>
      </c>
      <c r="D20" s="212" t="s">
        <v>1169</v>
      </c>
      <c r="E20" s="235">
        <v>237801.22</v>
      </c>
      <c r="L20" s="236">
        <v>237801.22</v>
      </c>
    </row>
    <row r="21" spans="2:14" x14ac:dyDescent="0.25">
      <c r="B21" s="218"/>
      <c r="C21" s="226" t="s">
        <v>1247</v>
      </c>
      <c r="D21" s="212" t="s">
        <v>1246</v>
      </c>
      <c r="E21" s="235">
        <v>52614</v>
      </c>
      <c r="L21" s="236">
        <v>52614</v>
      </c>
    </row>
    <row r="22" spans="2:14" x14ac:dyDescent="0.25">
      <c r="B22" s="218"/>
      <c r="C22" s="226" t="s">
        <v>1168</v>
      </c>
      <c r="D22" s="212" t="s">
        <v>1167</v>
      </c>
      <c r="E22" s="235">
        <v>622432.55999999994</v>
      </c>
      <c r="N22" s="228">
        <v>622432.55999999994</v>
      </c>
    </row>
    <row r="23" spans="2:14" x14ac:dyDescent="0.25">
      <c r="B23" s="218"/>
      <c r="C23" s="226" t="s">
        <v>1178</v>
      </c>
      <c r="D23" s="212" t="s">
        <v>1177</v>
      </c>
      <c r="E23" s="235">
        <v>277301.83000000147</v>
      </c>
      <c r="F23" s="236">
        <v>1133226.18</v>
      </c>
      <c r="H23" s="236">
        <v>677734.33000000007</v>
      </c>
      <c r="I23" s="236">
        <v>5902182.3800000018</v>
      </c>
      <c r="J23" s="236">
        <v>-8335887.0700000003</v>
      </c>
      <c r="K23" s="236">
        <v>332597.63</v>
      </c>
      <c r="L23" s="236">
        <v>348582.45999999996</v>
      </c>
      <c r="M23" s="236">
        <v>236640.91999999998</v>
      </c>
      <c r="N23" s="236">
        <v>-17775</v>
      </c>
    </row>
    <row r="24" spans="2:14" x14ac:dyDescent="0.25">
      <c r="B24" s="218"/>
      <c r="C24" s="226" t="s">
        <v>1176</v>
      </c>
      <c r="D24" s="212" t="s">
        <v>1175</v>
      </c>
      <c r="E24" s="235">
        <v>-109646.93000000005</v>
      </c>
      <c r="F24" s="236">
        <v>755109.17999999993</v>
      </c>
      <c r="G24" s="236">
        <v>-864756.11</v>
      </c>
    </row>
    <row r="25" spans="2:14" s="222" customFormat="1" ht="36" x14ac:dyDescent="0.25">
      <c r="B25" s="223" t="s">
        <v>1248</v>
      </c>
      <c r="C25" s="220" t="s">
        <v>1173</v>
      </c>
      <c r="D25" s="221"/>
      <c r="E25" s="234">
        <v>4916475.58</v>
      </c>
      <c r="F25" s="234">
        <v>1951938.8399999996</v>
      </c>
      <c r="G25" s="234">
        <v>-17676652.07</v>
      </c>
      <c r="H25" s="234">
        <v>29955.4</v>
      </c>
      <c r="I25" s="234">
        <v>9610087.629999999</v>
      </c>
      <c r="J25" s="234">
        <v>1656500.4500000014</v>
      </c>
      <c r="K25" s="234">
        <v>1817271.17</v>
      </c>
      <c r="L25" s="234">
        <v>2494510.0100000016</v>
      </c>
      <c r="M25" s="234">
        <v>18582.34</v>
      </c>
      <c r="N25" s="234">
        <v>5014281.8099999996</v>
      </c>
    </row>
    <row r="26" spans="2:14" x14ac:dyDescent="0.25">
      <c r="C26" s="226" t="s">
        <v>1180</v>
      </c>
      <c r="D26" s="212" t="s">
        <v>1179</v>
      </c>
      <c r="E26" s="235">
        <v>-88184.02</v>
      </c>
      <c r="N26" s="228">
        <v>-88184.02</v>
      </c>
    </row>
    <row r="27" spans="2:14" x14ac:dyDescent="0.25">
      <c r="C27" s="226" t="s">
        <v>1194</v>
      </c>
      <c r="D27" s="212" t="s">
        <v>1193</v>
      </c>
      <c r="E27" s="235">
        <v>10205818.07</v>
      </c>
      <c r="F27" s="236">
        <v>1062301.18</v>
      </c>
      <c r="H27" s="236">
        <v>18409.68</v>
      </c>
      <c r="I27" s="236">
        <v>2899886.2600000002</v>
      </c>
      <c r="J27" s="236">
        <v>1157463.9300000011</v>
      </c>
      <c r="K27" s="236">
        <v>876171.6100000001</v>
      </c>
      <c r="L27" s="236">
        <v>4034382.8200000003</v>
      </c>
      <c r="M27" s="236">
        <v>6922.9000000000005</v>
      </c>
      <c r="N27" s="236">
        <v>150279.69000000003</v>
      </c>
    </row>
    <row r="28" spans="2:14" x14ac:dyDescent="0.25">
      <c r="C28" s="226" t="s">
        <v>1207</v>
      </c>
      <c r="D28" s="212" t="s">
        <v>1206</v>
      </c>
      <c r="E28" s="235">
        <v>526552.42999999993</v>
      </c>
      <c r="F28" s="236">
        <v>58357.96</v>
      </c>
      <c r="I28" s="236">
        <v>225564.97</v>
      </c>
      <c r="J28" s="236">
        <v>86484.52</v>
      </c>
      <c r="K28" s="236">
        <v>105379.36</v>
      </c>
      <c r="L28" s="236">
        <v>50765.619999999995</v>
      </c>
    </row>
    <row r="29" spans="2:14" x14ac:dyDescent="0.25">
      <c r="C29" s="226" t="s">
        <v>1217</v>
      </c>
      <c r="D29" s="212" t="s">
        <v>1216</v>
      </c>
      <c r="E29" s="235">
        <v>376854.47000000003</v>
      </c>
      <c r="F29" s="236">
        <v>1314.9499999999998</v>
      </c>
      <c r="I29" s="236">
        <v>103906.78000000001</v>
      </c>
      <c r="J29" s="236">
        <v>39726.720000000001</v>
      </c>
      <c r="K29" s="236">
        <v>94816.3</v>
      </c>
      <c r="L29" s="236">
        <v>137089.72</v>
      </c>
      <c r="M29" s="236">
        <v>0</v>
      </c>
      <c r="N29" s="236">
        <v>0</v>
      </c>
    </row>
    <row r="30" spans="2:14" x14ac:dyDescent="0.25">
      <c r="C30" s="226" t="s">
        <v>1232</v>
      </c>
      <c r="D30" s="212" t="s">
        <v>1231</v>
      </c>
      <c r="E30" s="235">
        <v>142291.48000000001</v>
      </c>
      <c r="K30" s="236">
        <v>73058.210000000006</v>
      </c>
      <c r="L30" s="236">
        <v>69216.87</v>
      </c>
      <c r="M30" s="236">
        <v>16.399999999999999</v>
      </c>
      <c r="N30" s="236"/>
    </row>
    <row r="31" spans="2:14" x14ac:dyDescent="0.25">
      <c r="C31" s="226" t="s">
        <v>1170</v>
      </c>
      <c r="D31" s="212" t="s">
        <v>1169</v>
      </c>
      <c r="E31" s="235">
        <v>635025.96000000008</v>
      </c>
      <c r="F31" s="236">
        <v>0</v>
      </c>
      <c r="I31" s="236">
        <v>0</v>
      </c>
      <c r="J31" s="236">
        <v>0</v>
      </c>
      <c r="K31" s="236">
        <v>0</v>
      </c>
      <c r="L31" s="236">
        <v>635025.96000000008</v>
      </c>
      <c r="M31" s="236">
        <v>0</v>
      </c>
      <c r="N31" s="236"/>
    </row>
    <row r="32" spans="2:14" x14ac:dyDescent="0.25">
      <c r="C32" s="226" t="s">
        <v>1247</v>
      </c>
      <c r="D32" s="212" t="s">
        <v>1246</v>
      </c>
      <c r="E32" s="235">
        <v>295000</v>
      </c>
      <c r="L32" s="236">
        <v>295000</v>
      </c>
    </row>
    <row r="33" spans="2:14" x14ac:dyDescent="0.25">
      <c r="C33" s="226" t="s">
        <v>1168</v>
      </c>
      <c r="D33" s="212" t="s">
        <v>1167</v>
      </c>
      <c r="E33" s="235">
        <v>4876019.76</v>
      </c>
      <c r="L33" s="236">
        <v>34785.32</v>
      </c>
      <c r="N33" s="228">
        <v>4841234.4399999995</v>
      </c>
    </row>
    <row r="34" spans="2:14" x14ac:dyDescent="0.25">
      <c r="C34" s="226" t="s">
        <v>1178</v>
      </c>
      <c r="D34" s="212" t="s">
        <v>1177</v>
      </c>
      <c r="E34" s="235">
        <v>4456837.4200000009</v>
      </c>
      <c r="F34" s="236">
        <v>230550.57</v>
      </c>
      <c r="G34" s="236">
        <v>-567497.9</v>
      </c>
      <c r="H34" s="236">
        <v>11545.72</v>
      </c>
      <c r="I34" s="236">
        <v>6380729.6199999992</v>
      </c>
      <c r="J34" s="236">
        <v>372825.28000000009</v>
      </c>
      <c r="K34" s="236">
        <v>667845.69000000006</v>
      </c>
      <c r="L34" s="236">
        <v>-2761756.2999999984</v>
      </c>
      <c r="M34" s="236">
        <v>11643.04</v>
      </c>
      <c r="N34" s="236">
        <v>110951.7</v>
      </c>
    </row>
    <row r="35" spans="2:14" x14ac:dyDescent="0.25">
      <c r="C35" s="226" t="s">
        <v>1176</v>
      </c>
      <c r="D35" s="212" t="s">
        <v>1175</v>
      </c>
      <c r="E35" s="235">
        <v>-16509739.989999998</v>
      </c>
      <c r="F35" s="236">
        <v>599414.17999999993</v>
      </c>
      <c r="G35" s="236">
        <v>-17109154.169999998</v>
      </c>
    </row>
    <row r="36" spans="2:14" ht="24" x14ac:dyDescent="0.25">
      <c r="B36" s="219" t="s">
        <v>1245</v>
      </c>
      <c r="C36" s="220" t="s">
        <v>1173</v>
      </c>
      <c r="D36" s="225"/>
      <c r="E36" s="234">
        <v>1036659.0699999998</v>
      </c>
      <c r="F36" s="234">
        <v>89338.890000000014</v>
      </c>
      <c r="G36" s="234">
        <v>-3234</v>
      </c>
      <c r="H36" s="234">
        <v>38880.92</v>
      </c>
      <c r="I36" s="234">
        <v>368035.32999999996</v>
      </c>
      <c r="J36" s="234">
        <v>134043.04</v>
      </c>
      <c r="K36" s="234">
        <v>62203.810000000005</v>
      </c>
      <c r="L36" s="234">
        <v>331364.90000000002</v>
      </c>
      <c r="M36" s="234">
        <v>16026.179999999998</v>
      </c>
      <c r="N36" s="234"/>
    </row>
    <row r="37" spans="2:14" x14ac:dyDescent="0.25">
      <c r="C37" s="226" t="s">
        <v>1244</v>
      </c>
      <c r="D37" s="212" t="s">
        <v>1243</v>
      </c>
      <c r="E37" s="235">
        <v>10470.26</v>
      </c>
      <c r="F37" s="236">
        <v>0</v>
      </c>
      <c r="I37" s="236">
        <v>0</v>
      </c>
      <c r="J37" s="236">
        <v>0</v>
      </c>
      <c r="K37" s="236">
        <v>0</v>
      </c>
      <c r="L37" s="236">
        <v>10470.26</v>
      </c>
      <c r="M37" s="236">
        <v>0</v>
      </c>
      <c r="N37" s="236"/>
    </row>
    <row r="38" spans="2:14" x14ac:dyDescent="0.25">
      <c r="C38" s="226" t="s">
        <v>1182</v>
      </c>
      <c r="D38" s="212" t="s">
        <v>1181</v>
      </c>
      <c r="E38" s="235">
        <v>7721.67</v>
      </c>
      <c r="H38" s="236">
        <v>4166.7</v>
      </c>
      <c r="J38" s="236">
        <v>770.85</v>
      </c>
      <c r="L38" s="236">
        <v>2784.12</v>
      </c>
    </row>
    <row r="39" spans="2:14" x14ac:dyDescent="0.25">
      <c r="C39" s="226" t="s">
        <v>1180</v>
      </c>
      <c r="D39" s="212" t="s">
        <v>1179</v>
      </c>
      <c r="E39" s="235">
        <v>40811.660000000003</v>
      </c>
      <c r="H39" s="236">
        <v>26361.49</v>
      </c>
      <c r="J39" s="236">
        <v>5215.8600000000006</v>
      </c>
      <c r="K39" s="236">
        <v>3895.99</v>
      </c>
      <c r="L39" s="236">
        <v>5338.32</v>
      </c>
    </row>
    <row r="40" spans="2:14" x14ac:dyDescent="0.25">
      <c r="C40" s="226" t="s">
        <v>1178</v>
      </c>
      <c r="D40" s="212" t="s">
        <v>1177</v>
      </c>
      <c r="E40" s="235">
        <v>979080.02000000037</v>
      </c>
      <c r="F40" s="236">
        <v>87529.430000000008</v>
      </c>
      <c r="H40" s="236">
        <v>8352.73</v>
      </c>
      <c r="I40" s="236">
        <v>368035.32999999996</v>
      </c>
      <c r="J40" s="236">
        <v>128056.32999999999</v>
      </c>
      <c r="K40" s="236">
        <v>58307.820000000007</v>
      </c>
      <c r="L40" s="236">
        <v>312772.2</v>
      </c>
      <c r="M40" s="236">
        <v>16026.179999999998</v>
      </c>
      <c r="N40" s="236"/>
    </row>
    <row r="41" spans="2:14" x14ac:dyDescent="0.25">
      <c r="C41" s="226" t="s">
        <v>1176</v>
      </c>
      <c r="D41" s="212" t="s">
        <v>1175</v>
      </c>
      <c r="E41" s="235">
        <v>-1424.5400000000002</v>
      </c>
      <c r="F41" s="236">
        <v>1809.4599999999998</v>
      </c>
      <c r="G41" s="236">
        <v>-3234</v>
      </c>
    </row>
    <row r="42" spans="2:14" x14ac:dyDescent="0.25">
      <c r="B42" s="219" t="s">
        <v>1242</v>
      </c>
      <c r="C42" s="220" t="s">
        <v>1173</v>
      </c>
      <c r="D42" s="225"/>
      <c r="E42" s="234">
        <v>34278920.939999998</v>
      </c>
      <c r="F42" s="234">
        <v>988150.34999999974</v>
      </c>
      <c r="G42" s="234">
        <v>-434748.69</v>
      </c>
      <c r="H42" s="234">
        <v>11067774.690000001</v>
      </c>
      <c r="I42" s="234">
        <v>9990212.8900000006</v>
      </c>
      <c r="J42" s="234">
        <v>7740758.4700000007</v>
      </c>
      <c r="K42" s="234">
        <v>574507.14</v>
      </c>
      <c r="L42" s="234">
        <v>3430555.169999999</v>
      </c>
      <c r="M42" s="234">
        <v>876576.99999999977</v>
      </c>
      <c r="N42" s="234">
        <v>45133.919999999998</v>
      </c>
    </row>
    <row r="43" spans="2:14" x14ac:dyDescent="0.25">
      <c r="C43" s="226" t="s">
        <v>1182</v>
      </c>
      <c r="D43" s="212" t="s">
        <v>1181</v>
      </c>
      <c r="E43" s="235">
        <v>2925793.4599999995</v>
      </c>
      <c r="F43" s="236">
        <v>130392.66000000002</v>
      </c>
      <c r="H43" s="236">
        <v>610538.31999999995</v>
      </c>
      <c r="I43" s="236">
        <v>1030052.78</v>
      </c>
      <c r="J43" s="236">
        <v>576856.46</v>
      </c>
      <c r="K43" s="236">
        <v>32946.390000000007</v>
      </c>
      <c r="L43" s="236">
        <v>167081.5</v>
      </c>
      <c r="M43" s="236">
        <v>377925.35</v>
      </c>
      <c r="N43" s="236"/>
    </row>
    <row r="44" spans="2:14" x14ac:dyDescent="0.25">
      <c r="C44" s="226" t="s">
        <v>1190</v>
      </c>
      <c r="D44" s="212" t="s">
        <v>1189</v>
      </c>
      <c r="E44" s="235">
        <v>549945.21</v>
      </c>
      <c r="F44" s="236">
        <v>1487.44</v>
      </c>
      <c r="H44" s="236">
        <v>328066.96000000008</v>
      </c>
      <c r="I44" s="236">
        <v>42898.509999999995</v>
      </c>
      <c r="J44" s="236">
        <v>150139.38999999998</v>
      </c>
      <c r="K44" s="236">
        <v>8911.7099999999991</v>
      </c>
      <c r="L44" s="236">
        <v>10776.46</v>
      </c>
      <c r="M44" s="236">
        <v>7664.74</v>
      </c>
      <c r="N44" s="236"/>
    </row>
    <row r="45" spans="2:14" x14ac:dyDescent="0.25">
      <c r="C45" s="226" t="s">
        <v>1180</v>
      </c>
      <c r="D45" s="212" t="s">
        <v>1179</v>
      </c>
      <c r="E45" s="235">
        <v>14632879.770000003</v>
      </c>
      <c r="F45" s="236">
        <v>98177.06</v>
      </c>
      <c r="H45" s="236">
        <v>6752651.2399999993</v>
      </c>
      <c r="I45" s="236">
        <v>2333271.8000000003</v>
      </c>
      <c r="J45" s="236">
        <v>3378010.6599999992</v>
      </c>
      <c r="K45" s="236">
        <v>242502.6</v>
      </c>
      <c r="L45" s="236">
        <v>1557224.6799999997</v>
      </c>
      <c r="M45" s="236">
        <v>271041.73</v>
      </c>
      <c r="N45" s="236"/>
    </row>
    <row r="46" spans="2:14" x14ac:dyDescent="0.25">
      <c r="C46" s="226" t="s">
        <v>1168</v>
      </c>
      <c r="D46" s="212" t="s">
        <v>1167</v>
      </c>
      <c r="E46" s="235">
        <v>45133.919999999998</v>
      </c>
      <c r="N46" s="228">
        <v>45133.919999999998</v>
      </c>
    </row>
    <row r="47" spans="2:14" x14ac:dyDescent="0.25">
      <c r="C47" s="226" t="s">
        <v>1178</v>
      </c>
      <c r="D47" s="212" t="s">
        <v>1177</v>
      </c>
      <c r="E47" s="235">
        <v>15831176.890000004</v>
      </c>
      <c r="F47" s="236">
        <v>329352.80999999988</v>
      </c>
      <c r="G47" s="236">
        <v>-300000</v>
      </c>
      <c r="H47" s="236">
        <v>3376518.1700000004</v>
      </c>
      <c r="I47" s="236">
        <v>6583989.7999999989</v>
      </c>
      <c r="J47" s="236">
        <v>3635751.9600000009</v>
      </c>
      <c r="K47" s="236">
        <v>290146.43999999994</v>
      </c>
      <c r="L47" s="236">
        <v>1695472.5299999998</v>
      </c>
      <c r="M47" s="236">
        <v>219945.17999999996</v>
      </c>
      <c r="N47" s="236"/>
    </row>
    <row r="48" spans="2:14" x14ac:dyDescent="0.25">
      <c r="C48" s="226" t="s">
        <v>1176</v>
      </c>
      <c r="D48" s="212" t="s">
        <v>1175</v>
      </c>
      <c r="E48" s="235">
        <v>293991.68999999994</v>
      </c>
      <c r="F48" s="236">
        <v>428740.38</v>
      </c>
      <c r="G48" s="236">
        <v>-134748.69</v>
      </c>
    </row>
    <row r="49" spans="2:14" ht="24" x14ac:dyDescent="0.25">
      <c r="B49" s="219" t="s">
        <v>1241</v>
      </c>
      <c r="C49" s="220" t="s">
        <v>1173</v>
      </c>
      <c r="D49" s="225"/>
      <c r="E49" s="234">
        <v>18723444.170000002</v>
      </c>
      <c r="F49" s="234">
        <v>1468442.58</v>
      </c>
      <c r="G49" s="234">
        <v>-1757116</v>
      </c>
      <c r="H49" s="234">
        <v>6017370.2800000003</v>
      </c>
      <c r="I49" s="234">
        <v>3750255.96</v>
      </c>
      <c r="J49" s="234">
        <v>3740474.3199999994</v>
      </c>
      <c r="K49" s="234">
        <v>518828.95000000007</v>
      </c>
      <c r="L49" s="234">
        <v>4271887.0999999996</v>
      </c>
      <c r="M49" s="234">
        <v>713300.98</v>
      </c>
      <c r="N49" s="234"/>
    </row>
    <row r="50" spans="2:14" x14ac:dyDescent="0.25">
      <c r="C50" s="226" t="s">
        <v>1182</v>
      </c>
      <c r="D50" s="212" t="s">
        <v>1181</v>
      </c>
      <c r="E50" s="235">
        <v>186191.33000000002</v>
      </c>
      <c r="F50" s="236">
        <v>10448.700000000001</v>
      </c>
      <c r="I50" s="236">
        <v>127534.94</v>
      </c>
      <c r="J50" s="236">
        <v>39965.82</v>
      </c>
      <c r="K50" s="236">
        <v>290.58999999999997</v>
      </c>
      <c r="L50" s="236">
        <v>527.72</v>
      </c>
      <c r="M50" s="236">
        <v>7423.56</v>
      </c>
      <c r="N50" s="236"/>
    </row>
    <row r="51" spans="2:14" x14ac:dyDescent="0.25">
      <c r="C51" s="226" t="s">
        <v>1190</v>
      </c>
      <c r="D51" s="212" t="s">
        <v>1189</v>
      </c>
      <c r="E51" s="235">
        <v>7448192.8099999996</v>
      </c>
      <c r="F51" s="236">
        <v>16640.22</v>
      </c>
      <c r="H51" s="236">
        <v>4468199.6500000004</v>
      </c>
      <c r="I51" s="236">
        <v>376887.36</v>
      </c>
      <c r="J51" s="236">
        <v>1644100.87</v>
      </c>
      <c r="K51" s="236">
        <v>88039.09</v>
      </c>
      <c r="L51" s="236">
        <v>256275.8</v>
      </c>
      <c r="M51" s="236">
        <v>598049.81999999995</v>
      </c>
      <c r="N51" s="236"/>
    </row>
    <row r="52" spans="2:14" x14ac:dyDescent="0.25">
      <c r="C52" s="226" t="s">
        <v>1180</v>
      </c>
      <c r="D52" s="212" t="s">
        <v>1179</v>
      </c>
      <c r="E52" s="235">
        <v>7249444.1699999999</v>
      </c>
      <c r="F52" s="236">
        <v>148354.07999999999</v>
      </c>
      <c r="H52" s="236">
        <v>1352594.12</v>
      </c>
      <c r="I52" s="236">
        <v>1212521.5</v>
      </c>
      <c r="J52" s="236">
        <v>1158842.1399999997</v>
      </c>
      <c r="K52" s="236">
        <v>199341.13</v>
      </c>
      <c r="L52" s="236">
        <v>3082393.4499999997</v>
      </c>
      <c r="M52" s="236">
        <v>95397.750000000044</v>
      </c>
      <c r="N52" s="236"/>
    </row>
    <row r="53" spans="2:14" x14ac:dyDescent="0.25">
      <c r="C53" s="226" t="s">
        <v>1178</v>
      </c>
      <c r="D53" s="212" t="s">
        <v>1177</v>
      </c>
      <c r="E53" s="235">
        <v>4332764.8900000006</v>
      </c>
      <c r="F53" s="236">
        <v>29032.61</v>
      </c>
      <c r="H53" s="236">
        <v>196576.50999999998</v>
      </c>
      <c r="I53" s="236">
        <v>2033312.1600000001</v>
      </c>
      <c r="J53" s="236">
        <v>897565.49</v>
      </c>
      <c r="K53" s="236">
        <v>231158.14</v>
      </c>
      <c r="L53" s="236">
        <v>932690.13</v>
      </c>
      <c r="M53" s="236">
        <v>12429.85</v>
      </c>
      <c r="N53" s="236"/>
    </row>
    <row r="54" spans="2:14" x14ac:dyDescent="0.25">
      <c r="C54" s="226" t="s">
        <v>1176</v>
      </c>
      <c r="D54" s="212" t="s">
        <v>1175</v>
      </c>
      <c r="E54" s="235">
        <v>-493149.03</v>
      </c>
      <c r="F54" s="236">
        <v>1263966.97</v>
      </c>
      <c r="G54" s="236">
        <v>-1757116</v>
      </c>
    </row>
    <row r="55" spans="2:14" s="18" customFormat="1" x14ac:dyDescent="0.25">
      <c r="B55" s="219" t="s">
        <v>1240</v>
      </c>
      <c r="C55" s="220" t="s">
        <v>1173</v>
      </c>
      <c r="D55" s="225"/>
      <c r="E55" s="234">
        <v>13950918.73000001</v>
      </c>
      <c r="F55" s="234">
        <v>809825.09000000008</v>
      </c>
      <c r="G55" s="234">
        <v>-306932.89</v>
      </c>
      <c r="H55" s="234">
        <v>1152717.2</v>
      </c>
      <c r="I55" s="234">
        <v>5272467.4100000011</v>
      </c>
      <c r="J55" s="234">
        <v>2045624.7300000007</v>
      </c>
      <c r="K55" s="234">
        <v>247024.82000000004</v>
      </c>
      <c r="L55" s="234">
        <v>4526975.96</v>
      </c>
      <c r="M55" s="234">
        <v>203216.41</v>
      </c>
      <c r="N55" s="234"/>
    </row>
    <row r="56" spans="2:14" x14ac:dyDescent="0.25">
      <c r="C56" s="226" t="s">
        <v>1182</v>
      </c>
      <c r="D56" s="212" t="s">
        <v>1181</v>
      </c>
      <c r="E56" s="235">
        <v>11085896.889999999</v>
      </c>
      <c r="F56" s="236">
        <v>475118.32</v>
      </c>
      <c r="H56" s="236">
        <v>1133998.06</v>
      </c>
      <c r="I56" s="236">
        <v>4083950.2100000009</v>
      </c>
      <c r="J56" s="236">
        <v>1585184.9000000006</v>
      </c>
      <c r="K56" s="236">
        <v>180367.05000000005</v>
      </c>
      <c r="L56" s="236">
        <v>3457947.88</v>
      </c>
      <c r="M56" s="236">
        <v>169330.47</v>
      </c>
      <c r="N56" s="236"/>
    </row>
    <row r="57" spans="2:14" x14ac:dyDescent="0.25">
      <c r="C57" s="226" t="s">
        <v>1180</v>
      </c>
      <c r="D57" s="212" t="s">
        <v>1179</v>
      </c>
      <c r="E57" s="235">
        <v>113680.50999999998</v>
      </c>
      <c r="H57" s="236">
        <v>16682.900000000001</v>
      </c>
      <c r="I57" s="236">
        <v>22690.649999999998</v>
      </c>
      <c r="J57" s="236">
        <v>13086.099999999997</v>
      </c>
      <c r="L57" s="236">
        <v>61220.86</v>
      </c>
    </row>
    <row r="58" spans="2:14" x14ac:dyDescent="0.25">
      <c r="C58" s="226" t="s">
        <v>1178</v>
      </c>
      <c r="D58" s="212" t="s">
        <v>1177</v>
      </c>
      <c r="E58" s="235">
        <v>2771680.52</v>
      </c>
      <c r="F58" s="236">
        <v>48983.07</v>
      </c>
      <c r="G58" s="236">
        <v>-870</v>
      </c>
      <c r="H58" s="236">
        <v>2036.24</v>
      </c>
      <c r="I58" s="236">
        <v>1165826.55</v>
      </c>
      <c r="J58" s="236">
        <v>447353.73</v>
      </c>
      <c r="K58" s="236">
        <v>66657.76999999999</v>
      </c>
      <c r="L58" s="236">
        <v>1007807.22</v>
      </c>
      <c r="M58" s="236">
        <v>33885.94</v>
      </c>
      <c r="N58" s="236"/>
    </row>
    <row r="59" spans="2:14" x14ac:dyDescent="0.25">
      <c r="C59" s="226" t="s">
        <v>1176</v>
      </c>
      <c r="D59" s="212" t="s">
        <v>1175</v>
      </c>
      <c r="E59" s="235">
        <v>-20339.189999999977</v>
      </c>
      <c r="F59" s="236">
        <v>285723.70000000007</v>
      </c>
      <c r="G59" s="236">
        <v>-306062.89</v>
      </c>
    </row>
    <row r="60" spans="2:14" s="18" customFormat="1" ht="24" x14ac:dyDescent="0.25">
      <c r="B60" s="219" t="s">
        <v>1239</v>
      </c>
      <c r="C60" s="220" t="s">
        <v>1173</v>
      </c>
      <c r="D60" s="225"/>
      <c r="E60" s="234">
        <v>3282989.64</v>
      </c>
      <c r="F60" s="234">
        <v>110870.5</v>
      </c>
      <c r="G60" s="234">
        <v>-29032.57</v>
      </c>
      <c r="H60" s="234">
        <v>55587.17</v>
      </c>
      <c r="I60" s="234">
        <v>2001559.9599999995</v>
      </c>
      <c r="J60" s="234">
        <v>694355.60000000126</v>
      </c>
      <c r="K60" s="234">
        <v>61719.12</v>
      </c>
      <c r="L60" s="234">
        <v>273604.59999999998</v>
      </c>
      <c r="M60" s="234">
        <v>114325.26000000007</v>
      </c>
      <c r="N60" s="234"/>
    </row>
    <row r="61" spans="2:14" x14ac:dyDescent="0.25">
      <c r="C61" s="226" t="s">
        <v>1182</v>
      </c>
      <c r="D61" s="212" t="s">
        <v>1181</v>
      </c>
      <c r="E61" s="235">
        <v>349141.17</v>
      </c>
      <c r="F61" s="236">
        <v>8907.5400000000009</v>
      </c>
      <c r="I61" s="236">
        <v>236995.08000000002</v>
      </c>
      <c r="J61" s="236">
        <v>74489.09</v>
      </c>
      <c r="K61" s="236">
        <v>5563.01</v>
      </c>
      <c r="L61" s="236">
        <v>15348.619999999999</v>
      </c>
      <c r="M61" s="236">
        <v>7837.8300000000008</v>
      </c>
      <c r="N61" s="236"/>
    </row>
    <row r="62" spans="2:14" x14ac:dyDescent="0.25">
      <c r="C62" s="226" t="s">
        <v>1178</v>
      </c>
      <c r="D62" s="212" t="s">
        <v>1177</v>
      </c>
      <c r="E62" s="235">
        <v>2936297.5300000012</v>
      </c>
      <c r="F62" s="236">
        <v>75379.45</v>
      </c>
      <c r="H62" s="236">
        <v>55587.17</v>
      </c>
      <c r="I62" s="236">
        <v>1764564.8799999994</v>
      </c>
      <c r="J62" s="236">
        <v>619866.51000000117</v>
      </c>
      <c r="K62" s="236">
        <v>56156.11</v>
      </c>
      <c r="L62" s="236">
        <v>258255.98</v>
      </c>
      <c r="M62" s="236">
        <v>106487.43000000008</v>
      </c>
      <c r="N62" s="236"/>
    </row>
    <row r="63" spans="2:14" x14ac:dyDescent="0.25">
      <c r="C63" s="226" t="s">
        <v>1176</v>
      </c>
      <c r="D63" s="212" t="s">
        <v>1175</v>
      </c>
      <c r="E63" s="235">
        <v>-2449.0599999999977</v>
      </c>
      <c r="F63" s="236">
        <v>26583.510000000002</v>
      </c>
      <c r="G63" s="236">
        <v>-29032.57</v>
      </c>
    </row>
    <row r="64" spans="2:14" s="18" customFormat="1" x14ac:dyDescent="0.25">
      <c r="B64" s="219" t="s">
        <v>1238</v>
      </c>
      <c r="C64" s="220" t="s">
        <v>1173</v>
      </c>
      <c r="D64" s="225"/>
      <c r="E64" s="234">
        <v>3045990.9699999993</v>
      </c>
      <c r="F64" s="234">
        <v>107883.20999999999</v>
      </c>
      <c r="G64" s="237"/>
      <c r="H64" s="237"/>
      <c r="I64" s="234">
        <v>1668170.7</v>
      </c>
      <c r="J64" s="234">
        <v>647423.16</v>
      </c>
      <c r="K64" s="234">
        <v>414108.95999999996</v>
      </c>
      <c r="L64" s="234">
        <v>148783.65999999997</v>
      </c>
      <c r="M64" s="234">
        <v>59621.279999999999</v>
      </c>
      <c r="N64" s="234"/>
    </row>
    <row r="65" spans="2:14" x14ac:dyDescent="0.25">
      <c r="C65" s="226" t="s">
        <v>1207</v>
      </c>
      <c r="D65" s="212" t="s">
        <v>1206</v>
      </c>
      <c r="E65" s="235">
        <v>120621.84999999999</v>
      </c>
      <c r="F65" s="236">
        <v>8674.59</v>
      </c>
      <c r="I65" s="236">
        <v>82729.179999999993</v>
      </c>
      <c r="J65" s="236">
        <v>27300.59</v>
      </c>
      <c r="L65" s="236">
        <v>1917.49</v>
      </c>
    </row>
    <row r="66" spans="2:14" x14ac:dyDescent="0.25">
      <c r="C66" s="226" t="s">
        <v>1178</v>
      </c>
      <c r="D66" s="212" t="s">
        <v>1177</v>
      </c>
      <c r="E66" s="235">
        <v>2915303.7600000002</v>
      </c>
      <c r="F66" s="236">
        <v>89143.26</v>
      </c>
      <c r="I66" s="236">
        <v>1585441.52</v>
      </c>
      <c r="J66" s="236">
        <v>620122.57000000007</v>
      </c>
      <c r="K66" s="236">
        <v>414108.95999999996</v>
      </c>
      <c r="L66" s="236">
        <v>146866.16999999998</v>
      </c>
      <c r="M66" s="236">
        <v>59621.279999999999</v>
      </c>
      <c r="N66" s="236"/>
    </row>
    <row r="67" spans="2:14" x14ac:dyDescent="0.25">
      <c r="C67" s="226" t="s">
        <v>1176</v>
      </c>
      <c r="D67" s="212" t="s">
        <v>1175</v>
      </c>
      <c r="E67" s="235">
        <v>10065.36</v>
      </c>
      <c r="F67" s="236">
        <v>10065.36</v>
      </c>
    </row>
    <row r="68" spans="2:14" s="18" customFormat="1" ht="24" x14ac:dyDescent="0.25">
      <c r="B68" s="219" t="s">
        <v>1237</v>
      </c>
      <c r="C68" s="220" t="s">
        <v>1173</v>
      </c>
      <c r="D68" s="225"/>
      <c r="E68" s="234">
        <v>41140850.890000045</v>
      </c>
      <c r="F68" s="234">
        <v>1367834.6</v>
      </c>
      <c r="G68" s="234">
        <v>-90000</v>
      </c>
      <c r="H68" s="234">
        <v>2209.7600000000002</v>
      </c>
      <c r="I68" s="234">
        <v>23496077.660000004</v>
      </c>
      <c r="J68" s="234">
        <v>9257579.5600000005</v>
      </c>
      <c r="K68" s="234">
        <v>724700.34</v>
      </c>
      <c r="L68" s="234">
        <v>5874572.4400000004</v>
      </c>
      <c r="M68" s="234">
        <v>507876.53</v>
      </c>
      <c r="N68" s="234"/>
    </row>
    <row r="69" spans="2:14" x14ac:dyDescent="0.25">
      <c r="C69" s="226" t="s">
        <v>1182</v>
      </c>
      <c r="D69" s="212" t="s">
        <v>1181</v>
      </c>
      <c r="E69" s="235">
        <v>8016505.3700000001</v>
      </c>
      <c r="F69" s="236">
        <v>267546.47999999986</v>
      </c>
      <c r="H69" s="236">
        <v>0</v>
      </c>
      <c r="I69" s="236">
        <v>4140715.38</v>
      </c>
      <c r="J69" s="236">
        <v>1533974.8199999998</v>
      </c>
      <c r="K69" s="236">
        <v>103979.10000000002</v>
      </c>
      <c r="L69" s="236">
        <v>1858879.2300000002</v>
      </c>
      <c r="M69" s="236">
        <v>111410.35999999997</v>
      </c>
      <c r="N69" s="236"/>
    </row>
    <row r="70" spans="2:14" x14ac:dyDescent="0.25">
      <c r="C70" s="226" t="s">
        <v>1180</v>
      </c>
      <c r="D70" s="212" t="s">
        <v>1179</v>
      </c>
      <c r="E70" s="235">
        <v>18044947.610000003</v>
      </c>
      <c r="F70" s="236">
        <v>500010.72</v>
      </c>
      <c r="H70" s="236">
        <v>0</v>
      </c>
      <c r="I70" s="236">
        <v>11163416.199999999</v>
      </c>
      <c r="J70" s="236">
        <v>4538098.0900000008</v>
      </c>
      <c r="K70" s="236">
        <v>88979.030000000013</v>
      </c>
      <c r="L70" s="236">
        <v>1599803.5600000003</v>
      </c>
      <c r="M70" s="236">
        <v>154640.01</v>
      </c>
      <c r="N70" s="236"/>
    </row>
    <row r="71" spans="2:14" x14ac:dyDescent="0.25">
      <c r="C71" s="226" t="s">
        <v>1178</v>
      </c>
      <c r="D71" s="212" t="s">
        <v>1177</v>
      </c>
      <c r="E71" s="235">
        <v>14765213.089999998</v>
      </c>
      <c r="F71" s="236">
        <v>196092.58</v>
      </c>
      <c r="H71" s="236">
        <v>2209.7600000000002</v>
      </c>
      <c r="I71" s="236">
        <v>8191946.0800000019</v>
      </c>
      <c r="J71" s="236">
        <v>3185506.6500000004</v>
      </c>
      <c r="K71" s="236">
        <v>531742.21</v>
      </c>
      <c r="L71" s="236">
        <v>2415889.6499999994</v>
      </c>
      <c r="M71" s="236">
        <v>241826.16000000003</v>
      </c>
      <c r="N71" s="236"/>
    </row>
    <row r="72" spans="2:14" x14ac:dyDescent="0.25">
      <c r="C72" s="226" t="s">
        <v>1176</v>
      </c>
      <c r="D72" s="212" t="s">
        <v>1175</v>
      </c>
      <c r="E72" s="235">
        <v>314184.82000000007</v>
      </c>
      <c r="F72" s="236">
        <v>404184.82000000007</v>
      </c>
      <c r="G72" s="236">
        <v>-90000</v>
      </c>
    </row>
    <row r="73" spans="2:14" s="18" customFormat="1" ht="24" x14ac:dyDescent="0.25">
      <c r="B73" s="219" t="s">
        <v>1236</v>
      </c>
      <c r="C73" s="220" t="s">
        <v>1173</v>
      </c>
      <c r="D73" s="225"/>
      <c r="E73" s="234">
        <v>33523736.960000001</v>
      </c>
      <c r="F73" s="234">
        <v>2032217.7399999998</v>
      </c>
      <c r="G73" s="234">
        <v>75876</v>
      </c>
      <c r="H73" s="234">
        <v>6423980.6999999993</v>
      </c>
      <c r="I73" s="234">
        <v>3669181.42</v>
      </c>
      <c r="J73" s="234">
        <v>4726532.7300000004</v>
      </c>
      <c r="K73" s="234">
        <v>257606.82</v>
      </c>
      <c r="L73" s="234">
        <v>16190913.17</v>
      </c>
      <c r="M73" s="234">
        <v>147428.38000000003</v>
      </c>
      <c r="N73" s="234"/>
    </row>
    <row r="74" spans="2:14" x14ac:dyDescent="0.25">
      <c r="C74" s="226" t="s">
        <v>1180</v>
      </c>
      <c r="D74" s="212" t="s">
        <v>1179</v>
      </c>
      <c r="E74" s="235">
        <v>23024033.66</v>
      </c>
      <c r="H74" s="236">
        <v>2685506.9999999995</v>
      </c>
      <c r="I74" s="236">
        <v>2777397.81</v>
      </c>
      <c r="J74" s="236">
        <v>3119201.92</v>
      </c>
      <c r="K74" s="236">
        <v>126846.55</v>
      </c>
      <c r="L74" s="236">
        <v>14306041.029999999</v>
      </c>
      <c r="M74" s="236">
        <v>9039.35</v>
      </c>
      <c r="N74" s="236"/>
    </row>
    <row r="75" spans="2:14" x14ac:dyDescent="0.25">
      <c r="C75" s="226" t="s">
        <v>1178</v>
      </c>
      <c r="D75" s="212" t="s">
        <v>1177</v>
      </c>
      <c r="E75" s="235">
        <v>8391609.5600000005</v>
      </c>
      <c r="H75" s="236">
        <v>3738473.6999999997</v>
      </c>
      <c r="I75" s="236">
        <v>891783.6100000001</v>
      </c>
      <c r="J75" s="236">
        <v>1607330.8100000005</v>
      </c>
      <c r="K75" s="236">
        <v>130760.27</v>
      </c>
      <c r="L75" s="236">
        <v>1884872.14</v>
      </c>
      <c r="M75" s="236">
        <v>138389.03000000003</v>
      </c>
      <c r="N75" s="236"/>
    </row>
    <row r="76" spans="2:14" x14ac:dyDescent="0.25">
      <c r="C76" s="226" t="s">
        <v>1176</v>
      </c>
      <c r="D76" s="212" t="s">
        <v>1175</v>
      </c>
      <c r="E76" s="235">
        <v>2108093.7399999998</v>
      </c>
      <c r="F76" s="236">
        <v>2032217.7399999998</v>
      </c>
      <c r="G76" s="236">
        <v>75876</v>
      </c>
    </row>
    <row r="77" spans="2:14" s="18" customFormat="1" x14ac:dyDescent="0.25">
      <c r="B77" s="219" t="s">
        <v>1235</v>
      </c>
      <c r="C77" s="220" t="s">
        <v>1173</v>
      </c>
      <c r="D77" s="225"/>
      <c r="E77" s="234">
        <v>424230.76999999996</v>
      </c>
      <c r="F77" s="234">
        <v>39197.61</v>
      </c>
      <c r="G77" s="237"/>
      <c r="H77" s="234">
        <v>27781.88</v>
      </c>
      <c r="I77" s="234">
        <v>205921.69</v>
      </c>
      <c r="J77" s="234">
        <v>78864.820000000007</v>
      </c>
      <c r="K77" s="234">
        <v>41038.29</v>
      </c>
      <c r="L77" s="234">
        <v>14427.66</v>
      </c>
      <c r="M77" s="234">
        <v>16998.82</v>
      </c>
      <c r="N77" s="234"/>
    </row>
    <row r="78" spans="2:14" x14ac:dyDescent="0.25">
      <c r="C78" s="226" t="s">
        <v>1182</v>
      </c>
      <c r="D78" s="212" t="s">
        <v>1181</v>
      </c>
      <c r="E78" s="235">
        <v>66311</v>
      </c>
      <c r="K78" s="236">
        <v>38680.370000000003</v>
      </c>
      <c r="L78" s="236">
        <v>24220.05</v>
      </c>
      <c r="M78" s="236">
        <v>3410.58</v>
      </c>
      <c r="N78" s="236"/>
    </row>
    <row r="79" spans="2:14" x14ac:dyDescent="0.25">
      <c r="C79" s="226" t="s">
        <v>1180</v>
      </c>
      <c r="D79" s="212" t="s">
        <v>1179</v>
      </c>
      <c r="E79" s="235">
        <v>33595.040000000001</v>
      </c>
      <c r="H79" s="236">
        <v>25705.45</v>
      </c>
      <c r="J79" s="236">
        <v>2211.59</v>
      </c>
      <c r="K79" s="236">
        <v>0</v>
      </c>
      <c r="L79" s="236">
        <v>5678</v>
      </c>
      <c r="M79" s="236">
        <v>0</v>
      </c>
      <c r="N79" s="236"/>
    </row>
    <row r="80" spans="2:14" x14ac:dyDescent="0.25">
      <c r="C80" s="226" t="s">
        <v>1178</v>
      </c>
      <c r="D80" s="212" t="s">
        <v>1177</v>
      </c>
      <c r="E80" s="235">
        <v>317271.73</v>
      </c>
      <c r="F80" s="236">
        <v>32144.61</v>
      </c>
      <c r="H80" s="236">
        <v>2076.4299999999998</v>
      </c>
      <c r="I80" s="236">
        <v>205921.69</v>
      </c>
      <c r="J80" s="236">
        <v>76653.23000000001</v>
      </c>
      <c r="K80" s="236">
        <v>2357.92</v>
      </c>
      <c r="L80" s="236">
        <v>-15470.39</v>
      </c>
      <c r="M80" s="236">
        <v>13588.24</v>
      </c>
      <c r="N80" s="236"/>
    </row>
    <row r="81" spans="2:14" x14ac:dyDescent="0.25">
      <c r="C81" s="226" t="s">
        <v>1176</v>
      </c>
      <c r="D81" s="212" t="s">
        <v>1175</v>
      </c>
      <c r="E81" s="235">
        <v>7053</v>
      </c>
      <c r="F81" s="236">
        <v>7053</v>
      </c>
    </row>
    <row r="82" spans="2:14" ht="24" x14ac:dyDescent="0.25">
      <c r="B82" s="219" t="s">
        <v>1234</v>
      </c>
      <c r="C82" s="220" t="s">
        <v>1173</v>
      </c>
      <c r="D82" s="225"/>
      <c r="E82" s="234">
        <v>4807805.0399999991</v>
      </c>
      <c r="F82" s="234">
        <v>21721.78</v>
      </c>
      <c r="G82" s="237"/>
      <c r="H82" s="234">
        <v>2499580.0199999996</v>
      </c>
      <c r="I82" s="234">
        <v>9725.7799999999988</v>
      </c>
      <c r="J82" s="234">
        <v>971802.57999999973</v>
      </c>
      <c r="K82" s="234">
        <v>1674.8400000000001</v>
      </c>
      <c r="L82" s="234">
        <v>1301195.4600000002</v>
      </c>
      <c r="M82" s="234">
        <v>2104.58</v>
      </c>
      <c r="N82" s="234"/>
    </row>
    <row r="83" spans="2:14" x14ac:dyDescent="0.25">
      <c r="C83" s="226" t="s">
        <v>1182</v>
      </c>
      <c r="D83" s="212" t="s">
        <v>1181</v>
      </c>
      <c r="E83" s="235">
        <v>1380997.04</v>
      </c>
      <c r="F83" s="236">
        <v>21721.78</v>
      </c>
      <c r="H83" s="236">
        <v>358061.8</v>
      </c>
      <c r="I83" s="236">
        <v>1440</v>
      </c>
      <c r="J83" s="236">
        <v>118563.13000000002</v>
      </c>
      <c r="K83" s="236">
        <v>1674.8400000000001</v>
      </c>
      <c r="L83" s="236">
        <v>877430.91000000015</v>
      </c>
      <c r="M83" s="236">
        <v>2104.58</v>
      </c>
      <c r="N83" s="236"/>
    </row>
    <row r="84" spans="2:14" x14ac:dyDescent="0.25">
      <c r="C84" s="226" t="s">
        <v>1180</v>
      </c>
      <c r="D84" s="212" t="s">
        <v>1179</v>
      </c>
      <c r="E84" s="235">
        <v>3426807.9999999995</v>
      </c>
      <c r="H84" s="236">
        <v>2141518.2199999997</v>
      </c>
      <c r="I84" s="236">
        <v>8285.7799999999988</v>
      </c>
      <c r="J84" s="236">
        <v>853239.44999999972</v>
      </c>
      <c r="L84" s="236">
        <v>423764.55</v>
      </c>
    </row>
    <row r="85" spans="2:14" x14ac:dyDescent="0.25">
      <c r="B85" s="219" t="s">
        <v>1233</v>
      </c>
      <c r="C85" s="220" t="s">
        <v>1173</v>
      </c>
      <c r="D85" s="225"/>
      <c r="E85" s="234">
        <v>8703744.3600000031</v>
      </c>
      <c r="F85" s="234">
        <v>416043.89</v>
      </c>
      <c r="G85" s="234">
        <v>-145775</v>
      </c>
      <c r="H85" s="234">
        <v>1118212.04</v>
      </c>
      <c r="I85" s="234">
        <v>3816049.6200000006</v>
      </c>
      <c r="J85" s="234">
        <v>1594167.6600000001</v>
      </c>
      <c r="K85" s="234">
        <v>502764.56</v>
      </c>
      <c r="L85" s="234">
        <v>1169176.99</v>
      </c>
      <c r="M85" s="234">
        <v>233104.6</v>
      </c>
      <c r="N85" s="234"/>
    </row>
    <row r="86" spans="2:14" x14ac:dyDescent="0.25">
      <c r="C86" s="226" t="s">
        <v>1182</v>
      </c>
      <c r="D86" s="212" t="s">
        <v>1181</v>
      </c>
      <c r="E86" s="235">
        <v>6032124.9400000004</v>
      </c>
      <c r="F86" s="236">
        <v>212689.72999999998</v>
      </c>
      <c r="H86" s="236">
        <v>754714.52000000014</v>
      </c>
      <c r="I86" s="236">
        <v>2706624.2900000005</v>
      </c>
      <c r="J86" s="236">
        <v>1146737.8200000003</v>
      </c>
      <c r="K86" s="236">
        <v>215883.72</v>
      </c>
      <c r="L86" s="236">
        <v>828616.61</v>
      </c>
      <c r="M86" s="236">
        <v>166858.25</v>
      </c>
      <c r="N86" s="236"/>
    </row>
    <row r="87" spans="2:14" x14ac:dyDescent="0.25">
      <c r="C87" s="226" t="s">
        <v>1180</v>
      </c>
      <c r="D87" s="212" t="s">
        <v>1179</v>
      </c>
      <c r="E87" s="235">
        <v>2910.4</v>
      </c>
      <c r="K87" s="236">
        <v>1296.3800000000001</v>
      </c>
      <c r="L87" s="236">
        <v>1020</v>
      </c>
      <c r="M87" s="236">
        <v>594.02</v>
      </c>
      <c r="N87" s="236"/>
    </row>
    <row r="88" spans="2:14" x14ac:dyDescent="0.25">
      <c r="C88" s="226" t="s">
        <v>1194</v>
      </c>
      <c r="D88" s="212" t="s">
        <v>1193</v>
      </c>
      <c r="E88" s="235">
        <v>49040.4</v>
      </c>
      <c r="L88" s="236">
        <v>49040.4</v>
      </c>
    </row>
    <row r="89" spans="2:14" x14ac:dyDescent="0.25">
      <c r="C89" s="226" t="s">
        <v>1232</v>
      </c>
      <c r="D89" s="212" t="s">
        <v>1231</v>
      </c>
      <c r="E89" s="235">
        <v>1255.3800000000001</v>
      </c>
      <c r="L89" s="236">
        <v>1255.3800000000001</v>
      </c>
    </row>
    <row r="90" spans="2:14" x14ac:dyDescent="0.25">
      <c r="C90" s="226" t="s">
        <v>1178</v>
      </c>
      <c r="D90" s="212" t="s">
        <v>1177</v>
      </c>
      <c r="E90" s="235">
        <v>2650978.4300000016</v>
      </c>
      <c r="F90" s="236">
        <v>90144.349999999991</v>
      </c>
      <c r="H90" s="236">
        <v>363497.52</v>
      </c>
      <c r="I90" s="236">
        <v>1109425.33</v>
      </c>
      <c r="J90" s="236">
        <v>447429.84000000008</v>
      </c>
      <c r="K90" s="236">
        <v>285584.46000000002</v>
      </c>
      <c r="L90" s="236">
        <v>289244.60000000003</v>
      </c>
      <c r="M90" s="236">
        <v>65652.33</v>
      </c>
      <c r="N90" s="236"/>
    </row>
    <row r="91" spans="2:14" x14ac:dyDescent="0.25">
      <c r="C91" s="226" t="s">
        <v>1176</v>
      </c>
      <c r="D91" s="212" t="s">
        <v>1175</v>
      </c>
      <c r="E91" s="235">
        <v>-32565.190000000002</v>
      </c>
      <c r="F91" s="236">
        <v>113209.81</v>
      </c>
      <c r="G91" s="236">
        <v>-145775</v>
      </c>
    </row>
    <row r="92" spans="2:14" ht="24" x14ac:dyDescent="0.25">
      <c r="B92" s="219" t="s">
        <v>1230</v>
      </c>
      <c r="C92" s="220" t="s">
        <v>1173</v>
      </c>
      <c r="D92" s="225"/>
      <c r="E92" s="234">
        <v>1521128.7200000002</v>
      </c>
      <c r="F92" s="234">
        <v>51364.110000000008</v>
      </c>
      <c r="G92" s="237"/>
      <c r="H92" s="234">
        <v>156010.88</v>
      </c>
      <c r="I92" s="234">
        <v>412498.23</v>
      </c>
      <c r="J92" s="234">
        <v>199239.49000000002</v>
      </c>
      <c r="K92" s="234">
        <v>357000.59</v>
      </c>
      <c r="L92" s="234">
        <v>306335.55</v>
      </c>
      <c r="M92" s="234">
        <v>38679.870000000003</v>
      </c>
      <c r="N92" s="234"/>
    </row>
    <row r="93" spans="2:14" x14ac:dyDescent="0.25">
      <c r="C93" s="226" t="s">
        <v>1182</v>
      </c>
      <c r="D93" s="212" t="s">
        <v>1181</v>
      </c>
      <c r="E93" s="235">
        <v>793517.58000000007</v>
      </c>
      <c r="F93" s="236">
        <v>29238.71</v>
      </c>
      <c r="H93" s="236">
        <v>156010.88</v>
      </c>
      <c r="I93" s="236">
        <v>217865.63</v>
      </c>
      <c r="J93" s="236">
        <v>128016.17000000001</v>
      </c>
      <c r="K93" s="236">
        <v>16237.330000000002</v>
      </c>
      <c r="L93" s="236">
        <v>215706.89</v>
      </c>
      <c r="M93" s="236">
        <v>30441.97</v>
      </c>
      <c r="N93" s="236"/>
    </row>
    <row r="94" spans="2:14" x14ac:dyDescent="0.25">
      <c r="C94" s="226" t="s">
        <v>1180</v>
      </c>
      <c r="D94" s="212" t="s">
        <v>1179</v>
      </c>
      <c r="E94" s="235">
        <v>727611.14</v>
      </c>
      <c r="F94" s="236">
        <v>22125.4</v>
      </c>
      <c r="I94" s="236">
        <v>194632.6</v>
      </c>
      <c r="J94" s="236">
        <v>71223.320000000007</v>
      </c>
      <c r="K94" s="236">
        <v>340763.26</v>
      </c>
      <c r="L94" s="236">
        <v>90628.659999999989</v>
      </c>
      <c r="M94" s="236">
        <v>8237.9</v>
      </c>
      <c r="N94" s="236"/>
    </row>
    <row r="95" spans="2:14" x14ac:dyDescent="0.25">
      <c r="B95" s="219" t="s">
        <v>1229</v>
      </c>
      <c r="C95" s="220" t="s">
        <v>1173</v>
      </c>
      <c r="D95" s="225"/>
      <c r="E95" s="234">
        <v>20452.36</v>
      </c>
      <c r="F95" s="234">
        <v>1513</v>
      </c>
      <c r="G95" s="237"/>
      <c r="H95" s="237"/>
      <c r="I95" s="234">
        <v>8205.01</v>
      </c>
      <c r="J95" s="234">
        <v>3380.35</v>
      </c>
      <c r="K95" s="234">
        <v>6719.85</v>
      </c>
      <c r="L95" s="234">
        <v>566.45000000000005</v>
      </c>
      <c r="M95" s="234">
        <v>67.7</v>
      </c>
      <c r="N95" s="234"/>
    </row>
    <row r="96" spans="2:14" x14ac:dyDescent="0.25">
      <c r="C96" s="226" t="s">
        <v>1182</v>
      </c>
      <c r="D96" s="212" t="s">
        <v>1181</v>
      </c>
      <c r="E96" s="235">
        <v>20165.11</v>
      </c>
      <c r="F96" s="236">
        <v>1513</v>
      </c>
      <c r="I96" s="236">
        <v>8205.01</v>
      </c>
      <c r="J96" s="236">
        <v>3380.35</v>
      </c>
      <c r="K96" s="236">
        <v>6499.05</v>
      </c>
      <c r="L96" s="236">
        <v>500</v>
      </c>
      <c r="M96" s="236">
        <v>67.7</v>
      </c>
      <c r="N96" s="236"/>
    </row>
    <row r="97" spans="2:14" x14ac:dyDescent="0.25">
      <c r="C97" s="226" t="s">
        <v>1178</v>
      </c>
      <c r="D97" s="212" t="s">
        <v>1177</v>
      </c>
      <c r="E97" s="235">
        <v>287.25</v>
      </c>
      <c r="K97" s="236">
        <v>220.8</v>
      </c>
      <c r="L97" s="236">
        <v>66.45</v>
      </c>
      <c r="M97" s="236">
        <v>0</v>
      </c>
      <c r="N97" s="236"/>
    </row>
    <row r="98" spans="2:14" x14ac:dyDescent="0.25">
      <c r="C98" s="226" t="s">
        <v>1176</v>
      </c>
      <c r="D98" s="212" t="s">
        <v>1175</v>
      </c>
      <c r="E98" s="235">
        <v>0</v>
      </c>
      <c r="F98" s="236">
        <v>0</v>
      </c>
    </row>
    <row r="99" spans="2:14" x14ac:dyDescent="0.25">
      <c r="B99" s="219" t="s">
        <v>1228</v>
      </c>
      <c r="C99" s="220" t="s">
        <v>1173</v>
      </c>
      <c r="D99" s="225"/>
      <c r="E99" s="234">
        <v>33000</v>
      </c>
      <c r="F99" s="237"/>
      <c r="G99" s="237"/>
      <c r="H99" s="237"/>
      <c r="I99" s="237"/>
      <c r="J99" s="237"/>
      <c r="K99" s="237"/>
      <c r="L99" s="234">
        <v>33000</v>
      </c>
      <c r="M99" s="237"/>
      <c r="N99" s="237"/>
    </row>
    <row r="100" spans="2:14" x14ac:dyDescent="0.25">
      <c r="C100" s="226" t="s">
        <v>1182</v>
      </c>
      <c r="D100" s="212" t="s">
        <v>1181</v>
      </c>
      <c r="E100" s="235">
        <v>33000</v>
      </c>
      <c r="L100" s="236">
        <v>33000</v>
      </c>
    </row>
    <row r="101" spans="2:14" ht="24" x14ac:dyDescent="0.25">
      <c r="B101" s="219" t="s">
        <v>1227</v>
      </c>
      <c r="C101" s="220" t="s">
        <v>1173</v>
      </c>
      <c r="D101" s="225"/>
      <c r="E101" s="234">
        <v>10717.759999999998</v>
      </c>
      <c r="F101" s="234">
        <v>233.34</v>
      </c>
      <c r="G101" s="237"/>
      <c r="H101" s="237"/>
      <c r="I101" s="234">
        <v>6448.72</v>
      </c>
      <c r="J101" s="234">
        <v>2610.2399999999998</v>
      </c>
      <c r="K101" s="237"/>
      <c r="L101" s="234">
        <v>1348.46</v>
      </c>
      <c r="M101" s="234">
        <v>77</v>
      </c>
      <c r="N101" s="234"/>
    </row>
    <row r="102" spans="2:14" x14ac:dyDescent="0.25">
      <c r="C102" s="226" t="s">
        <v>1178</v>
      </c>
      <c r="D102" s="212" t="s">
        <v>1177</v>
      </c>
      <c r="E102" s="235">
        <v>10717.76</v>
      </c>
      <c r="F102" s="236">
        <v>233.34</v>
      </c>
      <c r="I102" s="236">
        <v>6448.72</v>
      </c>
      <c r="J102" s="236">
        <v>2610.2399999999998</v>
      </c>
      <c r="L102" s="236">
        <v>1348.46</v>
      </c>
      <c r="M102" s="236">
        <v>77</v>
      </c>
      <c r="N102" s="236"/>
    </row>
    <row r="103" spans="2:14" x14ac:dyDescent="0.25">
      <c r="B103" s="219" t="s">
        <v>1226</v>
      </c>
      <c r="C103" s="220" t="s">
        <v>1173</v>
      </c>
      <c r="D103" s="225"/>
      <c r="E103" s="234">
        <v>78298.240000000034</v>
      </c>
      <c r="F103" s="234">
        <v>1586.65</v>
      </c>
      <c r="G103" s="237"/>
      <c r="H103" s="237"/>
      <c r="I103" s="234">
        <v>37714.07</v>
      </c>
      <c r="J103" s="234">
        <v>12134.86</v>
      </c>
      <c r="K103" s="234">
        <v>1904.8200000000002</v>
      </c>
      <c r="L103" s="234">
        <v>23187.54</v>
      </c>
      <c r="M103" s="234">
        <v>1770.3000000000002</v>
      </c>
      <c r="N103" s="234"/>
    </row>
    <row r="104" spans="2:14" x14ac:dyDescent="0.25">
      <c r="C104" s="226" t="s">
        <v>1182</v>
      </c>
      <c r="D104" s="212" t="s">
        <v>1181</v>
      </c>
      <c r="E104" s="235">
        <v>69372.95</v>
      </c>
      <c r="F104" s="236">
        <v>1067.8</v>
      </c>
      <c r="I104" s="236">
        <v>37714.07</v>
      </c>
      <c r="J104" s="236">
        <v>12134.86</v>
      </c>
      <c r="L104" s="236">
        <v>16748.060000000001</v>
      </c>
      <c r="M104" s="236">
        <v>1708.16</v>
      </c>
      <c r="N104" s="236"/>
    </row>
    <row r="105" spans="2:14" x14ac:dyDescent="0.25">
      <c r="C105" s="226" t="s">
        <v>1178</v>
      </c>
      <c r="D105" s="212" t="s">
        <v>1177</v>
      </c>
      <c r="E105" s="235">
        <v>8506.44</v>
      </c>
      <c r="F105" s="236">
        <v>100</v>
      </c>
      <c r="I105" s="236">
        <v>0</v>
      </c>
      <c r="J105" s="236">
        <v>0</v>
      </c>
      <c r="K105" s="236">
        <v>1904.8200000000002</v>
      </c>
      <c r="L105" s="236">
        <v>6439.48</v>
      </c>
      <c r="M105" s="236">
        <v>62.14</v>
      </c>
      <c r="N105" s="236"/>
    </row>
    <row r="106" spans="2:14" x14ac:dyDescent="0.25">
      <c r="C106" s="226" t="s">
        <v>1176</v>
      </c>
      <c r="D106" s="212" t="s">
        <v>1175</v>
      </c>
      <c r="E106" s="235">
        <v>418.85</v>
      </c>
      <c r="F106" s="236">
        <v>418.85</v>
      </c>
    </row>
    <row r="107" spans="2:14" x14ac:dyDescent="0.25">
      <c r="B107" s="219" t="s">
        <v>1225</v>
      </c>
      <c r="C107" s="220" t="s">
        <v>1173</v>
      </c>
      <c r="D107" s="225"/>
      <c r="E107" s="234">
        <v>3848245.2699999996</v>
      </c>
      <c r="F107" s="234">
        <v>135418.18</v>
      </c>
      <c r="G107" s="234">
        <v>-27850</v>
      </c>
      <c r="H107" s="234">
        <v>324408.87</v>
      </c>
      <c r="I107" s="234">
        <v>1469683.04</v>
      </c>
      <c r="J107" s="234">
        <v>569503.41</v>
      </c>
      <c r="K107" s="234">
        <v>197537.88999999998</v>
      </c>
      <c r="L107" s="234">
        <v>885840.62</v>
      </c>
      <c r="M107" s="234">
        <v>69177.109999999986</v>
      </c>
      <c r="N107" s="234">
        <v>224526.15</v>
      </c>
    </row>
    <row r="108" spans="2:14" x14ac:dyDescent="0.25">
      <c r="C108" s="226" t="s">
        <v>1182</v>
      </c>
      <c r="D108" s="212" t="s">
        <v>1181</v>
      </c>
      <c r="E108" s="235">
        <v>1114218.0900000003</v>
      </c>
      <c r="F108" s="236">
        <v>40519.79</v>
      </c>
      <c r="I108" s="236">
        <v>645586.69999999995</v>
      </c>
      <c r="J108" s="236">
        <v>198112.54000000004</v>
      </c>
      <c r="K108" s="236">
        <v>9329.08</v>
      </c>
      <c r="L108" s="236">
        <v>205931.69</v>
      </c>
      <c r="M108" s="236">
        <v>14738.29</v>
      </c>
      <c r="N108" s="236"/>
    </row>
    <row r="109" spans="2:14" x14ac:dyDescent="0.25">
      <c r="C109" s="226" t="s">
        <v>1180</v>
      </c>
      <c r="D109" s="212" t="s">
        <v>1179</v>
      </c>
      <c r="E109" s="235">
        <v>1034898.06</v>
      </c>
      <c r="F109" s="236">
        <v>2643.7</v>
      </c>
      <c r="H109" s="236">
        <v>219663.04</v>
      </c>
      <c r="I109" s="236">
        <v>22713.89</v>
      </c>
      <c r="J109" s="236">
        <v>61159.24</v>
      </c>
      <c r="K109" s="236">
        <v>170308.83</v>
      </c>
      <c r="L109" s="236">
        <v>326809.15999999997</v>
      </c>
      <c r="M109" s="236">
        <v>7074.05</v>
      </c>
      <c r="N109" s="236">
        <v>224526.15</v>
      </c>
    </row>
    <row r="110" spans="2:14" x14ac:dyDescent="0.25">
      <c r="C110" s="226" t="s">
        <v>1178</v>
      </c>
      <c r="D110" s="212" t="s">
        <v>1177</v>
      </c>
      <c r="E110" s="235">
        <v>1712030.42</v>
      </c>
      <c r="F110" s="236">
        <v>77305.989999999991</v>
      </c>
      <c r="H110" s="236">
        <v>104745.83</v>
      </c>
      <c r="I110" s="236">
        <v>801382.45</v>
      </c>
      <c r="J110" s="236">
        <v>310231.63</v>
      </c>
      <c r="K110" s="236">
        <v>17899.98</v>
      </c>
      <c r="L110" s="236">
        <v>353099.77</v>
      </c>
      <c r="M110" s="236">
        <v>47364.77</v>
      </c>
      <c r="N110" s="236"/>
    </row>
    <row r="111" spans="2:14" x14ac:dyDescent="0.25">
      <c r="C111" s="226" t="s">
        <v>1176</v>
      </c>
      <c r="D111" s="212" t="s">
        <v>1175</v>
      </c>
      <c r="E111" s="235">
        <v>-12901.3</v>
      </c>
      <c r="F111" s="236">
        <v>14948.7</v>
      </c>
      <c r="G111" s="236">
        <v>-27850</v>
      </c>
    </row>
    <row r="112" spans="2:14" x14ac:dyDescent="0.25">
      <c r="B112" s="219" t="s">
        <v>1224</v>
      </c>
      <c r="C112" s="220" t="s">
        <v>1173</v>
      </c>
      <c r="D112" s="225"/>
      <c r="E112" s="234">
        <v>130199087.85999998</v>
      </c>
      <c r="F112" s="234">
        <v>6197229.6400000006</v>
      </c>
      <c r="G112" s="234">
        <v>-1919102.3900000001</v>
      </c>
      <c r="H112" s="234">
        <v>7990.5</v>
      </c>
      <c r="I112" s="234">
        <v>32164914.57</v>
      </c>
      <c r="J112" s="234">
        <v>12556019.169999994</v>
      </c>
      <c r="K112" s="234">
        <v>3759078.899999999</v>
      </c>
      <c r="L112" s="234">
        <v>76428167.209999979</v>
      </c>
      <c r="M112" s="234">
        <v>576465.3899999999</v>
      </c>
      <c r="N112" s="234">
        <v>428324.87</v>
      </c>
    </row>
    <row r="113" spans="2:14" x14ac:dyDescent="0.25">
      <c r="C113" s="226" t="s">
        <v>1223</v>
      </c>
      <c r="D113" s="212" t="s">
        <v>1222</v>
      </c>
      <c r="E113" s="235">
        <v>160425.25</v>
      </c>
      <c r="F113" s="236">
        <v>10381.430000000002</v>
      </c>
      <c r="I113" s="236">
        <v>113560.1</v>
      </c>
      <c r="J113" s="236">
        <v>33988.339999999997</v>
      </c>
      <c r="K113" s="236">
        <v>1546.78</v>
      </c>
      <c r="L113" s="236">
        <v>948.6</v>
      </c>
    </row>
    <row r="114" spans="2:14" x14ac:dyDescent="0.25">
      <c r="C114" s="226" t="s">
        <v>1182</v>
      </c>
      <c r="D114" s="212" t="s">
        <v>1181</v>
      </c>
      <c r="E114" s="235">
        <v>2666267.9700000002</v>
      </c>
      <c r="F114" s="236">
        <v>95829.619999999981</v>
      </c>
      <c r="I114" s="236">
        <v>1393168.31</v>
      </c>
      <c r="J114" s="236">
        <v>491524.11</v>
      </c>
      <c r="K114" s="236">
        <v>64917.3</v>
      </c>
      <c r="L114" s="236">
        <v>401108.72000000003</v>
      </c>
      <c r="M114" s="236">
        <v>219719.91</v>
      </c>
      <c r="N114" s="236"/>
    </row>
    <row r="115" spans="2:14" x14ac:dyDescent="0.25">
      <c r="C115" s="226" t="s">
        <v>1190</v>
      </c>
      <c r="D115" s="212" t="s">
        <v>1189</v>
      </c>
      <c r="E115" s="235">
        <v>416195.88999999984</v>
      </c>
      <c r="F115" s="236">
        <v>13386.55</v>
      </c>
      <c r="H115" s="236">
        <v>7990.5</v>
      </c>
      <c r="I115" s="236">
        <v>269601.23</v>
      </c>
      <c r="J115" s="236">
        <v>98113.45999999989</v>
      </c>
      <c r="K115" s="236">
        <v>5769.6500000000005</v>
      </c>
      <c r="L115" s="236">
        <v>8356.3099999999977</v>
      </c>
      <c r="M115" s="236">
        <v>12978.189999999968</v>
      </c>
      <c r="N115" s="236"/>
    </row>
    <row r="116" spans="2:14" x14ac:dyDescent="0.25">
      <c r="C116" s="226" t="s">
        <v>1180</v>
      </c>
      <c r="D116" s="212" t="s">
        <v>1179</v>
      </c>
      <c r="E116" s="235">
        <v>91033393.039999992</v>
      </c>
      <c r="F116" s="236">
        <v>792792.88</v>
      </c>
      <c r="I116" s="236">
        <v>12639450.399999999</v>
      </c>
      <c r="J116" s="236">
        <v>6092147.4599999953</v>
      </c>
      <c r="K116" s="236">
        <v>1489172.65</v>
      </c>
      <c r="L116" s="236">
        <v>69803130.480000004</v>
      </c>
      <c r="M116" s="236">
        <v>181608.3299999999</v>
      </c>
      <c r="N116" s="236">
        <v>35090.840000000004</v>
      </c>
    </row>
    <row r="117" spans="2:14" x14ac:dyDescent="0.25">
      <c r="C117" s="226" t="s">
        <v>1221</v>
      </c>
      <c r="D117" s="212" t="s">
        <v>1220</v>
      </c>
      <c r="E117" s="235">
        <v>15816.779999999997</v>
      </c>
      <c r="K117" s="236">
        <v>15816.779999999997</v>
      </c>
    </row>
    <row r="118" spans="2:14" x14ac:dyDescent="0.25">
      <c r="C118" s="226" t="s">
        <v>1219</v>
      </c>
      <c r="D118" s="212" t="s">
        <v>1218</v>
      </c>
      <c r="E118" s="235">
        <v>151686.96000000002</v>
      </c>
      <c r="I118" s="236">
        <v>36780.29</v>
      </c>
      <c r="J118" s="236">
        <v>21702.190000000002</v>
      </c>
      <c r="K118" s="236">
        <v>65405.08</v>
      </c>
      <c r="L118" s="236">
        <v>27799.4</v>
      </c>
    </row>
    <row r="119" spans="2:14" x14ac:dyDescent="0.25">
      <c r="C119" s="226" t="s">
        <v>1200</v>
      </c>
      <c r="D119" s="212" t="s">
        <v>1199</v>
      </c>
      <c r="E119" s="235">
        <v>192853.88</v>
      </c>
      <c r="I119" s="236">
        <v>115984.06</v>
      </c>
      <c r="J119" s="236">
        <v>76869.819999999992</v>
      </c>
    </row>
    <row r="120" spans="2:14" x14ac:dyDescent="0.25">
      <c r="C120" s="226" t="s">
        <v>1194</v>
      </c>
      <c r="D120" s="212" t="s">
        <v>1193</v>
      </c>
      <c r="E120" s="235">
        <v>1875664.78</v>
      </c>
      <c r="F120" s="236">
        <v>22577.889999999996</v>
      </c>
      <c r="I120" s="236">
        <v>262959.12</v>
      </c>
      <c r="J120" s="236">
        <v>105563.04999999999</v>
      </c>
      <c r="K120" s="236">
        <v>25450.07</v>
      </c>
      <c r="L120" s="236">
        <v>1092105.5300000003</v>
      </c>
      <c r="M120" s="236">
        <v>765.55</v>
      </c>
      <c r="N120" s="236">
        <v>366243.57</v>
      </c>
    </row>
    <row r="121" spans="2:14" x14ac:dyDescent="0.25">
      <c r="C121" s="226" t="s">
        <v>1207</v>
      </c>
      <c r="D121" s="212" t="s">
        <v>1206</v>
      </c>
      <c r="E121" s="235">
        <v>177915.33000000002</v>
      </c>
      <c r="F121" s="236">
        <v>9776.2900000000009</v>
      </c>
      <c r="I121" s="236">
        <v>119790.65</v>
      </c>
      <c r="J121" s="236">
        <v>46667.950000000004</v>
      </c>
      <c r="K121" s="236">
        <v>579</v>
      </c>
      <c r="L121" s="236">
        <v>624.41</v>
      </c>
      <c r="M121" s="236">
        <v>477.03</v>
      </c>
      <c r="N121" s="236"/>
    </row>
    <row r="122" spans="2:14" x14ac:dyDescent="0.25">
      <c r="C122" s="226" t="s">
        <v>1217</v>
      </c>
      <c r="D122" s="212" t="s">
        <v>1216</v>
      </c>
      <c r="E122" s="235">
        <v>6223.38</v>
      </c>
      <c r="L122" s="236">
        <v>6223.38</v>
      </c>
    </row>
    <row r="123" spans="2:14" x14ac:dyDescent="0.25">
      <c r="C123" s="226" t="s">
        <v>1170</v>
      </c>
      <c r="D123" s="212" t="s">
        <v>1169</v>
      </c>
      <c r="E123" s="235">
        <v>5169.26</v>
      </c>
      <c r="L123" s="236">
        <v>5169.26</v>
      </c>
    </row>
    <row r="124" spans="2:14" x14ac:dyDescent="0.25">
      <c r="C124" s="226" t="s">
        <v>1168</v>
      </c>
      <c r="D124" s="212" t="s">
        <v>1167</v>
      </c>
      <c r="E124" s="235">
        <v>26990.46</v>
      </c>
      <c r="N124" s="228">
        <v>26990.46</v>
      </c>
    </row>
    <row r="125" spans="2:14" x14ac:dyDescent="0.25">
      <c r="C125" s="226" t="s">
        <v>1178</v>
      </c>
      <c r="D125" s="212" t="s">
        <v>1177</v>
      </c>
      <c r="E125" s="235">
        <v>32776433.979999997</v>
      </c>
      <c r="F125" s="236">
        <v>2639331.6900000004</v>
      </c>
      <c r="I125" s="236">
        <v>17213620.410000004</v>
      </c>
      <c r="J125" s="236">
        <v>5589442.79</v>
      </c>
      <c r="K125" s="236">
        <v>2090421.59</v>
      </c>
      <c r="L125" s="236">
        <v>5082701.12</v>
      </c>
      <c r="M125" s="236">
        <v>160916.37999999998</v>
      </c>
      <c r="N125" s="236"/>
    </row>
    <row r="126" spans="2:14" x14ac:dyDescent="0.25">
      <c r="C126" s="226" t="s">
        <v>1176</v>
      </c>
      <c r="D126" s="212" t="s">
        <v>1175</v>
      </c>
      <c r="E126" s="235">
        <v>694050.89999999967</v>
      </c>
      <c r="F126" s="236">
        <v>2613153.29</v>
      </c>
      <c r="G126" s="236">
        <v>-1919102.3900000001</v>
      </c>
    </row>
    <row r="127" spans="2:14" x14ac:dyDescent="0.25">
      <c r="B127" s="219" t="s">
        <v>1215</v>
      </c>
      <c r="C127" s="220" t="s">
        <v>1173</v>
      </c>
      <c r="D127" s="225"/>
      <c r="E127" s="234">
        <v>4805648.6999999983</v>
      </c>
      <c r="F127" s="234">
        <v>322550.01999999996</v>
      </c>
      <c r="G127" s="237"/>
      <c r="H127" s="234">
        <v>355974.89</v>
      </c>
      <c r="I127" s="234">
        <v>2757511.17</v>
      </c>
      <c r="J127" s="234">
        <v>1030002.3199999998</v>
      </c>
      <c r="K127" s="234">
        <v>53554.3</v>
      </c>
      <c r="L127" s="234">
        <v>178879.8</v>
      </c>
      <c r="M127" s="234">
        <v>107176.20000000001</v>
      </c>
      <c r="N127" s="234"/>
    </row>
    <row r="128" spans="2:14" x14ac:dyDescent="0.25">
      <c r="C128" s="226" t="s">
        <v>1182</v>
      </c>
      <c r="D128" s="212" t="s">
        <v>1181</v>
      </c>
      <c r="E128" s="235">
        <v>3044005.7500000005</v>
      </c>
      <c r="F128" s="236">
        <v>116573.01999999999</v>
      </c>
      <c r="H128" s="236">
        <v>120356.4</v>
      </c>
      <c r="I128" s="236">
        <v>1943312.59</v>
      </c>
      <c r="J128" s="236">
        <v>667635.55000000005</v>
      </c>
      <c r="K128" s="236">
        <v>36920.42</v>
      </c>
      <c r="L128" s="236">
        <v>98358.479999999981</v>
      </c>
      <c r="M128" s="236">
        <v>60849.290000000008</v>
      </c>
      <c r="N128" s="236"/>
    </row>
    <row r="129" spans="2:14" x14ac:dyDescent="0.25">
      <c r="C129" s="226" t="s">
        <v>1180</v>
      </c>
      <c r="D129" s="212" t="s">
        <v>1179</v>
      </c>
      <c r="E129" s="235">
        <v>110201.73</v>
      </c>
      <c r="I129" s="236">
        <v>75535.73</v>
      </c>
      <c r="J129" s="236">
        <v>26869.35</v>
      </c>
      <c r="K129" s="236">
        <v>2903.09</v>
      </c>
      <c r="L129" s="236">
        <v>1663.59</v>
      </c>
      <c r="M129" s="236">
        <v>3229.97</v>
      </c>
      <c r="N129" s="236"/>
    </row>
    <row r="130" spans="2:14" x14ac:dyDescent="0.25">
      <c r="C130" s="226" t="s">
        <v>1178</v>
      </c>
      <c r="D130" s="212" t="s">
        <v>1177</v>
      </c>
      <c r="E130" s="235">
        <v>1597359.85</v>
      </c>
      <c r="F130" s="236">
        <v>151895.62999999998</v>
      </c>
      <c r="H130" s="236">
        <v>235618.49</v>
      </c>
      <c r="I130" s="236">
        <v>738662.85000000009</v>
      </c>
      <c r="J130" s="236">
        <v>335497.42</v>
      </c>
      <c r="K130" s="236">
        <v>13730.789999999999</v>
      </c>
      <c r="L130" s="236">
        <v>78857.73000000001</v>
      </c>
      <c r="M130" s="236">
        <v>43096.94</v>
      </c>
      <c r="N130" s="236"/>
    </row>
    <row r="131" spans="2:14" x14ac:dyDescent="0.25">
      <c r="C131" s="226" t="s">
        <v>1176</v>
      </c>
      <c r="D131" s="212" t="s">
        <v>1175</v>
      </c>
      <c r="E131" s="235">
        <v>54081.369999999995</v>
      </c>
      <c r="F131" s="236">
        <v>54081.369999999995</v>
      </c>
    </row>
    <row r="132" spans="2:14" ht="24" x14ac:dyDescent="0.25">
      <c r="B132" s="219" t="s">
        <v>1214</v>
      </c>
      <c r="C132" s="220" t="s">
        <v>1173</v>
      </c>
      <c r="D132" s="225"/>
      <c r="E132" s="234">
        <v>8680548.4399999995</v>
      </c>
      <c r="F132" s="234">
        <v>419092.20999999996</v>
      </c>
      <c r="G132" s="237"/>
      <c r="H132" s="234">
        <v>2195187.71</v>
      </c>
      <c r="I132" s="234">
        <v>2812274.7199999997</v>
      </c>
      <c r="J132" s="234">
        <v>1933934.2399999998</v>
      </c>
      <c r="K132" s="234">
        <v>190489.08000000002</v>
      </c>
      <c r="L132" s="234">
        <v>921363.37000000011</v>
      </c>
      <c r="M132" s="234">
        <v>52163.56</v>
      </c>
      <c r="N132" s="234">
        <v>156043.54999999999</v>
      </c>
    </row>
    <row r="133" spans="2:14" x14ac:dyDescent="0.25">
      <c r="C133" s="226" t="s">
        <v>1182</v>
      </c>
      <c r="D133" s="212" t="s">
        <v>1181</v>
      </c>
      <c r="E133" s="235">
        <v>12246.31</v>
      </c>
      <c r="K133" s="236">
        <v>6390.15</v>
      </c>
      <c r="L133" s="236">
        <v>5856.16</v>
      </c>
    </row>
    <row r="134" spans="2:14" x14ac:dyDescent="0.25">
      <c r="C134" s="226" t="s">
        <v>1180</v>
      </c>
      <c r="D134" s="212" t="s">
        <v>1179</v>
      </c>
      <c r="E134" s="235">
        <v>5573958.3899999987</v>
      </c>
      <c r="F134" s="236">
        <v>117007.76</v>
      </c>
      <c r="H134" s="236">
        <v>1835470.73</v>
      </c>
      <c r="I134" s="236">
        <v>1631597.0300000003</v>
      </c>
      <c r="J134" s="236">
        <v>1383273.71</v>
      </c>
      <c r="K134" s="236">
        <v>80063.08</v>
      </c>
      <c r="L134" s="236">
        <v>500781.88000000012</v>
      </c>
      <c r="M134" s="236">
        <v>25764.2</v>
      </c>
      <c r="N134" s="236"/>
    </row>
    <row r="135" spans="2:14" x14ac:dyDescent="0.25">
      <c r="C135" s="226" t="s">
        <v>1194</v>
      </c>
      <c r="D135" s="212" t="s">
        <v>1193</v>
      </c>
      <c r="E135" s="235">
        <v>57631.98</v>
      </c>
      <c r="F135" s="236">
        <v>57631.98</v>
      </c>
    </row>
    <row r="136" spans="2:14" x14ac:dyDescent="0.25">
      <c r="C136" s="226" t="s">
        <v>1170</v>
      </c>
      <c r="D136" s="212" t="s">
        <v>1169</v>
      </c>
      <c r="E136" s="235">
        <v>53873.77</v>
      </c>
      <c r="L136" s="236">
        <v>53873.77</v>
      </c>
    </row>
    <row r="137" spans="2:14" x14ac:dyDescent="0.25">
      <c r="C137" s="226" t="s">
        <v>1168</v>
      </c>
      <c r="D137" s="212" t="s">
        <v>1167</v>
      </c>
      <c r="E137" s="235">
        <v>156043.54999999999</v>
      </c>
      <c r="N137" s="228">
        <v>156043.54999999999</v>
      </c>
    </row>
    <row r="138" spans="2:14" x14ac:dyDescent="0.25">
      <c r="C138" s="226" t="s">
        <v>1178</v>
      </c>
      <c r="D138" s="212" t="s">
        <v>1177</v>
      </c>
      <c r="E138" s="235">
        <v>2758676.7200000007</v>
      </c>
      <c r="F138" s="236">
        <v>176334.75</v>
      </c>
      <c r="H138" s="236">
        <v>359716.98</v>
      </c>
      <c r="I138" s="236">
        <v>1180677.69</v>
      </c>
      <c r="J138" s="236">
        <v>550660.53</v>
      </c>
      <c r="K138" s="236">
        <v>104035.85</v>
      </c>
      <c r="L138" s="236">
        <v>360851.56</v>
      </c>
      <c r="M138" s="236">
        <v>26399.360000000001</v>
      </c>
      <c r="N138" s="236"/>
    </row>
    <row r="139" spans="2:14" x14ac:dyDescent="0.25">
      <c r="C139" s="226" t="s">
        <v>1176</v>
      </c>
      <c r="D139" s="212" t="s">
        <v>1175</v>
      </c>
      <c r="E139" s="235">
        <v>68117.72</v>
      </c>
      <c r="F139" s="236">
        <v>68117.72</v>
      </c>
    </row>
    <row r="140" spans="2:14" x14ac:dyDescent="0.25">
      <c r="B140" s="219" t="s">
        <v>1213</v>
      </c>
      <c r="C140" s="220" t="s">
        <v>1173</v>
      </c>
      <c r="D140" s="225"/>
      <c r="E140" s="234">
        <v>2620848.6200000015</v>
      </c>
      <c r="F140" s="234">
        <v>86129.450000000012</v>
      </c>
      <c r="G140" s="237"/>
      <c r="H140" s="234">
        <v>1395235.1100000008</v>
      </c>
      <c r="I140" s="234">
        <v>392902.62999999995</v>
      </c>
      <c r="J140" s="234">
        <v>601880.51000000047</v>
      </c>
      <c r="K140" s="234">
        <v>33868.630000000005</v>
      </c>
      <c r="L140" s="234">
        <v>92105.069999999992</v>
      </c>
      <c r="M140" s="234">
        <v>18727.219999999994</v>
      </c>
      <c r="N140" s="234"/>
    </row>
    <row r="141" spans="2:14" x14ac:dyDescent="0.25">
      <c r="C141" s="226" t="s">
        <v>1180</v>
      </c>
      <c r="D141" s="212" t="s">
        <v>1179</v>
      </c>
      <c r="E141" s="235">
        <v>2195072.350000001</v>
      </c>
      <c r="F141" s="236">
        <v>61957.590000000004</v>
      </c>
      <c r="H141" s="236">
        <v>1395235.1100000008</v>
      </c>
      <c r="I141" s="236">
        <v>125992.10999999999</v>
      </c>
      <c r="J141" s="236">
        <v>514911.74000000046</v>
      </c>
      <c r="K141" s="236">
        <v>28260.84</v>
      </c>
      <c r="L141" s="236">
        <v>65303.73</v>
      </c>
      <c r="M141" s="236">
        <v>3411.2300000000005</v>
      </c>
      <c r="N141" s="236"/>
    </row>
    <row r="142" spans="2:14" x14ac:dyDescent="0.25">
      <c r="C142" s="226" t="s">
        <v>1178</v>
      </c>
      <c r="D142" s="212" t="s">
        <v>1177</v>
      </c>
      <c r="E142" s="235">
        <v>405384.45</v>
      </c>
      <c r="F142" s="236">
        <v>3780.0400000000004</v>
      </c>
      <c r="H142" s="236">
        <v>0</v>
      </c>
      <c r="I142" s="236">
        <v>266910.52</v>
      </c>
      <c r="J142" s="236">
        <v>86968.770000000062</v>
      </c>
      <c r="K142" s="236">
        <v>5607.7900000000009</v>
      </c>
      <c r="L142" s="236">
        <v>26801.340000000004</v>
      </c>
      <c r="M142" s="236">
        <v>15315.989999999994</v>
      </c>
      <c r="N142" s="236"/>
    </row>
    <row r="143" spans="2:14" x14ac:dyDescent="0.25">
      <c r="C143" s="226" t="s">
        <v>1176</v>
      </c>
      <c r="D143" s="212" t="s">
        <v>1175</v>
      </c>
      <c r="E143" s="235">
        <v>20391.82</v>
      </c>
      <c r="F143" s="236">
        <v>20391.82</v>
      </c>
    </row>
    <row r="144" spans="2:14" x14ac:dyDescent="0.25">
      <c r="B144" s="219" t="s">
        <v>1212</v>
      </c>
      <c r="C144" s="220" t="s">
        <v>1173</v>
      </c>
      <c r="D144" s="225"/>
      <c r="E144" s="234">
        <v>563803.83000000007</v>
      </c>
      <c r="F144" s="234">
        <v>32780.14</v>
      </c>
      <c r="G144" s="237"/>
      <c r="H144" s="237"/>
      <c r="I144" s="234">
        <v>326376.29000000004</v>
      </c>
      <c r="J144" s="234">
        <v>115157.82</v>
      </c>
      <c r="K144" s="234">
        <v>49608.54</v>
      </c>
      <c r="L144" s="234">
        <v>20847.63</v>
      </c>
      <c r="M144" s="234">
        <v>19033.41</v>
      </c>
      <c r="N144" s="234"/>
    </row>
    <row r="145" spans="2:14" x14ac:dyDescent="0.25">
      <c r="C145" s="226" t="s">
        <v>1182</v>
      </c>
      <c r="D145" s="212" t="s">
        <v>1181</v>
      </c>
      <c r="E145" s="235">
        <v>45567.85</v>
      </c>
      <c r="F145" s="236">
        <v>1731.3500000000001</v>
      </c>
      <c r="I145" s="236">
        <v>10189.9</v>
      </c>
      <c r="J145" s="236">
        <v>4214.3</v>
      </c>
      <c r="K145" s="236">
        <v>22079.360000000001</v>
      </c>
      <c r="L145" s="236">
        <v>5560.16</v>
      </c>
      <c r="M145" s="236">
        <v>1792.78</v>
      </c>
      <c r="N145" s="236"/>
    </row>
    <row r="146" spans="2:14" x14ac:dyDescent="0.25">
      <c r="C146" s="226" t="s">
        <v>1190</v>
      </c>
      <c r="D146" s="212" t="s">
        <v>1189</v>
      </c>
      <c r="E146" s="235">
        <v>311997.15999999997</v>
      </c>
      <c r="F146" s="236">
        <v>16450.810000000001</v>
      </c>
      <c r="I146" s="236">
        <v>207041.85</v>
      </c>
      <c r="J146" s="236">
        <v>67107.820000000007</v>
      </c>
      <c r="K146" s="236">
        <v>1405.84</v>
      </c>
      <c r="L146" s="236">
        <v>12001.83</v>
      </c>
      <c r="M146" s="236">
        <v>7989.01</v>
      </c>
      <c r="N146" s="236"/>
    </row>
    <row r="147" spans="2:14" x14ac:dyDescent="0.25">
      <c r="C147" s="226" t="s">
        <v>1180</v>
      </c>
      <c r="D147" s="212" t="s">
        <v>1179</v>
      </c>
      <c r="E147" s="235">
        <v>77864.01999999999</v>
      </c>
      <c r="F147" s="236">
        <v>4689.1799999999994</v>
      </c>
      <c r="I147" s="236">
        <v>45317.08</v>
      </c>
      <c r="J147" s="236">
        <v>17035.580000000002</v>
      </c>
      <c r="K147" s="236">
        <v>2349.12</v>
      </c>
      <c r="L147" s="236">
        <v>1773.17</v>
      </c>
      <c r="M147" s="236">
        <v>6699.89</v>
      </c>
      <c r="N147" s="236"/>
    </row>
    <row r="148" spans="2:14" x14ac:dyDescent="0.25">
      <c r="C148" s="226" t="s">
        <v>1178</v>
      </c>
      <c r="D148" s="212" t="s">
        <v>1177</v>
      </c>
      <c r="E148" s="235">
        <v>118466</v>
      </c>
      <c r="I148" s="236">
        <v>63827.46</v>
      </c>
      <c r="J148" s="236">
        <v>26800.12</v>
      </c>
      <c r="K148" s="236">
        <v>23774.22</v>
      </c>
      <c r="L148" s="236">
        <v>1512.47</v>
      </c>
      <c r="M148" s="236">
        <v>2551.73</v>
      </c>
      <c r="N148" s="236"/>
    </row>
    <row r="149" spans="2:14" x14ac:dyDescent="0.25">
      <c r="C149" s="226" t="s">
        <v>1176</v>
      </c>
      <c r="D149" s="212" t="s">
        <v>1175</v>
      </c>
      <c r="E149" s="235">
        <v>9908.7999999999993</v>
      </c>
      <c r="F149" s="236">
        <v>9908.7999999999993</v>
      </c>
    </row>
    <row r="150" spans="2:14" ht="36" x14ac:dyDescent="0.25">
      <c r="B150" s="219" t="s">
        <v>1211</v>
      </c>
      <c r="C150" s="220" t="s">
        <v>1173</v>
      </c>
      <c r="D150" s="225"/>
      <c r="E150" s="234">
        <v>9474206.1099999994</v>
      </c>
      <c r="F150" s="234">
        <v>534925.74</v>
      </c>
      <c r="G150" s="237"/>
      <c r="H150" s="234">
        <v>4441033.04</v>
      </c>
      <c r="I150" s="234">
        <v>1445585.31</v>
      </c>
      <c r="J150" s="234">
        <v>2278670.06</v>
      </c>
      <c r="K150" s="234">
        <v>49307.050000000017</v>
      </c>
      <c r="L150" s="234">
        <v>532006.62</v>
      </c>
      <c r="M150" s="234">
        <v>192678.29</v>
      </c>
      <c r="N150" s="234"/>
    </row>
    <row r="151" spans="2:14" x14ac:dyDescent="0.25">
      <c r="C151" s="226" t="s">
        <v>1182</v>
      </c>
      <c r="D151" s="212" t="s">
        <v>1181</v>
      </c>
      <c r="E151" s="235">
        <v>12161.04</v>
      </c>
      <c r="L151" s="236">
        <v>12161.04</v>
      </c>
    </row>
    <row r="152" spans="2:14" x14ac:dyDescent="0.25">
      <c r="C152" s="226" t="s">
        <v>1190</v>
      </c>
      <c r="D152" s="212" t="s">
        <v>1189</v>
      </c>
      <c r="E152" s="235">
        <v>68671.13</v>
      </c>
      <c r="I152" s="236">
        <v>48474.789999999994</v>
      </c>
      <c r="J152" s="236">
        <v>17346.370000000006</v>
      </c>
      <c r="K152" s="236">
        <v>532.41000000000008</v>
      </c>
      <c r="L152" s="236">
        <v>356.86</v>
      </c>
      <c r="M152" s="236">
        <v>1960.7000000000005</v>
      </c>
      <c r="N152" s="236"/>
    </row>
    <row r="153" spans="2:14" x14ac:dyDescent="0.25">
      <c r="C153" s="226" t="s">
        <v>1180</v>
      </c>
      <c r="D153" s="212" t="s">
        <v>1179</v>
      </c>
      <c r="E153" s="235">
        <v>3129055.2800000003</v>
      </c>
      <c r="H153" s="236">
        <v>1869969.83</v>
      </c>
      <c r="I153" s="236">
        <v>164824.01</v>
      </c>
      <c r="J153" s="236">
        <v>771673.63000000012</v>
      </c>
      <c r="K153" s="236">
        <v>7223.52</v>
      </c>
      <c r="L153" s="236">
        <v>298350.75</v>
      </c>
      <c r="M153" s="236">
        <v>17013.54</v>
      </c>
      <c r="N153" s="236"/>
    </row>
    <row r="154" spans="2:14" x14ac:dyDescent="0.25">
      <c r="C154" s="226" t="s">
        <v>1178</v>
      </c>
      <c r="D154" s="212" t="s">
        <v>1177</v>
      </c>
      <c r="E154" s="235">
        <v>5967267.330000001</v>
      </c>
      <c r="F154" s="236">
        <v>237874.41</v>
      </c>
      <c r="H154" s="236">
        <v>2571063.21</v>
      </c>
      <c r="I154" s="236">
        <v>1232286.5100000002</v>
      </c>
      <c r="J154" s="236">
        <v>1489650.0599999996</v>
      </c>
      <c r="K154" s="236">
        <v>41551.12000000001</v>
      </c>
      <c r="L154" s="236">
        <v>221137.96999999997</v>
      </c>
      <c r="M154" s="236">
        <v>173704.05</v>
      </c>
      <c r="N154" s="236"/>
    </row>
    <row r="155" spans="2:14" x14ac:dyDescent="0.25">
      <c r="C155" s="226" t="s">
        <v>1176</v>
      </c>
      <c r="D155" s="212" t="s">
        <v>1175</v>
      </c>
      <c r="E155" s="235">
        <v>297051.32999999996</v>
      </c>
      <c r="F155" s="236">
        <v>297051.32999999996</v>
      </c>
    </row>
    <row r="156" spans="2:14" ht="36" x14ac:dyDescent="0.25">
      <c r="B156" s="219" t="s">
        <v>1210</v>
      </c>
      <c r="C156" s="220" t="s">
        <v>1173</v>
      </c>
      <c r="D156" s="225"/>
      <c r="E156" s="234">
        <v>22512040.919999994</v>
      </c>
      <c r="F156" s="234">
        <v>981503.06000000017</v>
      </c>
      <c r="G156" s="234">
        <v>-4467.45</v>
      </c>
      <c r="H156" s="234">
        <v>1050764.33</v>
      </c>
      <c r="I156" s="234">
        <v>11041389.660000004</v>
      </c>
      <c r="J156" s="234">
        <v>4150448.629999999</v>
      </c>
      <c r="K156" s="234">
        <v>592841.14</v>
      </c>
      <c r="L156" s="234">
        <v>4336194.7800000049</v>
      </c>
      <c r="M156" s="234">
        <v>363366.77000000037</v>
      </c>
      <c r="N156" s="234"/>
    </row>
    <row r="157" spans="2:14" x14ac:dyDescent="0.25">
      <c r="C157" s="226" t="s">
        <v>1182</v>
      </c>
      <c r="D157" s="212" t="s">
        <v>1181</v>
      </c>
      <c r="E157" s="235">
        <v>3987475.4799999995</v>
      </c>
      <c r="F157" s="236">
        <v>78843.55</v>
      </c>
      <c r="H157" s="236">
        <v>229448.94999999998</v>
      </c>
      <c r="I157" s="236">
        <v>2070223.9400000002</v>
      </c>
      <c r="J157" s="236">
        <v>773157.5</v>
      </c>
      <c r="K157" s="236">
        <v>142537.31</v>
      </c>
      <c r="L157" s="236">
        <v>622313.61999999988</v>
      </c>
      <c r="M157" s="236">
        <v>70950.61</v>
      </c>
      <c r="N157" s="236"/>
    </row>
    <row r="158" spans="2:14" x14ac:dyDescent="0.25">
      <c r="C158" s="226" t="s">
        <v>1190</v>
      </c>
      <c r="D158" s="212" t="s">
        <v>1189</v>
      </c>
      <c r="E158" s="235">
        <v>49709.91</v>
      </c>
      <c r="F158" s="236">
        <v>49709.91</v>
      </c>
    </row>
    <row r="159" spans="2:14" x14ac:dyDescent="0.25">
      <c r="C159" s="226" t="s">
        <v>1180</v>
      </c>
      <c r="D159" s="212" t="s">
        <v>1179</v>
      </c>
      <c r="E159" s="235">
        <v>7194382.4500000002</v>
      </c>
      <c r="F159" s="236">
        <v>117371.26000000001</v>
      </c>
      <c r="H159" s="236">
        <v>715340.1</v>
      </c>
      <c r="I159" s="236">
        <v>3265559.69</v>
      </c>
      <c r="J159" s="236">
        <v>1304455.4600000004</v>
      </c>
      <c r="K159" s="236">
        <v>210662.61</v>
      </c>
      <c r="L159" s="236">
        <v>1522438.72</v>
      </c>
      <c r="M159" s="236">
        <v>58554.61</v>
      </c>
      <c r="N159" s="236"/>
    </row>
    <row r="160" spans="2:14" x14ac:dyDescent="0.25">
      <c r="C160" s="226" t="s">
        <v>1178</v>
      </c>
      <c r="D160" s="212" t="s">
        <v>1177</v>
      </c>
      <c r="E160" s="235">
        <v>10834090.090000007</v>
      </c>
      <c r="F160" s="236">
        <v>284727.90000000002</v>
      </c>
      <c r="H160" s="236">
        <v>105975.28</v>
      </c>
      <c r="I160" s="236">
        <v>5705606.0300000021</v>
      </c>
      <c r="J160" s="236">
        <v>2072835.6699999988</v>
      </c>
      <c r="K160" s="236">
        <v>239641.22</v>
      </c>
      <c r="L160" s="236">
        <v>2191442.4400000051</v>
      </c>
      <c r="M160" s="236">
        <v>233861.55000000031</v>
      </c>
      <c r="N160" s="236"/>
    </row>
    <row r="161" spans="2:14" x14ac:dyDescent="0.25">
      <c r="C161" s="226" t="s">
        <v>1176</v>
      </c>
      <c r="D161" s="212" t="s">
        <v>1175</v>
      </c>
      <c r="E161" s="235">
        <v>446382.99</v>
      </c>
      <c r="F161" s="236">
        <v>450850.44</v>
      </c>
      <c r="G161" s="236">
        <v>-4467.45</v>
      </c>
    </row>
    <row r="162" spans="2:14" x14ac:dyDescent="0.25">
      <c r="B162" s="219" t="s">
        <v>1209</v>
      </c>
      <c r="C162" s="220" t="s">
        <v>1173</v>
      </c>
      <c r="D162" s="225"/>
      <c r="E162" s="234">
        <v>-174865.50999999995</v>
      </c>
      <c r="F162" s="234">
        <v>8786.9700000000012</v>
      </c>
      <c r="G162" s="234">
        <v>-60000</v>
      </c>
      <c r="H162" s="237"/>
      <c r="I162" s="234">
        <v>332160.82</v>
      </c>
      <c r="J162" s="234">
        <v>-562280.09</v>
      </c>
      <c r="K162" s="234">
        <v>16824.439999999999</v>
      </c>
      <c r="L162" s="234">
        <v>86105.42</v>
      </c>
      <c r="M162" s="234">
        <v>3536.93</v>
      </c>
      <c r="N162" s="234"/>
    </row>
    <row r="163" spans="2:14" x14ac:dyDescent="0.25">
      <c r="C163" s="226" t="s">
        <v>1182</v>
      </c>
      <c r="D163" s="212" t="s">
        <v>1181</v>
      </c>
      <c r="E163" s="235">
        <v>190995.87999999998</v>
      </c>
      <c r="F163" s="236">
        <v>6871.77</v>
      </c>
      <c r="I163" s="236">
        <v>79939.27</v>
      </c>
      <c r="J163" s="236">
        <v>25650.12</v>
      </c>
      <c r="K163" s="236">
        <v>2306.1999999999998</v>
      </c>
      <c r="L163" s="236">
        <v>72691.59</v>
      </c>
      <c r="M163" s="236">
        <v>3536.93</v>
      </c>
      <c r="N163" s="236"/>
    </row>
    <row r="164" spans="2:14" x14ac:dyDescent="0.25">
      <c r="C164" s="226" t="s">
        <v>1178</v>
      </c>
      <c r="D164" s="212" t="s">
        <v>1177</v>
      </c>
      <c r="E164" s="235">
        <v>-305861.39</v>
      </c>
      <c r="F164" s="236">
        <v>1915.2</v>
      </c>
      <c r="I164" s="236">
        <v>252221.55</v>
      </c>
      <c r="J164" s="236">
        <v>-587930.21</v>
      </c>
      <c r="K164" s="236">
        <v>14518.24</v>
      </c>
      <c r="L164" s="236">
        <v>13413.83</v>
      </c>
      <c r="M164" s="236">
        <v>0</v>
      </c>
      <c r="N164" s="236"/>
    </row>
    <row r="165" spans="2:14" x14ac:dyDescent="0.25">
      <c r="C165" s="226" t="s">
        <v>1176</v>
      </c>
      <c r="D165" s="212" t="s">
        <v>1175</v>
      </c>
      <c r="E165" s="235">
        <v>-60000</v>
      </c>
      <c r="G165" s="236">
        <v>-60000</v>
      </c>
    </row>
    <row r="166" spans="2:14" x14ac:dyDescent="0.25">
      <c r="B166" s="219" t="s">
        <v>1208</v>
      </c>
      <c r="C166" s="220" t="s">
        <v>1173</v>
      </c>
      <c r="D166" s="225"/>
      <c r="E166" s="234">
        <v>26519161.370000001</v>
      </c>
      <c r="F166" s="234">
        <v>722659.64</v>
      </c>
      <c r="G166" s="234">
        <v>-936327.29</v>
      </c>
      <c r="H166" s="234">
        <v>21658.43</v>
      </c>
      <c r="I166" s="234">
        <v>12363688.09</v>
      </c>
      <c r="J166" s="234">
        <v>4297726.0200000005</v>
      </c>
      <c r="K166" s="234">
        <v>454002.64999999997</v>
      </c>
      <c r="L166" s="234">
        <v>9208657.8200000003</v>
      </c>
      <c r="M166" s="234">
        <v>253221.41000000003</v>
      </c>
      <c r="N166" s="234">
        <v>133874.6</v>
      </c>
    </row>
    <row r="167" spans="2:14" x14ac:dyDescent="0.25">
      <c r="C167" s="226" t="s">
        <v>1207</v>
      </c>
      <c r="D167" s="212" t="s">
        <v>1206</v>
      </c>
      <c r="E167" s="235">
        <v>3298280.08</v>
      </c>
      <c r="F167" s="236">
        <v>91020.079999999987</v>
      </c>
      <c r="I167" s="236">
        <v>1298522.7999999998</v>
      </c>
      <c r="J167" s="236">
        <v>452247.82</v>
      </c>
      <c r="K167" s="236">
        <v>39658.03</v>
      </c>
      <c r="L167" s="236">
        <v>1379513.3</v>
      </c>
      <c r="M167" s="236">
        <v>37318.050000000003</v>
      </c>
      <c r="N167" s="236"/>
    </row>
    <row r="168" spans="2:14" x14ac:dyDescent="0.25">
      <c r="C168" s="226" t="s">
        <v>1168</v>
      </c>
      <c r="D168" s="212" t="s">
        <v>1167</v>
      </c>
      <c r="E168" s="235">
        <v>130957.91</v>
      </c>
      <c r="N168" s="228">
        <v>130957.91</v>
      </c>
    </row>
    <row r="169" spans="2:14" x14ac:dyDescent="0.25">
      <c r="C169" s="226" t="s">
        <v>1178</v>
      </c>
      <c r="D169" s="212" t="s">
        <v>1177</v>
      </c>
      <c r="E169" s="235">
        <v>23761426.770000003</v>
      </c>
      <c r="F169" s="236">
        <v>471815.66000000009</v>
      </c>
      <c r="G169" s="236">
        <v>-105000</v>
      </c>
      <c r="H169" s="236">
        <v>21658.43</v>
      </c>
      <c r="I169" s="236">
        <v>11065165.290000001</v>
      </c>
      <c r="J169" s="236">
        <v>3845478.2000000011</v>
      </c>
      <c r="K169" s="236">
        <v>414344.62</v>
      </c>
      <c r="L169" s="236">
        <v>7829144.5199999996</v>
      </c>
      <c r="M169" s="236">
        <v>215903.36000000004</v>
      </c>
      <c r="N169" s="236">
        <v>2916.69</v>
      </c>
    </row>
    <row r="170" spans="2:14" x14ac:dyDescent="0.25">
      <c r="C170" s="226" t="s">
        <v>1176</v>
      </c>
      <c r="D170" s="212" t="s">
        <v>1175</v>
      </c>
      <c r="E170" s="235">
        <v>-671503.39</v>
      </c>
      <c r="F170" s="236">
        <v>159823.89999999997</v>
      </c>
      <c r="G170" s="236">
        <v>-831327.29</v>
      </c>
    </row>
    <row r="171" spans="2:14" x14ac:dyDescent="0.25">
      <c r="B171" s="219" t="s">
        <v>1205</v>
      </c>
      <c r="C171" s="220" t="s">
        <v>1173</v>
      </c>
      <c r="D171" s="225"/>
      <c r="E171" s="234">
        <v>4066647.67</v>
      </c>
      <c r="F171" s="234">
        <v>348737.73</v>
      </c>
      <c r="G171" s="234">
        <v>-15267</v>
      </c>
      <c r="H171" s="237"/>
      <c r="I171" s="234">
        <v>2366771.4899999998</v>
      </c>
      <c r="J171" s="234">
        <v>774572.0299999998</v>
      </c>
      <c r="K171" s="234">
        <v>32124.59</v>
      </c>
      <c r="L171" s="234">
        <v>534989.77999999991</v>
      </c>
      <c r="M171" s="234">
        <v>24719.05</v>
      </c>
      <c r="N171" s="234"/>
    </row>
    <row r="172" spans="2:14" x14ac:dyDescent="0.25">
      <c r="C172" s="226" t="s">
        <v>1178</v>
      </c>
      <c r="D172" s="212" t="s">
        <v>1177</v>
      </c>
      <c r="E172" s="235">
        <v>3972010.37</v>
      </c>
      <c r="F172" s="236">
        <v>238833.43000000005</v>
      </c>
      <c r="I172" s="236">
        <v>2366771.4899999998</v>
      </c>
      <c r="J172" s="236">
        <v>774572.0299999998</v>
      </c>
      <c r="K172" s="236">
        <v>32124.59</v>
      </c>
      <c r="L172" s="236">
        <v>534989.77999999991</v>
      </c>
      <c r="M172" s="236">
        <v>24719.05</v>
      </c>
      <c r="N172" s="236"/>
    </row>
    <row r="173" spans="2:14" x14ac:dyDescent="0.25">
      <c r="C173" s="226" t="s">
        <v>1176</v>
      </c>
      <c r="D173" s="212" t="s">
        <v>1175</v>
      </c>
      <c r="E173" s="235">
        <v>94637.299999999988</v>
      </c>
      <c r="F173" s="236">
        <v>109904.29999999999</v>
      </c>
      <c r="G173" s="236">
        <v>-15267</v>
      </c>
    </row>
    <row r="174" spans="2:14" ht="24" x14ac:dyDescent="0.25">
      <c r="B174" s="219" t="s">
        <v>1204</v>
      </c>
      <c r="C174" s="220" t="s">
        <v>1173</v>
      </c>
      <c r="D174" s="225"/>
      <c r="E174" s="234">
        <v>1368181.4400000004</v>
      </c>
      <c r="F174" s="234">
        <v>75633.030000000013</v>
      </c>
      <c r="G174" s="234">
        <v>-258817.46</v>
      </c>
      <c r="H174" s="237"/>
      <c r="I174" s="234">
        <v>1028299.17</v>
      </c>
      <c r="J174" s="234">
        <v>356685.49999999988</v>
      </c>
      <c r="K174" s="234">
        <v>28052.710000000003</v>
      </c>
      <c r="L174" s="234">
        <v>123273.03</v>
      </c>
      <c r="M174" s="234">
        <v>9730.3700000000008</v>
      </c>
      <c r="N174" s="234">
        <v>5325.09</v>
      </c>
    </row>
    <row r="175" spans="2:14" x14ac:dyDescent="0.25">
      <c r="C175" s="226" t="s">
        <v>1168</v>
      </c>
      <c r="D175" s="212" t="s">
        <v>1167</v>
      </c>
      <c r="E175" s="235">
        <v>5325.09</v>
      </c>
      <c r="N175" s="228">
        <v>5325.09</v>
      </c>
    </row>
    <row r="176" spans="2:14" x14ac:dyDescent="0.25">
      <c r="C176" s="226" t="s">
        <v>1178</v>
      </c>
      <c r="D176" s="212" t="s">
        <v>1177</v>
      </c>
      <c r="E176" s="235">
        <v>1576357.2999999998</v>
      </c>
      <c r="F176" s="236">
        <v>30316.519999999997</v>
      </c>
      <c r="I176" s="236">
        <v>1028299.17</v>
      </c>
      <c r="J176" s="236">
        <v>356685.49999999988</v>
      </c>
      <c r="K176" s="236">
        <v>28052.710000000003</v>
      </c>
      <c r="L176" s="236">
        <v>123273.03</v>
      </c>
      <c r="M176" s="236">
        <v>9730.3700000000008</v>
      </c>
      <c r="N176" s="236"/>
    </row>
    <row r="177" spans="2:14" x14ac:dyDescent="0.25">
      <c r="C177" s="226" t="s">
        <v>1176</v>
      </c>
      <c r="D177" s="212" t="s">
        <v>1175</v>
      </c>
      <c r="E177" s="235">
        <v>-213500.94999999998</v>
      </c>
      <c r="F177" s="236">
        <v>45316.510000000009</v>
      </c>
      <c r="G177" s="236">
        <v>-258817.46</v>
      </c>
    </row>
    <row r="178" spans="2:14" s="18" customFormat="1" x14ac:dyDescent="0.25">
      <c r="B178" s="219" t="s">
        <v>1203</v>
      </c>
      <c r="C178" s="220" t="s">
        <v>1173</v>
      </c>
      <c r="D178" s="225"/>
      <c r="E178" s="234">
        <v>12686402.919999998</v>
      </c>
      <c r="F178" s="234">
        <v>418285.6700000001</v>
      </c>
      <c r="G178" s="234">
        <v>-328191.33</v>
      </c>
      <c r="H178" s="237"/>
      <c r="I178" s="234">
        <v>6731010.8099999996</v>
      </c>
      <c r="J178" s="234">
        <v>3255189.3099999996</v>
      </c>
      <c r="K178" s="234">
        <v>1221827.47</v>
      </c>
      <c r="L178" s="234">
        <v>1123978.4099999999</v>
      </c>
      <c r="M178" s="234">
        <v>118205.58</v>
      </c>
      <c r="N178" s="234">
        <v>146097</v>
      </c>
    </row>
    <row r="179" spans="2:14" x14ac:dyDescent="0.25">
      <c r="C179" s="226" t="s">
        <v>1202</v>
      </c>
      <c r="D179" s="212" t="s">
        <v>1201</v>
      </c>
      <c r="E179" s="238">
        <v>3093094.0399999996</v>
      </c>
      <c r="F179" s="238">
        <v>54438.06</v>
      </c>
      <c r="G179" s="239"/>
      <c r="H179" s="239"/>
      <c r="I179" s="238">
        <v>1783314.5799999996</v>
      </c>
      <c r="J179" s="238">
        <v>608100.0399999998</v>
      </c>
      <c r="K179" s="238">
        <v>314311.06999999995</v>
      </c>
      <c r="L179" s="238">
        <v>239781.15</v>
      </c>
      <c r="M179" s="238">
        <v>93149.14</v>
      </c>
      <c r="N179" s="238"/>
    </row>
    <row r="180" spans="2:14" x14ac:dyDescent="0.25">
      <c r="C180" s="226" t="s">
        <v>1200</v>
      </c>
      <c r="D180" s="212" t="s">
        <v>1199</v>
      </c>
      <c r="E180" s="235">
        <v>7641970.5199999996</v>
      </c>
      <c r="F180" s="236">
        <v>43660.27</v>
      </c>
      <c r="I180" s="236">
        <v>4590761.6099999994</v>
      </c>
      <c r="J180" s="236">
        <v>2502158.79</v>
      </c>
      <c r="K180" s="236">
        <v>320773.99</v>
      </c>
      <c r="L180" s="236">
        <v>159559.41999999998</v>
      </c>
      <c r="M180" s="236">
        <v>25056.439999999995</v>
      </c>
      <c r="N180" s="236"/>
    </row>
    <row r="181" spans="2:14" x14ac:dyDescent="0.25">
      <c r="C181" s="226" t="s">
        <v>1198</v>
      </c>
      <c r="D181" s="212" t="s">
        <v>1197</v>
      </c>
      <c r="E181" s="235">
        <v>1009228.0199999999</v>
      </c>
      <c r="F181" s="236">
        <v>3249.96</v>
      </c>
      <c r="I181" s="236">
        <v>127237.85</v>
      </c>
      <c r="J181" s="236">
        <v>48402.15</v>
      </c>
      <c r="K181" s="236">
        <v>582966.14</v>
      </c>
      <c r="L181" s="236">
        <v>247371.91999999995</v>
      </c>
      <c r="M181" s="236">
        <v>0</v>
      </c>
      <c r="N181" s="236"/>
    </row>
    <row r="182" spans="2:14" x14ac:dyDescent="0.25">
      <c r="C182" s="226" t="s">
        <v>1196</v>
      </c>
      <c r="D182" s="212" t="s">
        <v>1195</v>
      </c>
      <c r="E182" s="235">
        <v>196826.49</v>
      </c>
      <c r="L182" s="236">
        <v>196826.49</v>
      </c>
    </row>
    <row r="183" spans="2:14" x14ac:dyDescent="0.25">
      <c r="C183" s="226" t="s">
        <v>1194</v>
      </c>
      <c r="D183" s="212" t="s">
        <v>1193</v>
      </c>
      <c r="E183" s="235">
        <v>573378.05000000005</v>
      </c>
      <c r="F183" s="236">
        <v>1306.56</v>
      </c>
      <c r="I183" s="236">
        <v>229696.77</v>
      </c>
      <c r="J183" s="236">
        <v>89472.88</v>
      </c>
      <c r="K183" s="236">
        <v>3776.2699999999995</v>
      </c>
      <c r="L183" s="236">
        <v>249125.57</v>
      </c>
      <c r="M183" s="236">
        <v>0</v>
      </c>
      <c r="N183" s="236"/>
    </row>
    <row r="184" spans="2:14" x14ac:dyDescent="0.25">
      <c r="C184" s="226" t="s">
        <v>1170</v>
      </c>
      <c r="D184" s="212" t="s">
        <v>1169</v>
      </c>
      <c r="E184" s="235">
        <v>31028.86</v>
      </c>
      <c r="L184" s="236">
        <v>31028.86</v>
      </c>
    </row>
    <row r="185" spans="2:14" x14ac:dyDescent="0.25">
      <c r="C185" s="226" t="s">
        <v>1168</v>
      </c>
      <c r="D185" s="212" t="s">
        <v>1167</v>
      </c>
      <c r="E185" s="235">
        <v>146097</v>
      </c>
      <c r="N185" s="228">
        <v>146097</v>
      </c>
    </row>
    <row r="186" spans="2:14" x14ac:dyDescent="0.25">
      <c r="C186" s="226" t="s">
        <v>1178</v>
      </c>
      <c r="D186" s="212" t="s">
        <v>1177</v>
      </c>
      <c r="E186" s="235">
        <v>7340.45</v>
      </c>
      <c r="J186" s="236">
        <v>7055.45</v>
      </c>
      <c r="L186" s="236">
        <v>285</v>
      </c>
    </row>
    <row r="187" spans="2:14" x14ac:dyDescent="0.25">
      <c r="C187" s="226" t="s">
        <v>1176</v>
      </c>
      <c r="D187" s="212" t="s">
        <v>1175</v>
      </c>
      <c r="E187" s="235">
        <v>-12560.509999999893</v>
      </c>
      <c r="F187" s="236">
        <v>315630.82000000012</v>
      </c>
      <c r="G187" s="236">
        <v>-328191.33</v>
      </c>
    </row>
    <row r="188" spans="2:14" ht="24" x14ac:dyDescent="0.25">
      <c r="B188" s="219" t="s">
        <v>1192</v>
      </c>
      <c r="C188" s="220" t="s">
        <v>1173</v>
      </c>
      <c r="D188" s="225"/>
      <c r="E188" s="234">
        <v>45871.8</v>
      </c>
      <c r="F188" s="237"/>
      <c r="G188" s="237"/>
      <c r="H188" s="237"/>
      <c r="I188" s="237"/>
      <c r="J188" s="237"/>
      <c r="K188" s="237"/>
      <c r="L188" s="234">
        <v>45871.8</v>
      </c>
      <c r="M188" s="237"/>
      <c r="N188" s="237"/>
    </row>
    <row r="189" spans="2:14" x14ac:dyDescent="0.25">
      <c r="C189" s="226" t="s">
        <v>1178</v>
      </c>
      <c r="D189" s="212" t="s">
        <v>1177</v>
      </c>
      <c r="E189" s="235">
        <v>45871.8</v>
      </c>
      <c r="L189" s="236">
        <v>45871.8</v>
      </c>
    </row>
    <row r="190" spans="2:14" x14ac:dyDescent="0.25">
      <c r="B190" s="219" t="s">
        <v>1191</v>
      </c>
      <c r="C190" s="220" t="s">
        <v>1173</v>
      </c>
      <c r="D190" s="225"/>
      <c r="E190" s="234">
        <v>9281830.2800000031</v>
      </c>
      <c r="F190" s="234">
        <v>211049.17</v>
      </c>
      <c r="G190" s="234">
        <v>-99851.85</v>
      </c>
      <c r="H190" s="234">
        <v>153891.95000000001</v>
      </c>
      <c r="I190" s="234">
        <v>3804665.02</v>
      </c>
      <c r="J190" s="234">
        <v>1500493.1899999997</v>
      </c>
      <c r="K190" s="234">
        <v>30994.559999999998</v>
      </c>
      <c r="L190" s="234">
        <v>3500990.1599999997</v>
      </c>
      <c r="M190" s="234">
        <v>179598.07999999999</v>
      </c>
      <c r="N190" s="234"/>
    </row>
    <row r="191" spans="2:14" x14ac:dyDescent="0.25">
      <c r="C191" s="226" t="s">
        <v>1182</v>
      </c>
      <c r="D191" s="212" t="s">
        <v>1181</v>
      </c>
      <c r="E191" s="235">
        <v>167174.29999999999</v>
      </c>
      <c r="F191" s="236">
        <v>3394.29</v>
      </c>
      <c r="I191" s="236">
        <v>50552.959999999999</v>
      </c>
      <c r="J191" s="236">
        <v>17747.23</v>
      </c>
      <c r="K191" s="236">
        <v>2838.02</v>
      </c>
      <c r="L191" s="236">
        <v>71117.36</v>
      </c>
      <c r="M191" s="236">
        <v>21524.44</v>
      </c>
      <c r="N191" s="236"/>
    </row>
    <row r="192" spans="2:14" x14ac:dyDescent="0.25">
      <c r="C192" s="226" t="s">
        <v>1190</v>
      </c>
      <c r="D192" s="212" t="s">
        <v>1189</v>
      </c>
      <c r="E192" s="235">
        <v>3577424.27</v>
      </c>
      <c r="F192" s="236">
        <v>23579.910000000003</v>
      </c>
      <c r="H192" s="236">
        <v>51481.95</v>
      </c>
      <c r="I192" s="236">
        <v>1532991.54</v>
      </c>
      <c r="J192" s="236">
        <v>626878.32999999996</v>
      </c>
      <c r="K192" s="236">
        <v>6520.43</v>
      </c>
      <c r="L192" s="236">
        <v>1296262.73</v>
      </c>
      <c r="M192" s="236">
        <v>39709.379999999997</v>
      </c>
      <c r="N192" s="236"/>
    </row>
    <row r="193" spans="2:14" x14ac:dyDescent="0.25">
      <c r="C193" s="226" t="s">
        <v>1178</v>
      </c>
      <c r="D193" s="212" t="s">
        <v>1177</v>
      </c>
      <c r="E193" s="235">
        <v>5603512.6099999994</v>
      </c>
      <c r="F193" s="236">
        <v>150504.01999999999</v>
      </c>
      <c r="H193" s="236">
        <v>102410</v>
      </c>
      <c r="I193" s="236">
        <v>2221120.52</v>
      </c>
      <c r="J193" s="236">
        <v>855867.62999999989</v>
      </c>
      <c r="K193" s="236">
        <v>21636.11</v>
      </c>
      <c r="L193" s="236">
        <v>2133610.0699999998</v>
      </c>
      <c r="M193" s="236">
        <v>118364.26000000001</v>
      </c>
      <c r="N193" s="236"/>
    </row>
    <row r="194" spans="2:14" x14ac:dyDescent="0.25">
      <c r="C194" s="226" t="s">
        <v>1176</v>
      </c>
      <c r="D194" s="212" t="s">
        <v>1175</v>
      </c>
      <c r="E194" s="235">
        <v>-66280.899999999994</v>
      </c>
      <c r="F194" s="236">
        <v>33570.949999999997</v>
      </c>
      <c r="G194" s="236">
        <v>-99851.85</v>
      </c>
    </row>
    <row r="195" spans="2:14" ht="24" x14ac:dyDescent="0.25">
      <c r="B195" s="219" t="s">
        <v>1188</v>
      </c>
      <c r="C195" s="220" t="s">
        <v>1173</v>
      </c>
      <c r="D195" s="225"/>
      <c r="E195" s="234">
        <v>1014783.09</v>
      </c>
      <c r="F195" s="234">
        <v>59867.11</v>
      </c>
      <c r="G195" s="234">
        <v>-84054.439999999988</v>
      </c>
      <c r="H195" s="234">
        <v>5414.64</v>
      </c>
      <c r="I195" s="234">
        <v>369270.53</v>
      </c>
      <c r="J195" s="234">
        <v>157364.07</v>
      </c>
      <c r="K195" s="234">
        <v>27962.32</v>
      </c>
      <c r="L195" s="234">
        <v>477900.92000000004</v>
      </c>
      <c r="M195" s="234">
        <v>1057.94</v>
      </c>
      <c r="N195" s="234"/>
    </row>
    <row r="196" spans="2:14" x14ac:dyDescent="0.25">
      <c r="C196" s="226" t="s">
        <v>1178</v>
      </c>
      <c r="D196" s="212" t="s">
        <v>1177</v>
      </c>
      <c r="E196" s="235">
        <v>1077177.1400000001</v>
      </c>
      <c r="F196" s="236">
        <v>47350.239999999998</v>
      </c>
      <c r="G196" s="236">
        <v>-9143.52</v>
      </c>
      <c r="H196" s="236">
        <v>5414.64</v>
      </c>
      <c r="I196" s="236">
        <v>369270.53</v>
      </c>
      <c r="J196" s="236">
        <v>157364.07</v>
      </c>
      <c r="K196" s="236">
        <v>27962.32</v>
      </c>
      <c r="L196" s="236">
        <v>477900.92000000004</v>
      </c>
      <c r="M196" s="236">
        <v>1057.94</v>
      </c>
      <c r="N196" s="236"/>
    </row>
    <row r="197" spans="2:14" x14ac:dyDescent="0.25">
      <c r="C197" s="226" t="s">
        <v>1176</v>
      </c>
      <c r="D197" s="212" t="s">
        <v>1175</v>
      </c>
      <c r="E197" s="235">
        <v>-62394.049999999988</v>
      </c>
      <c r="F197" s="236">
        <v>12516.87</v>
      </c>
      <c r="G197" s="236">
        <v>-74910.919999999984</v>
      </c>
    </row>
    <row r="198" spans="2:14" ht="24" x14ac:dyDescent="0.25">
      <c r="B198" s="219" t="s">
        <v>1187</v>
      </c>
      <c r="C198" s="220" t="s">
        <v>1173</v>
      </c>
      <c r="D198" s="225"/>
      <c r="E198" s="234">
        <v>5226597.3400000008</v>
      </c>
      <c r="F198" s="234">
        <v>60567.91</v>
      </c>
      <c r="G198" s="237"/>
      <c r="H198" s="234">
        <v>27825.37</v>
      </c>
      <c r="I198" s="234">
        <v>2401082.8600000013</v>
      </c>
      <c r="J198" s="234">
        <v>2601132.8999999994</v>
      </c>
      <c r="K198" s="234">
        <v>15966.940000000002</v>
      </c>
      <c r="L198" s="234">
        <v>96665.9</v>
      </c>
      <c r="M198" s="234">
        <v>23355.460000000003</v>
      </c>
      <c r="N198" s="234"/>
    </row>
    <row r="199" spans="2:14" x14ac:dyDescent="0.25">
      <c r="C199" s="226" t="s">
        <v>1178</v>
      </c>
      <c r="D199" s="212" t="s">
        <v>1177</v>
      </c>
      <c r="E199" s="235">
        <v>5184151.4600000009</v>
      </c>
      <c r="F199" s="236">
        <v>18122.03</v>
      </c>
      <c r="H199" s="236">
        <v>27825.37</v>
      </c>
      <c r="I199" s="236">
        <v>2401082.8600000013</v>
      </c>
      <c r="J199" s="236">
        <v>2601132.8999999994</v>
      </c>
      <c r="K199" s="236">
        <v>15966.940000000002</v>
      </c>
      <c r="L199" s="236">
        <v>96665.9</v>
      </c>
      <c r="M199" s="236">
        <v>23355.460000000003</v>
      </c>
      <c r="N199" s="236"/>
    </row>
    <row r="200" spans="2:14" x14ac:dyDescent="0.25">
      <c r="C200" s="226" t="s">
        <v>1176</v>
      </c>
      <c r="D200" s="212" t="s">
        <v>1175</v>
      </c>
      <c r="E200" s="235">
        <v>42445.880000000005</v>
      </c>
      <c r="F200" s="236">
        <v>42445.880000000005</v>
      </c>
    </row>
    <row r="201" spans="2:14" ht="24" x14ac:dyDescent="0.25">
      <c r="B201" s="219" t="s">
        <v>1186</v>
      </c>
      <c r="C201" s="220" t="s">
        <v>1173</v>
      </c>
      <c r="D201" s="225"/>
      <c r="E201" s="234">
        <v>14071814.310000002</v>
      </c>
      <c r="F201" s="234">
        <v>262264.95000000013</v>
      </c>
      <c r="G201" s="234">
        <v>-58487.4</v>
      </c>
      <c r="H201" s="237"/>
      <c r="I201" s="234">
        <v>4222327.620000001</v>
      </c>
      <c r="J201" s="234">
        <v>1335918.8099999996</v>
      </c>
      <c r="K201" s="234">
        <v>322543.65000000002</v>
      </c>
      <c r="L201" s="234">
        <v>7924753.450000002</v>
      </c>
      <c r="M201" s="234">
        <v>62493.230000000054</v>
      </c>
      <c r="N201" s="234"/>
    </row>
    <row r="202" spans="2:14" x14ac:dyDescent="0.25">
      <c r="C202" s="226" t="s">
        <v>1182</v>
      </c>
      <c r="D202" s="212" t="s">
        <v>1181</v>
      </c>
      <c r="E202" s="235">
        <v>10630.69</v>
      </c>
      <c r="F202" s="236">
        <v>212.5</v>
      </c>
      <c r="K202" s="236">
        <v>207.9</v>
      </c>
      <c r="L202" s="236">
        <v>9985</v>
      </c>
      <c r="M202" s="236">
        <v>225.29000000000002</v>
      </c>
      <c r="N202" s="236"/>
    </row>
    <row r="203" spans="2:14" x14ac:dyDescent="0.25">
      <c r="C203" s="226" t="s">
        <v>1178</v>
      </c>
      <c r="D203" s="212" t="s">
        <v>1177</v>
      </c>
      <c r="E203" s="235">
        <v>14061360.690000003</v>
      </c>
      <c r="F203" s="236">
        <v>203742.12000000011</v>
      </c>
      <c r="I203" s="236">
        <v>4222327.620000001</v>
      </c>
      <c r="J203" s="236">
        <v>1335918.8099999996</v>
      </c>
      <c r="K203" s="236">
        <v>322335.75</v>
      </c>
      <c r="L203" s="236">
        <v>7914768.450000002</v>
      </c>
      <c r="M203" s="236">
        <v>62267.940000000046</v>
      </c>
      <c r="N203" s="236"/>
    </row>
    <row r="204" spans="2:14" x14ac:dyDescent="0.25">
      <c r="C204" s="226" t="s">
        <v>1176</v>
      </c>
      <c r="D204" s="212" t="s">
        <v>1175</v>
      </c>
      <c r="E204" s="235">
        <v>-177.06999999999971</v>
      </c>
      <c r="F204" s="236">
        <v>58310.33</v>
      </c>
      <c r="G204" s="236">
        <v>-58487.4</v>
      </c>
    </row>
    <row r="205" spans="2:14" ht="24" x14ac:dyDescent="0.25">
      <c r="B205" s="219" t="s">
        <v>1185</v>
      </c>
      <c r="C205" s="220" t="s">
        <v>1173</v>
      </c>
      <c r="D205" s="225"/>
      <c r="E205" s="234">
        <v>14014404.389999988</v>
      </c>
      <c r="F205" s="234">
        <v>4880405.3299999982</v>
      </c>
      <c r="G205" s="234">
        <v>-4901424.3000000007</v>
      </c>
      <c r="H205" s="234">
        <v>258920.05</v>
      </c>
      <c r="I205" s="234">
        <v>7703931.5300000012</v>
      </c>
      <c r="J205" s="234">
        <v>2527453.3299999977</v>
      </c>
      <c r="K205" s="234">
        <v>193374.43000000002</v>
      </c>
      <c r="L205" s="234">
        <v>3071694.3299999996</v>
      </c>
      <c r="M205" s="234">
        <v>234883.4</v>
      </c>
      <c r="N205" s="234">
        <v>45166.29</v>
      </c>
    </row>
    <row r="206" spans="2:14" x14ac:dyDescent="0.25">
      <c r="C206" s="226" t="s">
        <v>1184</v>
      </c>
      <c r="D206" s="212" t="s">
        <v>1183</v>
      </c>
      <c r="E206" s="235">
        <v>2552.7399999999998</v>
      </c>
      <c r="L206" s="236">
        <v>706.43000000000006</v>
      </c>
      <c r="M206" s="236">
        <v>1846.31</v>
      </c>
      <c r="N206" s="236"/>
    </row>
    <row r="207" spans="2:14" x14ac:dyDescent="0.25">
      <c r="C207" s="226" t="s">
        <v>1182</v>
      </c>
      <c r="D207" s="212" t="s">
        <v>1181</v>
      </c>
      <c r="E207" s="235">
        <v>477200.79</v>
      </c>
      <c r="H207" s="236">
        <v>184042.55</v>
      </c>
      <c r="I207" s="236">
        <v>140886.61000000002</v>
      </c>
      <c r="J207" s="236">
        <v>101855.9</v>
      </c>
      <c r="K207" s="236">
        <v>7766.0999999999995</v>
      </c>
      <c r="L207" s="236">
        <v>40776.81</v>
      </c>
      <c r="M207" s="236">
        <v>1872.82</v>
      </c>
      <c r="N207" s="236"/>
    </row>
    <row r="208" spans="2:14" x14ac:dyDescent="0.25">
      <c r="C208" s="226" t="s">
        <v>1180</v>
      </c>
      <c r="D208" s="212" t="s">
        <v>1179</v>
      </c>
      <c r="E208" s="235">
        <v>35192.58</v>
      </c>
      <c r="I208" s="236">
        <v>25769.35</v>
      </c>
      <c r="J208" s="236">
        <v>9423.23</v>
      </c>
    </row>
    <row r="209" spans="2:14" x14ac:dyDescent="0.25">
      <c r="C209" s="226" t="s">
        <v>1170</v>
      </c>
      <c r="D209" s="212" t="s">
        <v>1169</v>
      </c>
      <c r="E209" s="235">
        <v>2220.0700000000002</v>
      </c>
      <c r="L209" s="236">
        <v>2220.0700000000002</v>
      </c>
    </row>
    <row r="210" spans="2:14" x14ac:dyDescent="0.25">
      <c r="C210" s="226" t="s">
        <v>1168</v>
      </c>
      <c r="D210" s="212" t="s">
        <v>1167</v>
      </c>
      <c r="E210" s="235">
        <v>17807.29</v>
      </c>
      <c r="N210" s="228">
        <v>17807.29</v>
      </c>
    </row>
    <row r="211" spans="2:14" x14ac:dyDescent="0.25">
      <c r="C211" s="226" t="s">
        <v>1178</v>
      </c>
      <c r="D211" s="212" t="s">
        <v>1177</v>
      </c>
      <c r="E211" s="235">
        <v>13696929.979999999</v>
      </c>
      <c r="F211" s="236">
        <v>221507.45</v>
      </c>
      <c r="G211" s="236">
        <v>-25027.360000000001</v>
      </c>
      <c r="H211" s="236">
        <v>74877.5</v>
      </c>
      <c r="I211" s="236">
        <v>7537275.5700000003</v>
      </c>
      <c r="J211" s="236">
        <v>2416174.1999999974</v>
      </c>
      <c r="K211" s="236">
        <v>185608.33000000002</v>
      </c>
      <c r="L211" s="236">
        <v>3027991.02</v>
      </c>
      <c r="M211" s="236">
        <v>231164.27000000002</v>
      </c>
      <c r="N211" s="236">
        <v>27359</v>
      </c>
    </row>
    <row r="212" spans="2:14" x14ac:dyDescent="0.25">
      <c r="C212" s="226" t="s">
        <v>1176</v>
      </c>
      <c r="D212" s="212" t="s">
        <v>1175</v>
      </c>
      <c r="E212" s="235">
        <v>-217499.06000000238</v>
      </c>
      <c r="F212" s="236">
        <v>4658897.879999998</v>
      </c>
      <c r="G212" s="236">
        <v>-4876396.9400000004</v>
      </c>
    </row>
    <row r="213" spans="2:14" ht="24" x14ac:dyDescent="0.25">
      <c r="B213" s="219" t="s">
        <v>1174</v>
      </c>
      <c r="C213" s="220" t="s">
        <v>1173</v>
      </c>
      <c r="D213" s="225"/>
      <c r="E213" s="234">
        <v>680459.58</v>
      </c>
      <c r="F213" s="234">
        <v>0</v>
      </c>
      <c r="G213" s="237"/>
      <c r="H213" s="237"/>
      <c r="I213" s="234">
        <v>0</v>
      </c>
      <c r="J213" s="234">
        <v>0</v>
      </c>
      <c r="K213" s="234">
        <v>0</v>
      </c>
      <c r="L213" s="234">
        <v>2689.12</v>
      </c>
      <c r="M213" s="234">
        <v>0</v>
      </c>
      <c r="N213" s="234">
        <v>677770.46</v>
      </c>
    </row>
    <row r="214" spans="2:14" x14ac:dyDescent="0.25">
      <c r="C214" s="226" t="s">
        <v>1172</v>
      </c>
      <c r="D214" s="212" t="s">
        <v>1171</v>
      </c>
      <c r="E214" s="235">
        <v>280442.07</v>
      </c>
      <c r="F214" s="236">
        <v>0</v>
      </c>
      <c r="I214" s="236">
        <v>0</v>
      </c>
      <c r="J214" s="236">
        <v>0</v>
      </c>
      <c r="K214" s="236">
        <v>0</v>
      </c>
      <c r="L214" s="236">
        <v>185.25</v>
      </c>
      <c r="M214" s="236">
        <v>0</v>
      </c>
      <c r="N214" s="236">
        <v>280256.82</v>
      </c>
    </row>
    <row r="215" spans="2:14" x14ac:dyDescent="0.25">
      <c r="C215" s="226" t="s">
        <v>1170</v>
      </c>
      <c r="D215" s="212" t="s">
        <v>1169</v>
      </c>
      <c r="E215" s="235">
        <v>2503.87</v>
      </c>
      <c r="L215" s="236">
        <v>2503.87</v>
      </c>
    </row>
    <row r="216" spans="2:14" x14ac:dyDescent="0.25">
      <c r="C216" s="226" t="s">
        <v>1168</v>
      </c>
      <c r="D216" s="212" t="s">
        <v>1167</v>
      </c>
      <c r="E216" s="235">
        <v>397513.64</v>
      </c>
      <c r="N216" s="228">
        <v>397513.64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9A1AF-C30F-4180-809B-4C406659012D}">
  <sheetPr>
    <tabColor theme="9" tint="0.59999389629810485"/>
  </sheetPr>
  <dimension ref="B2:D51"/>
  <sheetViews>
    <sheetView workbookViewId="0"/>
  </sheetViews>
  <sheetFormatPr defaultRowHeight="15" x14ac:dyDescent="0.25"/>
  <cols>
    <col min="2" max="2" width="13.42578125" bestFit="1" customWidth="1"/>
    <col min="3" max="3" width="40.42578125" bestFit="1" customWidth="1"/>
    <col min="4" max="4" width="13.42578125" bestFit="1" customWidth="1"/>
  </cols>
  <sheetData>
    <row r="2" spans="2:4" x14ac:dyDescent="0.25">
      <c r="B2" s="18" t="s">
        <v>1283</v>
      </c>
    </row>
    <row r="3" spans="2:4" s="222" customFormat="1" ht="28.5" customHeight="1" x14ac:dyDescent="0.25">
      <c r="B3" s="242" t="s">
        <v>1282</v>
      </c>
      <c r="C3" s="242" t="s">
        <v>1281</v>
      </c>
      <c r="D3" s="217" t="s">
        <v>1173</v>
      </c>
    </row>
    <row r="4" spans="2:4" x14ac:dyDescent="0.25">
      <c r="B4" s="224" t="s">
        <v>1276</v>
      </c>
      <c r="C4" s="225"/>
      <c r="D4" s="241">
        <v>533665876</v>
      </c>
    </row>
    <row r="5" spans="2:4" x14ac:dyDescent="0.25">
      <c r="B5" s="212">
        <v>12</v>
      </c>
      <c r="C5" s="212" t="s">
        <v>1284</v>
      </c>
      <c r="D5" s="240">
        <v>5770035</v>
      </c>
    </row>
    <row r="6" spans="2:4" x14ac:dyDescent="0.25">
      <c r="B6" s="212">
        <v>13</v>
      </c>
      <c r="C6" s="212" t="s">
        <v>1285</v>
      </c>
      <c r="D6" s="240">
        <v>4616877</v>
      </c>
    </row>
    <row r="7" spans="2:4" x14ac:dyDescent="0.25">
      <c r="B7" s="212">
        <v>14</v>
      </c>
      <c r="C7" s="212" t="s">
        <v>1286</v>
      </c>
      <c r="D7" s="240">
        <v>249</v>
      </c>
    </row>
    <row r="8" spans="2:4" x14ac:dyDescent="0.25">
      <c r="B8" s="212">
        <v>16</v>
      </c>
      <c r="C8" s="212" t="s">
        <v>1132</v>
      </c>
      <c r="D8" s="240">
        <v>5867542</v>
      </c>
    </row>
    <row r="9" spans="2:4" x14ac:dyDescent="0.25">
      <c r="B9" s="212">
        <v>17</v>
      </c>
      <c r="C9" s="212" t="s">
        <v>1287</v>
      </c>
      <c r="D9" s="240">
        <v>136260</v>
      </c>
    </row>
    <row r="10" spans="2:4" x14ac:dyDescent="0.25">
      <c r="B10" s="212">
        <v>19</v>
      </c>
      <c r="C10" s="212" t="s">
        <v>1288</v>
      </c>
      <c r="D10" s="240">
        <v>553455</v>
      </c>
    </row>
    <row r="11" spans="2:4" x14ac:dyDescent="0.25">
      <c r="B11" s="212">
        <v>20</v>
      </c>
      <c r="C11" s="212" t="s">
        <v>1289</v>
      </c>
      <c r="D11" s="240">
        <v>63819</v>
      </c>
    </row>
    <row r="12" spans="2:4" x14ac:dyDescent="0.25">
      <c r="B12" s="212">
        <v>21</v>
      </c>
      <c r="C12" s="212" t="s">
        <v>1290</v>
      </c>
      <c r="D12" s="240">
        <v>12960</v>
      </c>
    </row>
    <row r="13" spans="2:4" x14ac:dyDescent="0.25">
      <c r="B13" s="212">
        <v>23</v>
      </c>
      <c r="C13" s="212" t="s">
        <v>1291</v>
      </c>
      <c r="D13" s="240">
        <v>13729</v>
      </c>
    </row>
    <row r="14" spans="2:4" x14ac:dyDescent="0.25">
      <c r="B14" s="212">
        <v>29</v>
      </c>
      <c r="C14" s="212" t="s">
        <v>1292</v>
      </c>
      <c r="D14" s="240">
        <v>1791030</v>
      </c>
    </row>
    <row r="15" spans="2:4" x14ac:dyDescent="0.25">
      <c r="B15" s="212">
        <v>31</v>
      </c>
      <c r="C15" s="212" t="s">
        <v>1293</v>
      </c>
      <c r="D15" s="240">
        <v>11519666</v>
      </c>
    </row>
    <row r="16" spans="2:4" x14ac:dyDescent="0.25">
      <c r="B16" s="212">
        <v>32</v>
      </c>
      <c r="C16" s="212" t="s">
        <v>1294</v>
      </c>
      <c r="D16" s="240">
        <v>32986539</v>
      </c>
    </row>
    <row r="17" spans="2:4" x14ac:dyDescent="0.25">
      <c r="B17" s="212">
        <v>34</v>
      </c>
      <c r="C17" s="212" t="s">
        <v>1295</v>
      </c>
      <c r="D17" s="240">
        <v>2566412</v>
      </c>
    </row>
    <row r="18" spans="2:4" x14ac:dyDescent="0.25">
      <c r="B18" s="212">
        <v>36</v>
      </c>
      <c r="C18" s="212" t="s">
        <v>1296</v>
      </c>
      <c r="D18" s="240">
        <v>6582303</v>
      </c>
    </row>
    <row r="19" spans="2:4" x14ac:dyDescent="0.25">
      <c r="B19" s="212">
        <v>37</v>
      </c>
      <c r="C19" s="212" t="s">
        <v>1297</v>
      </c>
      <c r="D19" s="240">
        <v>8332654</v>
      </c>
    </row>
    <row r="20" spans="2:4" x14ac:dyDescent="0.25">
      <c r="B20" s="212">
        <v>39</v>
      </c>
      <c r="C20" s="212" t="s">
        <v>1298</v>
      </c>
      <c r="D20" s="240">
        <v>9404895</v>
      </c>
    </row>
    <row r="21" spans="2:4" x14ac:dyDescent="0.25">
      <c r="B21" s="212">
        <v>40</v>
      </c>
      <c r="C21" s="212" t="s">
        <v>1299</v>
      </c>
      <c r="D21" s="240">
        <v>62280787</v>
      </c>
    </row>
    <row r="22" spans="2:4" x14ac:dyDescent="0.25">
      <c r="B22" s="212">
        <v>41</v>
      </c>
      <c r="C22" s="212" t="s">
        <v>1300</v>
      </c>
      <c r="D22" s="240">
        <v>11016208</v>
      </c>
    </row>
    <row r="23" spans="2:4" x14ac:dyDescent="0.25">
      <c r="B23" s="212">
        <v>42</v>
      </c>
      <c r="C23" s="212" t="s">
        <v>1301</v>
      </c>
      <c r="D23" s="240">
        <v>1617676</v>
      </c>
    </row>
    <row r="24" spans="2:4" x14ac:dyDescent="0.25">
      <c r="B24" s="212">
        <v>43</v>
      </c>
      <c r="C24" s="212" t="s">
        <v>1302</v>
      </c>
      <c r="D24" s="240">
        <v>41391814</v>
      </c>
    </row>
    <row r="25" spans="2:4" x14ac:dyDescent="0.25">
      <c r="B25" s="212">
        <v>49</v>
      </c>
      <c r="C25" s="212" t="s">
        <v>1303</v>
      </c>
      <c r="D25" s="240">
        <v>33523645</v>
      </c>
    </row>
    <row r="26" spans="2:4" x14ac:dyDescent="0.25">
      <c r="B26" s="212">
        <v>51</v>
      </c>
      <c r="C26" s="212" t="s">
        <v>1304</v>
      </c>
      <c r="D26" s="240">
        <v>10447409</v>
      </c>
    </row>
    <row r="27" spans="2:4" x14ac:dyDescent="0.25">
      <c r="B27" s="212">
        <v>53</v>
      </c>
      <c r="C27" s="212" t="s">
        <v>1305</v>
      </c>
      <c r="D27" s="240">
        <v>2466605</v>
      </c>
    </row>
    <row r="28" spans="2:4" x14ac:dyDescent="0.25">
      <c r="B28" s="212">
        <v>54</v>
      </c>
      <c r="C28" s="212" t="s">
        <v>1306</v>
      </c>
      <c r="D28" s="240">
        <v>2606662</v>
      </c>
    </row>
    <row r="29" spans="2:4" x14ac:dyDescent="0.25">
      <c r="B29" s="212">
        <v>60</v>
      </c>
      <c r="C29" s="212" t="s">
        <v>1307</v>
      </c>
      <c r="D29" s="240">
        <v>1976130</v>
      </c>
    </row>
    <row r="30" spans="2:4" x14ac:dyDescent="0.25">
      <c r="B30" s="212">
        <v>61</v>
      </c>
      <c r="C30" s="212" t="s">
        <v>1308</v>
      </c>
      <c r="D30" s="240">
        <v>57077936</v>
      </c>
    </row>
    <row r="31" spans="2:4" x14ac:dyDescent="0.25">
      <c r="B31" s="212">
        <v>62</v>
      </c>
      <c r="C31" s="212" t="s">
        <v>1309</v>
      </c>
      <c r="D31" s="240">
        <v>793621</v>
      </c>
    </row>
    <row r="32" spans="2:4" x14ac:dyDescent="0.25">
      <c r="B32" s="212">
        <v>63</v>
      </c>
      <c r="C32" s="212" t="s">
        <v>1310</v>
      </c>
      <c r="D32" s="240">
        <v>254330</v>
      </c>
    </row>
    <row r="33" spans="2:4" x14ac:dyDescent="0.25">
      <c r="B33" s="212">
        <v>67</v>
      </c>
      <c r="C33" s="212" t="s">
        <v>1311</v>
      </c>
      <c r="D33" s="240">
        <v>35966</v>
      </c>
    </row>
    <row r="34" spans="2:4" x14ac:dyDescent="0.25">
      <c r="B34" s="212">
        <v>68</v>
      </c>
      <c r="C34" s="212" t="s">
        <v>1312</v>
      </c>
      <c r="D34" s="240">
        <v>288230</v>
      </c>
    </row>
    <row r="35" spans="2:4" x14ac:dyDescent="0.25">
      <c r="B35" s="212">
        <v>69</v>
      </c>
      <c r="C35" s="212" t="s">
        <v>1313</v>
      </c>
      <c r="D35" s="240">
        <v>42838416</v>
      </c>
    </row>
    <row r="36" spans="2:4" x14ac:dyDescent="0.25">
      <c r="B36" s="212">
        <v>71</v>
      </c>
      <c r="C36" s="212" t="s">
        <v>1314</v>
      </c>
      <c r="D36" s="240">
        <v>82190475</v>
      </c>
    </row>
    <row r="37" spans="2:4" x14ac:dyDescent="0.25">
      <c r="B37" s="212">
        <v>73</v>
      </c>
      <c r="C37" s="212" t="s">
        <v>1315</v>
      </c>
      <c r="D37" s="240">
        <v>7739229</v>
      </c>
    </row>
    <row r="38" spans="2:4" x14ac:dyDescent="0.25">
      <c r="B38" s="212">
        <v>81</v>
      </c>
      <c r="C38" s="212" t="s">
        <v>1314</v>
      </c>
      <c r="D38" s="240">
        <v>54300713</v>
      </c>
    </row>
    <row r="39" spans="2:4" x14ac:dyDescent="0.25">
      <c r="B39" s="212">
        <v>82</v>
      </c>
      <c r="C39" s="212" t="s">
        <v>1316</v>
      </c>
      <c r="D39" s="240">
        <v>10068</v>
      </c>
    </row>
    <row r="40" spans="2:4" x14ac:dyDescent="0.25">
      <c r="B40" s="212">
        <v>83</v>
      </c>
      <c r="C40" s="212" t="s">
        <v>1315</v>
      </c>
      <c r="D40" s="240">
        <v>28472089</v>
      </c>
    </row>
    <row r="41" spans="2:4" x14ac:dyDescent="0.25">
      <c r="B41" s="212">
        <v>92</v>
      </c>
      <c r="C41" s="212" t="s">
        <v>1317</v>
      </c>
      <c r="D41" s="240">
        <v>2200296</v>
      </c>
    </row>
    <row r="42" spans="2:4" x14ac:dyDescent="0.25">
      <c r="B42" s="212">
        <v>93</v>
      </c>
      <c r="C42" s="212" t="s">
        <v>1318</v>
      </c>
      <c r="D42" s="240">
        <v>545</v>
      </c>
    </row>
    <row r="43" spans="2:4" x14ac:dyDescent="0.25">
      <c r="B43" s="212">
        <v>96</v>
      </c>
      <c r="C43" s="212" t="s">
        <v>1319</v>
      </c>
      <c r="D43" s="240">
        <v>-81397</v>
      </c>
    </row>
    <row r="44" spans="2:4" x14ac:dyDescent="0.25">
      <c r="B44" s="212"/>
      <c r="C44" s="212"/>
      <c r="D44" s="240"/>
    </row>
    <row r="45" spans="2:4" x14ac:dyDescent="0.25">
      <c r="B45" s="212"/>
      <c r="C45" s="212"/>
      <c r="D45" s="240"/>
    </row>
    <row r="46" spans="2:4" x14ac:dyDescent="0.25">
      <c r="B46" s="212"/>
      <c r="C46" s="212"/>
      <c r="D46" s="240"/>
    </row>
    <row r="47" spans="2:4" x14ac:dyDescent="0.25">
      <c r="B47" s="212"/>
      <c r="C47" s="212"/>
      <c r="D47" s="240"/>
    </row>
    <row r="48" spans="2:4" x14ac:dyDescent="0.25">
      <c r="B48" s="212"/>
      <c r="C48" s="212"/>
      <c r="D48" s="240"/>
    </row>
    <row r="49" spans="2:4" x14ac:dyDescent="0.25">
      <c r="B49" s="212"/>
      <c r="C49" s="212"/>
      <c r="D49" s="240"/>
    </row>
    <row r="50" spans="2:4" x14ac:dyDescent="0.25">
      <c r="B50" s="212"/>
      <c r="C50" s="212"/>
      <c r="D50" s="240"/>
    </row>
    <row r="51" spans="2:4" x14ac:dyDescent="0.25">
      <c r="B51" s="212"/>
      <c r="C51" s="212"/>
      <c r="D51" s="24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69348-0E29-447E-8A9A-DA5BCFC556F9}">
  <dimension ref="A1:C31"/>
  <sheetViews>
    <sheetView workbookViewId="0">
      <selection activeCell="A2" sqref="A2:C31"/>
    </sheetView>
  </sheetViews>
  <sheetFormatPr defaultRowHeight="15" x14ac:dyDescent="0.25"/>
  <cols>
    <col min="1" max="1" width="6.7109375" customWidth="1"/>
    <col min="2" max="2" width="10.7109375" customWidth="1"/>
    <col min="3" max="3" width="6.42578125" customWidth="1"/>
  </cols>
  <sheetData>
    <row r="1" spans="1:3" x14ac:dyDescent="0.25">
      <c r="B1" s="245" t="s">
        <v>1157</v>
      </c>
      <c r="C1" s="246"/>
    </row>
    <row r="2" spans="1:3" x14ac:dyDescent="0.25">
      <c r="A2" s="210" t="s">
        <v>97</v>
      </c>
      <c r="B2" s="211" t="s">
        <v>1166</v>
      </c>
      <c r="C2" s="211" t="s">
        <v>1165</v>
      </c>
    </row>
    <row r="3" spans="1:3" x14ac:dyDescent="0.25">
      <c r="A3" s="212" t="s">
        <v>619</v>
      </c>
      <c r="B3" s="213">
        <v>74896.5</v>
      </c>
      <c r="C3" s="213">
        <v>73344.740000000005</v>
      </c>
    </row>
    <row r="4" spans="1:3" x14ac:dyDescent="0.25">
      <c r="A4" s="212" t="s">
        <v>620</v>
      </c>
      <c r="B4" s="213">
        <v>4811080.2</v>
      </c>
      <c r="C4" s="213">
        <v>0</v>
      </c>
    </row>
    <row r="5" spans="1:3" x14ac:dyDescent="0.25">
      <c r="A5" s="212" t="s">
        <v>621</v>
      </c>
      <c r="B5" s="213">
        <v>128647.89000000001</v>
      </c>
      <c r="C5" s="213">
        <v>0</v>
      </c>
    </row>
    <row r="6" spans="1:3" x14ac:dyDescent="0.25">
      <c r="A6" s="212" t="s">
        <v>622</v>
      </c>
      <c r="B6" s="213">
        <v>0</v>
      </c>
      <c r="C6" s="213">
        <v>0</v>
      </c>
    </row>
    <row r="7" spans="1:3" x14ac:dyDescent="0.25">
      <c r="A7" s="212" t="s">
        <v>623</v>
      </c>
      <c r="B7" s="213">
        <v>5014624.59</v>
      </c>
      <c r="C7" s="213">
        <v>73344.740000000005</v>
      </c>
    </row>
    <row r="8" spans="1:3" x14ac:dyDescent="0.25">
      <c r="A8" s="212" t="s">
        <v>626</v>
      </c>
      <c r="B8" s="213">
        <v>1150580.5899999999</v>
      </c>
      <c r="C8" s="213">
        <v>0</v>
      </c>
    </row>
    <row r="9" spans="1:3" x14ac:dyDescent="0.25">
      <c r="A9" s="212" t="s">
        <v>627</v>
      </c>
      <c r="B9" s="213">
        <v>0</v>
      </c>
      <c r="C9" s="213">
        <v>0</v>
      </c>
    </row>
    <row r="10" spans="1:3" x14ac:dyDescent="0.25">
      <c r="A10" s="212" t="s">
        <v>628</v>
      </c>
      <c r="B10" s="213">
        <v>0</v>
      </c>
      <c r="C10" s="213">
        <v>0</v>
      </c>
    </row>
    <row r="11" spans="1:3" x14ac:dyDescent="0.25">
      <c r="A11" s="212" t="s">
        <v>629</v>
      </c>
      <c r="B11" s="213">
        <v>1150580.5899999999</v>
      </c>
      <c r="C11" s="213">
        <v>0</v>
      </c>
    </row>
    <row r="12" spans="1:3" x14ac:dyDescent="0.25">
      <c r="A12" s="212" t="s">
        <v>633</v>
      </c>
      <c r="B12" s="213">
        <v>3864044</v>
      </c>
      <c r="C12" s="213">
        <v>73344.740000000005</v>
      </c>
    </row>
    <row r="13" spans="1:3" x14ac:dyDescent="0.25">
      <c r="A13" s="212" t="s">
        <v>634</v>
      </c>
      <c r="B13" s="213">
        <v>3864044</v>
      </c>
      <c r="C13" s="213">
        <v>73344.740000000005</v>
      </c>
    </row>
    <row r="14" spans="1:3" x14ac:dyDescent="0.25">
      <c r="A14" s="212" t="s">
        <v>669</v>
      </c>
      <c r="B14" s="213">
        <v>0</v>
      </c>
      <c r="C14" s="213">
        <v>0</v>
      </c>
    </row>
    <row r="15" spans="1:3" x14ac:dyDescent="0.25">
      <c r="A15" s="212" t="s">
        <v>670</v>
      </c>
      <c r="B15" s="213">
        <v>1009828.5999999999</v>
      </c>
      <c r="C15" s="213">
        <v>20000</v>
      </c>
    </row>
    <row r="16" spans="1:3" x14ac:dyDescent="0.25">
      <c r="A16" s="212" t="s">
        <v>671</v>
      </c>
      <c r="B16" s="213">
        <v>1009828.5999999999</v>
      </c>
      <c r="C16" s="213">
        <v>20000</v>
      </c>
    </row>
    <row r="17" spans="1:3" x14ac:dyDescent="0.25">
      <c r="A17" s="212" t="s">
        <v>673</v>
      </c>
      <c r="B17" s="213">
        <v>0</v>
      </c>
      <c r="C17" s="213">
        <v>0</v>
      </c>
    </row>
    <row r="18" spans="1:3" x14ac:dyDescent="0.25">
      <c r="A18" s="212" t="s">
        <v>674</v>
      </c>
      <c r="B18" s="213">
        <v>175100.66</v>
      </c>
      <c r="C18" s="213">
        <v>2318.6999999999998</v>
      </c>
    </row>
    <row r="19" spans="1:3" x14ac:dyDescent="0.25">
      <c r="A19" s="212" t="s">
        <v>675</v>
      </c>
      <c r="B19" s="213">
        <v>51463.8</v>
      </c>
      <c r="C19" s="213">
        <v>0</v>
      </c>
    </row>
    <row r="20" spans="1:3" x14ac:dyDescent="0.25">
      <c r="A20" s="212" t="s">
        <v>676</v>
      </c>
      <c r="B20" s="213">
        <v>226564.46000000002</v>
      </c>
      <c r="C20" s="213">
        <v>2318.6999999999998</v>
      </c>
    </row>
    <row r="21" spans="1:3" x14ac:dyDescent="0.25">
      <c r="A21" s="212" t="s">
        <v>678</v>
      </c>
      <c r="B21" s="213">
        <v>0</v>
      </c>
      <c r="C21" s="213">
        <v>0</v>
      </c>
    </row>
    <row r="22" spans="1:3" x14ac:dyDescent="0.25">
      <c r="A22" s="212" t="s">
        <v>679</v>
      </c>
      <c r="B22" s="213">
        <v>1236393.0599999998</v>
      </c>
      <c r="C22" s="213">
        <v>22318.7</v>
      </c>
    </row>
    <row r="23" spans="1:3" x14ac:dyDescent="0.25">
      <c r="A23" s="212" t="s">
        <v>682</v>
      </c>
      <c r="B23" s="213">
        <v>1522538.58</v>
      </c>
      <c r="C23" s="213">
        <v>9945.0400000000009</v>
      </c>
    </row>
    <row r="24" spans="1:3" x14ac:dyDescent="0.25">
      <c r="A24" s="212" t="s">
        <v>683</v>
      </c>
      <c r="B24" s="213">
        <v>0</v>
      </c>
      <c r="C24" s="213">
        <v>0</v>
      </c>
    </row>
    <row r="25" spans="1:3" x14ac:dyDescent="0.25">
      <c r="A25" s="212" t="s">
        <v>684</v>
      </c>
      <c r="B25" s="213">
        <v>600</v>
      </c>
      <c r="C25" s="213">
        <v>843.94</v>
      </c>
    </row>
    <row r="26" spans="1:3" x14ac:dyDescent="0.25">
      <c r="A26" s="212" t="s">
        <v>685</v>
      </c>
      <c r="B26" s="213">
        <v>0</v>
      </c>
      <c r="C26" s="213">
        <v>0</v>
      </c>
    </row>
    <row r="27" spans="1:3" x14ac:dyDescent="0.25">
      <c r="A27" s="212" t="s">
        <v>686</v>
      </c>
      <c r="B27" s="213">
        <v>1523138.58</v>
      </c>
      <c r="C27" s="213">
        <v>10788.980000000001</v>
      </c>
    </row>
    <row r="28" spans="1:3" x14ac:dyDescent="0.25">
      <c r="A28" s="212" t="s">
        <v>688</v>
      </c>
      <c r="B28" s="213">
        <v>-286745.52</v>
      </c>
      <c r="C28" s="213">
        <v>11529.72</v>
      </c>
    </row>
    <row r="29" spans="1:3" x14ac:dyDescent="0.25">
      <c r="A29" s="212" t="s">
        <v>690</v>
      </c>
      <c r="B29" s="213">
        <v>4150789.52</v>
      </c>
      <c r="C29" s="213">
        <v>61815.02</v>
      </c>
    </row>
    <row r="30" spans="1:3" x14ac:dyDescent="0.25">
      <c r="A30" s="212" t="s">
        <v>692</v>
      </c>
      <c r="B30" s="213">
        <v>0</v>
      </c>
      <c r="C30" s="213">
        <v>0</v>
      </c>
    </row>
    <row r="31" spans="1:3" x14ac:dyDescent="0.25">
      <c r="A31" s="212" t="s">
        <v>694</v>
      </c>
      <c r="B31" s="213">
        <v>3864044</v>
      </c>
      <c r="C31" s="213">
        <v>73344.739999999991</v>
      </c>
    </row>
  </sheetData>
  <mergeCells count="1">
    <mergeCell ref="B1:C1"/>
  </mergeCell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7FEDA-3BC3-4574-8A18-5D7494D11AAD}">
  <sheetPr>
    <tabColor theme="5" tint="0.59999389629810485"/>
  </sheetPr>
  <dimension ref="B2:C901"/>
  <sheetViews>
    <sheetView workbookViewId="0">
      <selection activeCell="C19" sqref="C19"/>
    </sheetView>
  </sheetViews>
  <sheetFormatPr defaultRowHeight="15" x14ac:dyDescent="0.25"/>
  <cols>
    <col min="2" max="2" width="9.140625" style="12"/>
    <col min="3" max="3" width="83.28515625" bestFit="1" customWidth="1"/>
  </cols>
  <sheetData>
    <row r="2" spans="2:3" x14ac:dyDescent="0.25">
      <c r="B2" s="82" t="s">
        <v>1115</v>
      </c>
      <c r="C2" s="83" t="s">
        <v>1116</v>
      </c>
    </row>
    <row r="3" spans="2:3" x14ac:dyDescent="0.25">
      <c r="B3" s="12" t="s">
        <v>98</v>
      </c>
      <c r="C3" t="str">
        <f>IFERROR(VLOOKUP(B3,'Stmt of Net Position'!$B$9:$C$106,2,0)," ")</f>
        <v>Cash and Cash Equivalents</v>
      </c>
    </row>
    <row r="4" spans="2:3" x14ac:dyDescent="0.25">
      <c r="B4" s="12" t="s">
        <v>101</v>
      </c>
      <c r="C4" t="str">
        <f>IFERROR(VLOOKUP(B4,'Stmt of Net Position'!$B$9:$C$106,2,0)," ")</f>
        <v>Net Assets for Pool Participants</v>
      </c>
    </row>
    <row r="5" spans="2:3" x14ac:dyDescent="0.25">
      <c r="B5" s="12" t="s">
        <v>102</v>
      </c>
      <c r="C5" t="str">
        <f>IFERROR(VLOOKUP(B5,'Stmt of Net Position'!$B$9:$C$106,2,0)," ")</f>
        <v>Investments</v>
      </c>
    </row>
    <row r="6" spans="2:3" x14ac:dyDescent="0.25">
      <c r="B6" s="12" t="s">
        <v>105</v>
      </c>
      <c r="C6" t="str">
        <f>IFERROR(VLOOKUP(B6,'Stmt of Net Position'!$B$9:$C$106,2,0)," ")</f>
        <v>Accounts Receivable (net of uncollectible allowance)</v>
      </c>
    </row>
    <row r="7" spans="2:3" x14ac:dyDescent="0.25">
      <c r="B7" s="12" t="s">
        <v>104</v>
      </c>
      <c r="C7" t="str">
        <f>IFERROR(VLOOKUP(B7,'Stmt of Net Position'!$B$9:$C$106,2,0)," ")</f>
        <v>Lease Receivables</v>
      </c>
    </row>
    <row r="8" spans="2:3" x14ac:dyDescent="0.25">
      <c r="B8" s="12" t="s">
        <v>103</v>
      </c>
      <c r="C8" t="str">
        <f>IFERROR(VLOOKUP(B8,'Stmt of Net Position'!$B$9:$C$106,2,0)," ")</f>
        <v>Interfund Receivables</v>
      </c>
    </row>
    <row r="9" spans="2:3" x14ac:dyDescent="0.25">
      <c r="B9" s="12" t="s">
        <v>106</v>
      </c>
      <c r="C9" t="str">
        <f>IFERROR(VLOOKUP(B9,'Stmt of Net Position'!$B$9:$C$106,2,0)," ")</f>
        <v>Other Receivables</v>
      </c>
    </row>
    <row r="10" spans="2:3" x14ac:dyDescent="0.25">
      <c r="B10" s="12" t="s">
        <v>107</v>
      </c>
      <c r="C10" t="str">
        <f>IFERROR(VLOOKUP(B10,'Stmt of Net Position'!$B$9:$C$106,2,0)," ")</f>
        <v>Member Assessments/Contributions</v>
      </c>
    </row>
    <row r="11" spans="2:3" x14ac:dyDescent="0.25">
      <c r="B11" s="12" t="s">
        <v>108</v>
      </c>
      <c r="C11" t="str">
        <f>IFERROR(VLOOKUP(B11,'Stmt of Net Position'!$B$9:$C$106,2,0)," ")</f>
        <v>Accrued Deductibles/Co-pays</v>
      </c>
    </row>
    <row r="12" spans="2:3" x14ac:dyDescent="0.25">
      <c r="B12" s="12" t="s">
        <v>109</v>
      </c>
      <c r="C12" t="str">
        <f>IFERROR(VLOOKUP(B12,'Stmt of Net Position'!$B$9:$C$106,2,0)," ")</f>
        <v>Excess/Reinsurance Recoverable</v>
      </c>
    </row>
    <row r="13" spans="2:3" x14ac:dyDescent="0.25">
      <c r="B13" s="12" t="s">
        <v>100</v>
      </c>
      <c r="C13" t="str">
        <f>IFERROR(VLOOKUP(B13,'Stmt of Net Position'!$B$9:$C$106,2,0)," ")</f>
        <v>Due from Other Governments</v>
      </c>
    </row>
    <row r="14" spans="2:3" x14ac:dyDescent="0.25">
      <c r="B14" s="12" t="s">
        <v>110</v>
      </c>
      <c r="C14" t="str">
        <f>IFERROR(VLOOKUP(B14,'Stmt of Net Position'!$B$9:$C$106,2,0)," ")</f>
        <v>Inventory</v>
      </c>
    </row>
    <row r="15" spans="2:3" x14ac:dyDescent="0.25">
      <c r="B15" s="12" t="s">
        <v>111</v>
      </c>
      <c r="C15" t="str">
        <f>IFERROR(VLOOKUP(B15,'Stmt of Net Position'!$B$9:$C$106,2,0)," ")</f>
        <v>Prepaids</v>
      </c>
    </row>
    <row r="16" spans="2:3" x14ac:dyDescent="0.25">
      <c r="B16" s="12" t="s">
        <v>112</v>
      </c>
      <c r="C16" t="str">
        <f>IFERROR(VLOOKUP(B16,'Stmt of Net Position'!$B$9:$C$106,2,0)," ")</f>
        <v>Restricted Assets</v>
      </c>
    </row>
    <row r="17" spans="2:3" x14ac:dyDescent="0.25">
      <c r="B17" s="12" t="s">
        <v>113</v>
      </c>
      <c r="C17" t="str">
        <f>IFERROR(VLOOKUP(B17,'Stmt of Net Position'!$B$9:$C$106,2,0)," ")</f>
        <v>Other Assets</v>
      </c>
    </row>
    <row r="18" spans="2:3" x14ac:dyDescent="0.25">
      <c r="B18" s="12" t="s">
        <v>153</v>
      </c>
      <c r="C18" t="str">
        <f>IFERROR(VLOOKUP(B18,'Stmt of Net Position'!$B$9:$C$106,2,0)," ")</f>
        <v xml:space="preserve">TOTAL CURRENT ASSETS </v>
      </c>
    </row>
    <row r="19" spans="2:3" x14ac:dyDescent="0.25">
      <c r="B19" s="12" t="s">
        <v>486</v>
      </c>
      <c r="C19" t="str">
        <f>IFERROR(VLOOKUP(B19,'Stmt of Net Position'!$B$9:$C$106,2,0)," ")</f>
        <v xml:space="preserve"> </v>
      </c>
    </row>
    <row r="20" spans="2:3" x14ac:dyDescent="0.25">
      <c r="B20" s="12" t="s">
        <v>487</v>
      </c>
      <c r="C20" t="str">
        <f>IFERROR(VLOOKUP(B20,'Stmt of Net Position'!$B$9:$C$106,2,0)," ")</f>
        <v xml:space="preserve"> </v>
      </c>
    </row>
    <row r="21" spans="2:3" x14ac:dyDescent="0.25">
      <c r="B21" s="12" t="s">
        <v>154</v>
      </c>
      <c r="C21" t="str">
        <f>IFERROR(VLOOKUP(B21,'Stmt of Net Position'!$B$9:$C$106,2,0)," ")</f>
        <v xml:space="preserve"> </v>
      </c>
    </row>
    <row r="22" spans="2:3" x14ac:dyDescent="0.25">
      <c r="B22" s="12" t="s">
        <v>128</v>
      </c>
      <c r="C22" t="str">
        <f>IFERROR(VLOOKUP(B22,'Stmt of Net Position'!$B$9:$C$106,2,0)," ")</f>
        <v>Investments_</v>
      </c>
    </row>
    <row r="23" spans="2:3" x14ac:dyDescent="0.25">
      <c r="B23" s="12" t="s">
        <v>114</v>
      </c>
      <c r="C23" t="str">
        <f>IFERROR(VLOOKUP(B23,'Stmt of Net Position'!$B$9:$C$106,2,0)," ")</f>
        <v>Land</v>
      </c>
    </row>
    <row r="24" spans="2:3" x14ac:dyDescent="0.25">
      <c r="B24" s="12" t="s">
        <v>115</v>
      </c>
      <c r="C24" t="str">
        <f>IFERROR(VLOOKUP(B24,'Stmt of Net Position'!$B$9:$C$106,2,0)," ")</f>
        <v>Construction in Progress</v>
      </c>
    </row>
    <row r="25" spans="2:3" x14ac:dyDescent="0.25">
      <c r="B25" s="12" t="s">
        <v>116</v>
      </c>
      <c r="C25" t="str">
        <f>IFERROR(VLOOKUP(B25,'Stmt of Net Position'!$B$9:$C$106,2,0)," ")</f>
        <v>Land Improvements</v>
      </c>
    </row>
    <row r="26" spans="2:3" x14ac:dyDescent="0.25">
      <c r="B26" s="12" t="s">
        <v>117</v>
      </c>
      <c r="C26" t="str">
        <f>IFERROR(VLOOKUP(B26,'Stmt of Net Position'!$B$9:$C$106,2,0)," ")</f>
        <v>Building</v>
      </c>
    </row>
    <row r="27" spans="2:3" x14ac:dyDescent="0.25">
      <c r="B27" s="12" t="s">
        <v>118</v>
      </c>
      <c r="C27" t="str">
        <f>IFERROR(VLOOKUP(B27,'Stmt of Net Position'!$B$9:$C$106,2,0)," ")</f>
        <v>Equipment</v>
      </c>
    </row>
    <row r="28" spans="2:3" x14ac:dyDescent="0.25">
      <c r="B28" s="12" t="s">
        <v>119</v>
      </c>
      <c r="C28" t="str">
        <f>IFERROR(VLOOKUP(B28,'Stmt of Net Position'!$B$9:$C$106,2,0)," ")</f>
        <v>Leased Assets and L/H Improvements</v>
      </c>
    </row>
    <row r="29" spans="2:3" x14ac:dyDescent="0.25">
      <c r="B29" s="12" t="s">
        <v>120</v>
      </c>
      <c r="C29" t="str">
        <f>IFERROR(VLOOKUP(B29,'Stmt of Net Position'!$B$9:$C$106,2,0)," ")</f>
        <v>Less: Accumulated Depreciation</v>
      </c>
    </row>
    <row r="30" spans="2:3" x14ac:dyDescent="0.25">
      <c r="B30" s="12" t="s">
        <v>121</v>
      </c>
      <c r="C30" t="str">
        <f>IFERROR(VLOOKUP(B30,'Stmt of Net Position'!$B$9:$C$106,2,0)," ")</f>
        <v>NET CAPITAL ASSETS</v>
      </c>
    </row>
    <row r="31" spans="2:3" x14ac:dyDescent="0.25">
      <c r="B31" s="12" t="s">
        <v>488</v>
      </c>
      <c r="C31" t="str">
        <f>IFERROR(VLOOKUP(B31,'Stmt of Net Position'!$B$9:$C$106,2,0)," ")</f>
        <v xml:space="preserve"> </v>
      </c>
    </row>
    <row r="32" spans="2:3" x14ac:dyDescent="0.25">
      <c r="B32" s="12" t="s">
        <v>129</v>
      </c>
      <c r="C32" t="str">
        <f>IFERROR(VLOOKUP(B32,'Stmt of Net Position'!$B$9:$C$106,2,0)," ")</f>
        <v>Net Cash/Investments Held for Compensated Absences</v>
      </c>
    </row>
    <row r="33" spans="2:3" x14ac:dyDescent="0.25">
      <c r="B33" s="12" t="s">
        <v>122</v>
      </c>
      <c r="C33" t="str">
        <f>IFERROR(VLOOKUP(B33,'Stmt of Net Position'!$B$9:$C$106,2,0)," ")</f>
        <v>Net Cash/Investments Held for Unemployment</v>
      </c>
    </row>
    <row r="34" spans="2:3" x14ac:dyDescent="0.25">
      <c r="B34" s="12" t="s">
        <v>123</v>
      </c>
      <c r="C34" t="str">
        <f>IFERROR(VLOOKUP(B34,'Stmt of Net Position'!$B$9:$C$106,2,0)," ")</f>
        <v>Investment in Joint Venture</v>
      </c>
    </row>
    <row r="35" spans="2:3" x14ac:dyDescent="0.25">
      <c r="B35" s="12" t="s">
        <v>124</v>
      </c>
      <c r="C35" t="str">
        <f>IFERROR(VLOOKUP(B35,'Stmt of Net Position'!$B$9:$C$106,2,0)," ")</f>
        <v>Contracts Receivable</v>
      </c>
    </row>
    <row r="36" spans="2:3" x14ac:dyDescent="0.25">
      <c r="B36" s="12" t="s">
        <v>125</v>
      </c>
      <c r="C36" t="str">
        <f>IFERROR(VLOOKUP(B36,'Stmt of Net Position'!$B$9:$C$106,2,0)," ")</f>
        <v>Net Pension Asset</v>
      </c>
    </row>
    <row r="37" spans="2:3" x14ac:dyDescent="0.25">
      <c r="B37" s="12" t="s">
        <v>126</v>
      </c>
      <c r="C37" t="str">
        <f>IFERROR(VLOOKUP(B37,'Stmt of Net Position'!$B$9:$C$106,2,0)," ")</f>
        <v>Other Assets_</v>
      </c>
    </row>
    <row r="38" spans="2:3" x14ac:dyDescent="0.25">
      <c r="B38" s="12" t="s">
        <v>127</v>
      </c>
      <c r="C38" t="str">
        <f>IFERROR(VLOOKUP(B38,'Stmt of Net Position'!$B$9:$C$106,2,0)," ")</f>
        <v xml:space="preserve">TOTAL NONCURRENT ASSETS </v>
      </c>
    </row>
    <row r="39" spans="2:3" x14ac:dyDescent="0.25">
      <c r="B39" s="12" t="s">
        <v>489</v>
      </c>
      <c r="C39" t="str">
        <f>IFERROR(VLOOKUP(B39,'Stmt of Net Position'!$B$9:$C$106,2,0)," ")</f>
        <v xml:space="preserve"> </v>
      </c>
    </row>
    <row r="40" spans="2:3" x14ac:dyDescent="0.25">
      <c r="B40" s="12" t="s">
        <v>155</v>
      </c>
      <c r="C40" t="str">
        <f>IFERROR(VLOOKUP(B40,'Stmt of Net Position'!$B$9:$C$106,2,0)," ")</f>
        <v>TOTAL ASSETS</v>
      </c>
    </row>
    <row r="41" spans="2:3" x14ac:dyDescent="0.25">
      <c r="B41" s="12" t="s">
        <v>490</v>
      </c>
      <c r="C41" t="str">
        <f>IFERROR(VLOOKUP(B41,'Stmt of Net Position'!$B$9:$C$106,2,0)," ")</f>
        <v xml:space="preserve"> </v>
      </c>
    </row>
    <row r="42" spans="2:3" x14ac:dyDescent="0.25">
      <c r="B42" s="12" t="s">
        <v>491</v>
      </c>
      <c r="C42" t="str">
        <f>IFERROR(VLOOKUP(B42,'Stmt of Net Position'!$B$9:$C$106,2,0)," ")</f>
        <v xml:space="preserve"> </v>
      </c>
    </row>
    <row r="43" spans="2:3" x14ac:dyDescent="0.25">
      <c r="B43" s="12" t="s">
        <v>99</v>
      </c>
      <c r="C43" t="str">
        <f>IFERROR(VLOOKUP(B43,'Stmt of Net Position'!$B$9:$C$106,2,0)," ")</f>
        <v>Deferred Loss on Refunding</v>
      </c>
    </row>
    <row r="44" spans="2:3" x14ac:dyDescent="0.25">
      <c r="B44" s="12" t="s">
        <v>156</v>
      </c>
      <c r="C44" t="str">
        <f>IFERROR(VLOOKUP(B44,'Stmt of Net Position'!$B$9:$C$106,2,0)," ")</f>
        <v>Deferred OutFlows Related to Pensions</v>
      </c>
    </row>
    <row r="45" spans="2:3" x14ac:dyDescent="0.25">
      <c r="B45" s="12" t="s">
        <v>157</v>
      </c>
      <c r="C45" t="str">
        <f>IFERROR(VLOOKUP(B45,'Stmt of Net Position'!$B$9:$C$106,2,0)," ")</f>
        <v>Deferred OutFlows Related to OPEB</v>
      </c>
    </row>
    <row r="46" spans="2:3" x14ac:dyDescent="0.25">
      <c r="B46" s="12" t="s">
        <v>158</v>
      </c>
      <c r="C46" t="str">
        <f>IFERROR(VLOOKUP(B46,'Stmt of Net Position'!$B$9:$C$106,2,0)," ")</f>
        <v>TOTAL DEFERRED OUTFLOWS OF RESOURCES</v>
      </c>
    </row>
    <row r="47" spans="2:3" x14ac:dyDescent="0.25">
      <c r="B47" s="12" t="s">
        <v>492</v>
      </c>
      <c r="C47" t="str">
        <f>IFERROR(VLOOKUP(B47,'Stmt of Net Position'!$B$9:$C$106,2,0)," ")</f>
        <v xml:space="preserve"> </v>
      </c>
    </row>
    <row r="48" spans="2:3" x14ac:dyDescent="0.25">
      <c r="B48" s="12" t="s">
        <v>493</v>
      </c>
      <c r="C48" t="str">
        <f>IFERROR(VLOOKUP(B48,'Stmt of Net Position'!$B$9:$C$106,2,0)," ")</f>
        <v xml:space="preserve"> </v>
      </c>
    </row>
    <row r="49" spans="2:3" x14ac:dyDescent="0.25">
      <c r="B49" s="12" t="s">
        <v>494</v>
      </c>
      <c r="C49" t="str">
        <f>IFERROR(VLOOKUP(B49,'Stmt of Net Position'!$B$9:$C$106,2,0)," ")</f>
        <v xml:space="preserve"> </v>
      </c>
    </row>
    <row r="50" spans="2:3" x14ac:dyDescent="0.25">
      <c r="B50" s="12" t="s">
        <v>159</v>
      </c>
      <c r="C50" t="str">
        <f>IFERROR(VLOOKUP(B50,'Stmt of Net Position'!$B$9:$C$106,2,0)," ")</f>
        <v>Accounts Payable</v>
      </c>
    </row>
    <row r="51" spans="2:3" x14ac:dyDescent="0.25">
      <c r="B51" s="12" t="s">
        <v>160</v>
      </c>
      <c r="C51" t="str">
        <f>IFERROR(VLOOKUP(B51,'Stmt of Net Position'!$B$9:$C$106,2,0)," ")</f>
        <v>Amount Due to Pool Participants</v>
      </c>
    </row>
    <row r="52" spans="2:3" x14ac:dyDescent="0.25">
      <c r="B52" s="12" t="s">
        <v>161</v>
      </c>
      <c r="C52" t="str">
        <f>IFERROR(VLOOKUP(B52,'Stmt of Net Position'!$B$9:$C$106,2,0)," ")</f>
        <v>Notes Payable</v>
      </c>
    </row>
    <row r="53" spans="2:3" x14ac:dyDescent="0.25">
      <c r="B53" s="12" t="s">
        <v>130</v>
      </c>
      <c r="C53" t="str">
        <f>IFERROR(VLOOKUP(B53,'Stmt of Net Position'!$B$9:$C$106,2,0)," ")</f>
        <v>Accrued Interest Payable</v>
      </c>
    </row>
    <row r="54" spans="2:3" x14ac:dyDescent="0.25">
      <c r="B54" s="12" t="s">
        <v>131</v>
      </c>
      <c r="C54" t="str">
        <f>IFERROR(VLOOKUP(B54,'Stmt of Net Position'!$B$9:$C$106,2,0)," ")</f>
        <v>Accrued Salaries</v>
      </c>
    </row>
    <row r="55" spans="2:3" x14ac:dyDescent="0.25">
      <c r="B55" s="12" t="s">
        <v>132</v>
      </c>
      <c r="C55" t="str">
        <f>IFERROR(VLOOKUP(B55,'Stmt of Net Position'!$B$9:$C$106,2,0)," ")</f>
        <v>Payroll Deductions &amp; Taxes Payable</v>
      </c>
    </row>
    <row r="56" spans="2:3" x14ac:dyDescent="0.25">
      <c r="B56" s="12" t="s">
        <v>162</v>
      </c>
      <c r="C56" t="str">
        <f>IFERROR(VLOOKUP(B56,'Stmt of Net Position'!$B$9:$C$106,2,0)," ")</f>
        <v>Public Employees' Retirement System</v>
      </c>
    </row>
    <row r="57" spans="2:3" x14ac:dyDescent="0.25">
      <c r="B57" s="12" t="s">
        <v>163</v>
      </c>
      <c r="C57" t="str">
        <f>IFERROR(VLOOKUP(B57,'Stmt of Net Position'!$B$9:$C$106,2,0)," ")</f>
        <v>Deferred Compensation</v>
      </c>
    </row>
    <row r="58" spans="2:3" x14ac:dyDescent="0.25">
      <c r="B58" s="12" t="s">
        <v>164</v>
      </c>
      <c r="C58" t="str">
        <f>IFERROR(VLOOKUP(B58,'Stmt of Net Position'!$B$9:$C$106,2,0)," ")</f>
        <v>Compensated Absences</v>
      </c>
    </row>
    <row r="59" spans="2:3" x14ac:dyDescent="0.25">
      <c r="B59" s="12" t="s">
        <v>165</v>
      </c>
      <c r="C59" t="str">
        <f>IFERROR(VLOOKUP(B59,'Stmt of Net Position'!$B$9:$C$106,2,0)," ")</f>
        <v>Interfund Payable</v>
      </c>
    </row>
    <row r="60" spans="2:3" x14ac:dyDescent="0.25">
      <c r="B60" s="12" t="s">
        <v>166</v>
      </c>
      <c r="C60" t="str">
        <f>IFERROR(VLOOKUP(B60,'Stmt of Net Position'!$B$9:$C$106,2,0)," ")</f>
        <v>Total OPEB Liability</v>
      </c>
    </row>
    <row r="61" spans="2:3" x14ac:dyDescent="0.25">
      <c r="B61" s="12" t="s">
        <v>167</v>
      </c>
      <c r="C61" t="str">
        <f>IFERROR(VLOOKUP(B61,'Stmt of Net Position'!$B$9:$C$106,2,0)," ")</f>
        <v>Bonds Payable</v>
      </c>
    </row>
    <row r="62" spans="2:3" x14ac:dyDescent="0.25">
      <c r="B62" s="12" t="s">
        <v>168</v>
      </c>
      <c r="C62" t="str">
        <f>IFERROR(VLOOKUP(B62,'Stmt of Net Position'!$B$9:$C$106,2,0)," ")</f>
        <v>Leases Payable</v>
      </c>
    </row>
    <row r="63" spans="2:3" x14ac:dyDescent="0.25">
      <c r="B63" s="12" t="s">
        <v>133</v>
      </c>
      <c r="C63" t="str">
        <f>IFERROR(VLOOKUP(B63,'Stmt of Net Position'!$B$9:$C$106,2,0)," ")</f>
        <v>Claim Reserves</v>
      </c>
    </row>
    <row r="64" spans="2:3" x14ac:dyDescent="0.25">
      <c r="B64" s="12" t="s">
        <v>134</v>
      </c>
      <c r="C64" t="str">
        <f>IFERROR(VLOOKUP(B64,'Stmt of Net Position'!$B$9:$C$106,2,0)," ")</f>
        <v>IBNR</v>
      </c>
    </row>
    <row r="65" spans="2:3" x14ac:dyDescent="0.25">
      <c r="B65" s="12" t="s">
        <v>135</v>
      </c>
      <c r="C65" t="str">
        <f>IFERROR(VLOOKUP(B65,'Stmt of Net Position'!$B$9:$C$106,2,0)," ")</f>
        <v>Open Claims</v>
      </c>
    </row>
    <row r="66" spans="2:3" x14ac:dyDescent="0.25">
      <c r="B66" s="12" t="s">
        <v>136</v>
      </c>
      <c r="C66" t="str">
        <f>IFERROR(VLOOKUP(B66,'Stmt of Net Position'!$B$9:$C$106,2,0)," ")</f>
        <v>Unallocated Loss Adjustment Expenses</v>
      </c>
    </row>
    <row r="67" spans="2:3" x14ac:dyDescent="0.25">
      <c r="B67" s="12" t="s">
        <v>137</v>
      </c>
      <c r="C67" t="str">
        <f>IFERROR(VLOOKUP(B67,'Stmt of Net Position'!$B$9:$C$106,2,0)," ")</f>
        <v>Future L&amp;I Assessments</v>
      </c>
    </row>
    <row r="68" spans="2:3" x14ac:dyDescent="0.25">
      <c r="B68" s="12" t="s">
        <v>138</v>
      </c>
      <c r="C68" t="str">
        <f>IFERROR(VLOOKUP(B68,'Stmt of Net Position'!$B$9:$C$106,2,0)," ")</f>
        <v>Deposits</v>
      </c>
    </row>
    <row r="69" spans="2:3" x14ac:dyDescent="0.25">
      <c r="B69" s="12" t="s">
        <v>139</v>
      </c>
      <c r="C69" t="str">
        <f>IFERROR(VLOOKUP(B69,'Stmt of Net Position'!$B$9:$C$106,2,0)," ")</f>
        <v>Unearned Revenue</v>
      </c>
    </row>
    <row r="70" spans="2:3" x14ac:dyDescent="0.25">
      <c r="B70" s="12" t="s">
        <v>140</v>
      </c>
      <c r="C70" t="str">
        <f>IFERROR(VLOOKUP(B70,'Stmt of Net Position'!$B$9:$C$106,2,0)," ")</f>
        <v>Unearned Member Assessments/Contributions</v>
      </c>
    </row>
    <row r="71" spans="2:3" x14ac:dyDescent="0.25">
      <c r="B71" s="12" t="s">
        <v>141</v>
      </c>
      <c r="C71" t="str">
        <f>IFERROR(VLOOKUP(B71,'Stmt of Net Position'!$B$9:$C$106,2,0)," ")</f>
        <v>Other Liabilities and Credits</v>
      </c>
    </row>
    <row r="72" spans="2:3" x14ac:dyDescent="0.25">
      <c r="B72" s="12" t="s">
        <v>142</v>
      </c>
      <c r="C72" t="str">
        <f>IFERROR(VLOOKUP(B72,'Stmt of Net Position'!$B$9:$C$106,2,0)," ")</f>
        <v>TOTAL CURRENT LIABILITIES</v>
      </c>
    </row>
    <row r="73" spans="2:3" x14ac:dyDescent="0.25">
      <c r="B73" s="12" t="s">
        <v>495</v>
      </c>
      <c r="C73" t="str">
        <f>IFERROR(VLOOKUP(B73,'Stmt of Net Position'!$B$9:$C$106,2,0)," ")</f>
        <v xml:space="preserve"> </v>
      </c>
    </row>
    <row r="74" spans="2:3" x14ac:dyDescent="0.25">
      <c r="B74" s="12" t="s">
        <v>496</v>
      </c>
      <c r="C74" t="str">
        <f>IFERROR(VLOOKUP(B74,'Stmt of Net Position'!$B$9:$C$106,2,0)," ")</f>
        <v xml:space="preserve"> </v>
      </c>
    </row>
    <row r="75" spans="2:3" x14ac:dyDescent="0.25">
      <c r="B75" s="12" t="s">
        <v>143</v>
      </c>
      <c r="C75" t="str">
        <f>IFERROR(VLOOKUP(B75,'Stmt of Net Position'!$B$9:$C$106,2,0)," ")</f>
        <v>Compensated Absences_</v>
      </c>
    </row>
    <row r="76" spans="2:3" x14ac:dyDescent="0.25">
      <c r="B76" s="12" t="s">
        <v>144</v>
      </c>
      <c r="C76" t="str">
        <f>IFERROR(VLOOKUP(B76,'Stmt of Net Position'!$B$9:$C$106,2,0)," ")</f>
        <v>Unemployment_</v>
      </c>
    </row>
    <row r="77" spans="2:3" x14ac:dyDescent="0.25">
      <c r="B77" s="12" t="s">
        <v>145</v>
      </c>
      <c r="C77" t="str">
        <f>IFERROR(VLOOKUP(B77,'Stmt of Net Position'!$B$9:$C$106,2,0)," ")</f>
        <v>Notes Payable_</v>
      </c>
    </row>
    <row r="78" spans="2:3" x14ac:dyDescent="0.25">
      <c r="B78" s="12" t="s">
        <v>146</v>
      </c>
      <c r="C78" t="str">
        <f>IFERROR(VLOOKUP(B78,'Stmt of Net Position'!$B$9:$C$106,2,0)," ")</f>
        <v>Claim Reserves_</v>
      </c>
    </row>
    <row r="79" spans="2:3" x14ac:dyDescent="0.25">
      <c r="B79" s="12" t="s">
        <v>147</v>
      </c>
      <c r="C79" t="str">
        <f>IFERROR(VLOOKUP(B79,'Stmt of Net Position'!$B$9:$C$106,2,0)," ")</f>
        <v>IBNR_</v>
      </c>
    </row>
    <row r="80" spans="2:3" x14ac:dyDescent="0.25">
      <c r="B80" s="12" t="s">
        <v>148</v>
      </c>
      <c r="C80" t="str">
        <f>IFERROR(VLOOKUP(B80,'Stmt of Net Position'!$B$9:$C$106,2,0)," ")</f>
        <v>Open Claims_</v>
      </c>
    </row>
    <row r="81" spans="2:3" x14ac:dyDescent="0.25">
      <c r="B81" s="12" t="s">
        <v>149</v>
      </c>
      <c r="C81" t="str">
        <f>IFERROR(VLOOKUP(B81,'Stmt of Net Position'!$B$9:$C$106,2,0)," ")</f>
        <v>Unallocated Loss Adjustment Expenses_</v>
      </c>
    </row>
    <row r="82" spans="2:3" x14ac:dyDescent="0.25">
      <c r="B82" s="12" t="s">
        <v>150</v>
      </c>
      <c r="C82" t="str">
        <f>IFERROR(VLOOKUP(B82,'Stmt of Net Position'!$B$9:$C$106,2,0)," ")</f>
        <v>Future L&amp;I Assessments_</v>
      </c>
    </row>
    <row r="83" spans="2:3" x14ac:dyDescent="0.25">
      <c r="B83" s="12" t="s">
        <v>151</v>
      </c>
      <c r="C83" t="str">
        <f>IFERROR(VLOOKUP(B83,'Stmt of Net Position'!$B$9:$C$106,2,0)," ")</f>
        <v>Net Pension Liability</v>
      </c>
    </row>
    <row r="84" spans="2:3" x14ac:dyDescent="0.25">
      <c r="B84" s="12" t="s">
        <v>152</v>
      </c>
      <c r="C84" t="str">
        <f>IFERROR(VLOOKUP(B84,'Stmt of Net Position'!$B$9:$C$106,2,0)," ")</f>
        <v>OPEB Liability_</v>
      </c>
    </row>
    <row r="85" spans="2:3" x14ac:dyDescent="0.25">
      <c r="B85" s="12" t="s">
        <v>169</v>
      </c>
      <c r="C85" t="str">
        <f>IFERROR(VLOOKUP(B85,'Stmt of Net Position'!$B$9:$C$106,2,0)," ")</f>
        <v>Bonds Payable_</v>
      </c>
    </row>
    <row r="86" spans="2:3" x14ac:dyDescent="0.25">
      <c r="B86" s="12" t="s">
        <v>170</v>
      </c>
      <c r="C86" t="str">
        <f>IFERROR(VLOOKUP(B86,'Stmt of Net Position'!$B$9:$C$106,2,0)," ")</f>
        <v>Leases Payable_</v>
      </c>
    </row>
    <row r="87" spans="2:3" x14ac:dyDescent="0.25">
      <c r="B87" s="12" t="s">
        <v>171</v>
      </c>
      <c r="C87" t="str">
        <f>IFERROR(VLOOKUP(B87,'Stmt of Net Position'!$B$9:$C$106,2,0)," ")</f>
        <v>Other Liabilities and Credits_</v>
      </c>
    </row>
    <row r="88" spans="2:3" x14ac:dyDescent="0.25">
      <c r="B88" s="12" t="s">
        <v>172</v>
      </c>
      <c r="C88" t="str">
        <f>IFERROR(VLOOKUP(B88,'Stmt of Net Position'!$B$9:$C$106,2,0)," ")</f>
        <v>TOTAL NONCURRENT LIABILITIES</v>
      </c>
    </row>
    <row r="89" spans="2:3" x14ac:dyDescent="0.25">
      <c r="B89" s="12" t="s">
        <v>497</v>
      </c>
      <c r="C89" t="str">
        <f>IFERROR(VLOOKUP(B89,'Stmt of Net Position'!$B$9:$C$106,2,0)," ")</f>
        <v xml:space="preserve"> </v>
      </c>
    </row>
    <row r="90" spans="2:3" x14ac:dyDescent="0.25">
      <c r="B90" s="12" t="s">
        <v>173</v>
      </c>
      <c r="C90" t="str">
        <f>IFERROR(VLOOKUP(B90,'Stmt of Net Position'!$B$9:$C$106,2,0)," ")</f>
        <v>TOTAL LIABILITIES</v>
      </c>
    </row>
    <row r="91" spans="2:3" x14ac:dyDescent="0.25">
      <c r="B91" s="12" t="s">
        <v>498</v>
      </c>
      <c r="C91" t="str">
        <f>IFERROR(VLOOKUP(B91,'Stmt of Net Position'!$B$9:$C$106,2,0)," ")</f>
        <v xml:space="preserve"> </v>
      </c>
    </row>
    <row r="92" spans="2:3" x14ac:dyDescent="0.25">
      <c r="B92" s="12" t="s">
        <v>499</v>
      </c>
      <c r="C92" t="str">
        <f>IFERROR(VLOOKUP(B92,'Stmt of Net Position'!$B$9:$C$106,2,0)," ")</f>
        <v>Deferred Gain on Refunding</v>
      </c>
    </row>
    <row r="93" spans="2:3" x14ac:dyDescent="0.25">
      <c r="B93" s="12" t="s">
        <v>174</v>
      </c>
      <c r="C93" t="str">
        <f>IFERROR(VLOOKUP(B93,'Stmt of Net Position'!$B$9:$C$106,2,0)," ")</f>
        <v>Deferred InFlows Related to Pensions</v>
      </c>
    </row>
    <row r="94" spans="2:3" x14ac:dyDescent="0.25">
      <c r="B94" s="12" t="s">
        <v>175</v>
      </c>
      <c r="C94" t="str">
        <f>IFERROR(VLOOKUP(B94,'Stmt of Net Position'!$B$9:$C$106,2,0)," ")</f>
        <v>Deferred InFlows Related to OPEB</v>
      </c>
    </row>
    <row r="95" spans="2:3" x14ac:dyDescent="0.25">
      <c r="B95" s="12" t="s">
        <v>176</v>
      </c>
      <c r="C95" t="str">
        <f>IFERROR(VLOOKUP(B95,'Stmt of Net Position'!$B$9:$C$106,2,0)," ")</f>
        <v>TOTAL DEFERRED INFLOWS OF RESOURCES</v>
      </c>
    </row>
    <row r="96" spans="2:3" x14ac:dyDescent="0.25">
      <c r="B96" s="12" t="s">
        <v>177</v>
      </c>
      <c r="C96" t="str">
        <f>IFERROR(VLOOKUP(B96,'Stmt of Net Position'!$B$9:$C$106,2,0)," ")</f>
        <v xml:space="preserve"> </v>
      </c>
    </row>
    <row r="97" spans="2:3" x14ac:dyDescent="0.25">
      <c r="B97" s="12" t="s">
        <v>500</v>
      </c>
      <c r="C97" t="str">
        <f>IFERROR(VLOOKUP(B97,'Stmt of Net Position'!$B$9:$C$106,2,0)," ")</f>
        <v>Net Investment in Capital Assets</v>
      </c>
    </row>
    <row r="98" spans="2:3" x14ac:dyDescent="0.25">
      <c r="B98" s="12" t="s">
        <v>501</v>
      </c>
      <c r="C98" t="str">
        <f>IFERROR(VLOOKUP(B98,'Stmt of Net Position'!$B$9:$C$106,2,0)," ")</f>
        <v>Restricted</v>
      </c>
    </row>
    <row r="99" spans="2:3" x14ac:dyDescent="0.25">
      <c r="B99" s="12" t="s">
        <v>178</v>
      </c>
      <c r="C99" t="str">
        <f>IFERROR(VLOOKUP(B99,'Stmt of Net Position'!$B$9:$C$106,2,0)," ")</f>
        <v>Unrestricted</v>
      </c>
    </row>
    <row r="100" spans="2:3" x14ac:dyDescent="0.25">
      <c r="B100" s="12" t="s">
        <v>179</v>
      </c>
      <c r="C100" t="str">
        <f>IFERROR(VLOOKUP(B100,'Stmt of Net Position'!$B$9:$C$106,2,0)," ")</f>
        <v>TOTAL NET POSITION</v>
      </c>
    </row>
    <row r="101" spans="2:3" x14ac:dyDescent="0.25">
      <c r="B101" s="12" t="s">
        <v>180</v>
      </c>
      <c r="C101" t="str">
        <f>IFERROR(VLOOKUP(B101,'Stmt of Net Position'!$B$9:$C$106,2,0)," ")</f>
        <v xml:space="preserve"> </v>
      </c>
    </row>
    <row r="102" spans="2:3" x14ac:dyDescent="0.25">
      <c r="B102" s="82" t="s">
        <v>181</v>
      </c>
      <c r="C102" s="83" t="s">
        <v>1117</v>
      </c>
    </row>
    <row r="103" spans="2:3" x14ac:dyDescent="0.25">
      <c r="B103" s="12" t="s">
        <v>227</v>
      </c>
      <c r="C103" t="str">
        <f>IFERROR(VLOOKUP(B103,'Stmt of Rev Exp Chg in Net Pos'!$B$9:$C$58,2,0)," ")</f>
        <v>Local Sources</v>
      </c>
    </row>
    <row r="104" spans="2:3" x14ac:dyDescent="0.25">
      <c r="B104" s="12" t="s">
        <v>228</v>
      </c>
      <c r="C104" t="str">
        <f>IFERROR(VLOOKUP(B104,'Stmt of Rev Exp Chg in Net Pos'!$B$9:$C$58,2,0)," ")</f>
        <v>State Sources</v>
      </c>
    </row>
    <row r="105" spans="2:3" x14ac:dyDescent="0.25">
      <c r="B105" s="12" t="s">
        <v>229</v>
      </c>
      <c r="C105" t="str">
        <f>IFERROR(VLOOKUP(B105,'Stmt of Rev Exp Chg in Net Pos'!$B$9:$C$58,2,0)," ")</f>
        <v>Allotment</v>
      </c>
    </row>
    <row r="106" spans="2:3" x14ac:dyDescent="0.25">
      <c r="B106" s="12" t="s">
        <v>230</v>
      </c>
      <c r="C106" t="str">
        <f>IFERROR(VLOOKUP(B106,'Stmt of Rev Exp Chg in Net Pos'!$B$9:$C$58,2,0)," ")</f>
        <v>Federal Sources</v>
      </c>
    </row>
    <row r="107" spans="2:3" x14ac:dyDescent="0.25">
      <c r="B107" s="12" t="s">
        <v>231</v>
      </c>
      <c r="C107" t="str">
        <f>IFERROR(VLOOKUP(B107,'Stmt of Rev Exp Chg in Net Pos'!$B$9:$C$58,2,0)," ")</f>
        <v>Cooperative Programs</v>
      </c>
    </row>
    <row r="108" spans="2:3" x14ac:dyDescent="0.25">
      <c r="B108" s="12" t="s">
        <v>232</v>
      </c>
      <c r="C108" t="str">
        <f>IFERROR(VLOOKUP(B108,'Stmt of Rev Exp Chg in Net Pos'!$B$9:$C$58,2,0)," ")</f>
        <v>Other Programs</v>
      </c>
    </row>
    <row r="109" spans="2:3" x14ac:dyDescent="0.25">
      <c r="B109" s="12" t="s">
        <v>233</v>
      </c>
      <c r="C109" t="str">
        <f>IFERROR(VLOOKUP(B109,'Stmt of Rev Exp Chg in Net Pos'!$B$9:$C$58,2,0)," ")</f>
        <v>Member Assessments/Contributions</v>
      </c>
    </row>
    <row r="110" spans="2:3" x14ac:dyDescent="0.25">
      <c r="B110" s="12" t="s">
        <v>234</v>
      </c>
      <c r="C110" t="str">
        <f>IFERROR(VLOOKUP(B110,'Stmt of Rev Exp Chg in Net Pos'!$B$9:$C$58,2,0)," ")</f>
        <v>Supplemental Member Assessments</v>
      </c>
    </row>
    <row r="111" spans="2:3" x14ac:dyDescent="0.25">
      <c r="B111" s="12" t="s">
        <v>235</v>
      </c>
      <c r="C111" t="str">
        <f>IFERROR(VLOOKUP(B111,'Stmt of Rev Exp Chg in Net Pos'!$B$9:$C$58,2,0)," ")</f>
        <v>Other Operating Revenue</v>
      </c>
    </row>
    <row r="112" spans="2:3" x14ac:dyDescent="0.25">
      <c r="B112" s="12" t="s">
        <v>236</v>
      </c>
      <c r="C112" t="str">
        <f>IFERROR(VLOOKUP(B112,'Stmt of Rev Exp Chg in Net Pos'!$B$9:$C$58,2,0)," ")</f>
        <v>TOTAL OPERATING REVENUE</v>
      </c>
    </row>
    <row r="113" spans="2:3" x14ac:dyDescent="0.25">
      <c r="B113" s="12" t="s">
        <v>237</v>
      </c>
      <c r="C113" t="str">
        <f>IFERROR(VLOOKUP(B113,'Stmt of Rev Exp Chg in Net Pos'!$B$9:$C$58,2,0)," ")</f>
        <v xml:space="preserve"> </v>
      </c>
    </row>
    <row r="114" spans="2:3" x14ac:dyDescent="0.25">
      <c r="B114" s="12" t="s">
        <v>238</v>
      </c>
      <c r="C114" t="str">
        <f>IFERROR(VLOOKUP(B114,'Stmt of Rev Exp Chg in Net Pos'!$B$9:$C$58,2,0)," ")</f>
        <v xml:space="preserve"> </v>
      </c>
    </row>
    <row r="115" spans="2:3" x14ac:dyDescent="0.25">
      <c r="B115" s="12" t="s">
        <v>239</v>
      </c>
      <c r="C115" t="str">
        <f>IFERROR(VLOOKUP(B115,'Stmt of Rev Exp Chg in Net Pos'!$B$9:$C$58,2,0)," ")</f>
        <v>General Operations and Administration</v>
      </c>
    </row>
    <row r="116" spans="2:3" x14ac:dyDescent="0.25">
      <c r="B116" s="12" t="s">
        <v>240</v>
      </c>
      <c r="C116" t="str">
        <f>IFERROR(VLOOKUP(B116,'Stmt of Rev Exp Chg in Net Pos'!$B$9:$C$58,2,0)," ")</f>
        <v>Instructional Support Programs</v>
      </c>
    </row>
    <row r="117" spans="2:3" x14ac:dyDescent="0.25">
      <c r="B117" s="12" t="s">
        <v>241</v>
      </c>
      <c r="C117" t="str">
        <f>IFERROR(VLOOKUP(B117,'Stmt of Rev Exp Chg in Net Pos'!$B$9:$C$58,2,0)," ")</f>
        <v>Non Instructional Support Programs</v>
      </c>
    </row>
    <row r="118" spans="2:3" x14ac:dyDescent="0.25">
      <c r="B118" s="12" t="s">
        <v>242</v>
      </c>
      <c r="C118" t="str">
        <f>IFERROR(VLOOKUP(B118,'Stmt of Rev Exp Chg in Net Pos'!$B$9:$C$58,2,0)," ")</f>
        <v xml:space="preserve"> </v>
      </c>
    </row>
    <row r="119" spans="2:3" x14ac:dyDescent="0.25">
      <c r="B119" s="12" t="s">
        <v>243</v>
      </c>
      <c r="C119" t="str">
        <f>IFERROR(VLOOKUP(B119,'Stmt of Rev Exp Chg in Net Pos'!$B$9:$C$58,2,0)," ")</f>
        <v>Paid on Current Losses</v>
      </c>
    </row>
    <row r="120" spans="2:3" x14ac:dyDescent="0.25">
      <c r="B120" s="12" t="s">
        <v>244</v>
      </c>
      <c r="C120" t="str">
        <f>IFERROR(VLOOKUP(B120,'Stmt of Rev Exp Chg in Net Pos'!$B$9:$C$58,2,0)," ")</f>
        <v>Change in Loss Reserves</v>
      </c>
    </row>
    <row r="121" spans="2:3" x14ac:dyDescent="0.25">
      <c r="B121" s="12" t="s">
        <v>245</v>
      </c>
      <c r="C121" t="str">
        <f>IFERROR(VLOOKUP(B121,'Stmt of Rev Exp Chg in Net Pos'!$B$9:$C$58,2,0)," ")</f>
        <v xml:space="preserve"> </v>
      </c>
    </row>
    <row r="122" spans="2:3" x14ac:dyDescent="0.25">
      <c r="B122" s="12" t="s">
        <v>246</v>
      </c>
      <c r="C122" t="str">
        <f>IFERROR(VLOOKUP(B122,'Stmt of Rev Exp Chg in Net Pos'!$B$9:$C$58,2,0)," ")</f>
        <v>Paid Unallocated Loss Adjustment Expenses</v>
      </c>
    </row>
    <row r="123" spans="2:3" x14ac:dyDescent="0.25">
      <c r="B123" s="12" t="s">
        <v>247</v>
      </c>
      <c r="C123" t="str">
        <f>IFERROR(VLOOKUP(B123,'Stmt of Rev Exp Chg in Net Pos'!$B$9:$C$58,2,0)," ")</f>
        <v>Change in Unallocated Loss Reserves</v>
      </c>
    </row>
    <row r="124" spans="2:3" x14ac:dyDescent="0.25">
      <c r="B124" s="12" t="s">
        <v>248</v>
      </c>
      <c r="C124" t="str">
        <f>IFERROR(VLOOKUP(B124,'Stmt of Rev Exp Chg in Net Pos'!$B$9:$C$58,2,0)," ")</f>
        <v>Excess/Reinsurance Premiums</v>
      </c>
    </row>
    <row r="125" spans="2:3" x14ac:dyDescent="0.25">
      <c r="B125" s="12" t="s">
        <v>249</v>
      </c>
      <c r="C125" t="str">
        <f>IFERROR(VLOOKUP(B125,'Stmt of Rev Exp Chg in Net Pos'!$B$9:$C$58,2,0)," ")</f>
        <v>Labor &amp; Industries Assessments</v>
      </c>
    </row>
    <row r="126" spans="2:3" x14ac:dyDescent="0.25">
      <c r="B126" s="12" t="s">
        <v>250</v>
      </c>
      <c r="C126" t="str">
        <f>IFERROR(VLOOKUP(B126,'Stmt of Rev Exp Chg in Net Pos'!$B$9:$C$58,2,0)," ")</f>
        <v>Depreciation/Depletion</v>
      </c>
    </row>
    <row r="127" spans="2:3" x14ac:dyDescent="0.25">
      <c r="B127" s="12" t="s">
        <v>251</v>
      </c>
      <c r="C127" t="str">
        <f>IFERROR(VLOOKUP(B127,'Stmt of Rev Exp Chg in Net Pos'!$B$9:$C$58,2,0)," ")</f>
        <v>Other Operating Expenses</v>
      </c>
    </row>
    <row r="128" spans="2:3" x14ac:dyDescent="0.25">
      <c r="B128" s="12" t="s">
        <v>252</v>
      </c>
      <c r="C128" t="str">
        <f>IFERROR(VLOOKUP(B128,'Stmt of Rev Exp Chg in Net Pos'!$B$9:$C$58,2,0)," ")</f>
        <v>TOTAL OPERATING EXPENSES</v>
      </c>
    </row>
    <row r="129" spans="2:3" x14ac:dyDescent="0.25">
      <c r="B129" s="12" t="s">
        <v>253</v>
      </c>
      <c r="C129" t="str">
        <f>IFERROR(VLOOKUP(B129,'Stmt of Rev Exp Chg in Net Pos'!$B$9:$C$58,2,0)," ")</f>
        <v xml:space="preserve"> </v>
      </c>
    </row>
    <row r="130" spans="2:3" x14ac:dyDescent="0.25">
      <c r="B130" s="12" t="s">
        <v>254</v>
      </c>
      <c r="C130" t="str">
        <f>IFERROR(VLOOKUP(B130,'Stmt of Rev Exp Chg in Net Pos'!$B$9:$C$58,2,0)," ")</f>
        <v>OPERATING INCOME (LOSS)</v>
      </c>
    </row>
    <row r="131" spans="2:3" x14ac:dyDescent="0.25">
      <c r="B131" s="12" t="s">
        <v>255</v>
      </c>
      <c r="C131" t="str">
        <f>IFERROR(VLOOKUP(B131,'Stmt of Rev Exp Chg in Net Pos'!$B$9:$C$58,2,0)," ")</f>
        <v xml:space="preserve"> </v>
      </c>
    </row>
    <row r="132" spans="2:3" x14ac:dyDescent="0.25">
      <c r="B132" s="12" t="s">
        <v>256</v>
      </c>
      <c r="C132" t="str">
        <f>IFERROR(VLOOKUP(B132,'Stmt of Rev Exp Chg in Net Pos'!$B$9:$C$58,2,0)," ")</f>
        <v>NONOPERATING REVENUES (EXPENSES)</v>
      </c>
    </row>
    <row r="133" spans="2:3" x14ac:dyDescent="0.25">
      <c r="B133" s="12" t="s">
        <v>257</v>
      </c>
      <c r="C133" t="str">
        <f>IFERROR(VLOOKUP(B133,'Stmt of Rev Exp Chg in Net Pos'!$B$9:$C$58,2,0)," ")</f>
        <v>Interest and Investment Income</v>
      </c>
    </row>
    <row r="134" spans="2:3" x14ac:dyDescent="0.25">
      <c r="B134" s="12" t="s">
        <v>258</v>
      </c>
      <c r="C134" t="str">
        <f>IFERROR(VLOOKUP(B134,'Stmt of Rev Exp Chg in Net Pos'!$B$9:$C$58,2,0)," ")</f>
        <v>Interest Expense and Related Charges</v>
      </c>
    </row>
    <row r="135" spans="2:3" x14ac:dyDescent="0.25">
      <c r="B135" s="12" t="s">
        <v>259</v>
      </c>
      <c r="C135" t="str">
        <f>IFERROR(VLOOKUP(B135,'Stmt of Rev Exp Chg in Net Pos'!$B$9:$C$58,2,0)," ")</f>
        <v>Lease Income</v>
      </c>
    </row>
    <row r="136" spans="2:3" x14ac:dyDescent="0.25">
      <c r="B136" s="12" t="s">
        <v>260</v>
      </c>
      <c r="C136" t="str">
        <f>IFERROR(VLOOKUP(B136,'Stmt of Rev Exp Chg in Net Pos'!$B$9:$C$58,2,0)," ")</f>
        <v>Gains (Losses) on Capital Asset Disposition</v>
      </c>
    </row>
    <row r="137" spans="2:3" x14ac:dyDescent="0.25">
      <c r="B137" s="12" t="s">
        <v>261</v>
      </c>
      <c r="C137" t="str">
        <f>IFERROR(VLOOKUP(B137,'Stmt of Rev Exp Chg in Net Pos'!$B$9:$C$58,2,0)," ")</f>
        <v>Change in Joint Venture</v>
      </c>
    </row>
    <row r="138" spans="2:3" x14ac:dyDescent="0.25">
      <c r="B138" s="12" t="s">
        <v>262</v>
      </c>
      <c r="C138" t="str">
        <f>IFERROR(VLOOKUP(B138,'Stmt of Rev Exp Chg in Net Pos'!$B$9:$C$58,2,0)," ")</f>
        <v>Change in Compensated Absences</v>
      </c>
    </row>
    <row r="139" spans="2:3" x14ac:dyDescent="0.25">
      <c r="B139" s="12" t="s">
        <v>263</v>
      </c>
      <c r="C139" t="str">
        <f>IFERROR(VLOOKUP(B139,'Stmt of Rev Exp Chg in Net Pos'!$B$9:$C$58,2,0)," ")</f>
        <v>Other Nonoperating Revenues</v>
      </c>
    </row>
    <row r="140" spans="2:3" x14ac:dyDescent="0.25">
      <c r="B140" s="12" t="s">
        <v>264</v>
      </c>
      <c r="C140" t="str">
        <f>IFERROR(VLOOKUP(B140,'Stmt of Rev Exp Chg in Net Pos'!$B$9:$C$58,2,0)," ")</f>
        <v>Other Nonoperating Expenses</v>
      </c>
    </row>
    <row r="141" spans="2:3" x14ac:dyDescent="0.25">
      <c r="B141" s="12" t="s">
        <v>265</v>
      </c>
      <c r="C141" t="str">
        <f>IFERROR(VLOOKUP(B141,'Stmt of Rev Exp Chg in Net Pos'!$B$9:$C$58,2,0)," ")</f>
        <v>TOTAL NONOPERATING REVENUES (EXPENSES)</v>
      </c>
    </row>
    <row r="142" spans="2:3" x14ac:dyDescent="0.25">
      <c r="B142" s="12" t="s">
        <v>266</v>
      </c>
      <c r="C142" t="str">
        <f>IFERROR(VLOOKUP(B142,'Stmt of Rev Exp Chg in Net Pos'!$B$9:$C$58,2,0)," ")</f>
        <v xml:space="preserve"> </v>
      </c>
    </row>
    <row r="143" spans="2:3" x14ac:dyDescent="0.25">
      <c r="B143" s="12" t="s">
        <v>267</v>
      </c>
      <c r="C143" t="str">
        <f>IFERROR(VLOOKUP(B143,'Stmt of Rev Exp Chg in Net Pos'!$B$9:$C$58,2,0)," ")</f>
        <v>INCOME (LOSS) BEFORE OTHER ITEMS</v>
      </c>
    </row>
    <row r="144" spans="2:3" x14ac:dyDescent="0.25">
      <c r="B144" s="12" t="s">
        <v>268</v>
      </c>
      <c r="C144" t="str">
        <f>IFERROR(VLOOKUP(B144,'Stmt of Rev Exp Chg in Net Pos'!$B$9:$C$58,2,0)," ")</f>
        <v xml:space="preserve"> </v>
      </c>
    </row>
    <row r="145" spans="2:3" x14ac:dyDescent="0.25">
      <c r="B145" s="12" t="s">
        <v>269</v>
      </c>
      <c r="C145" t="str">
        <f>IFERROR(VLOOKUP(B145,'Stmt of Rev Exp Chg in Net Pos'!$B$9:$C$58,2,0)," ")</f>
        <v>Extraordinary Items</v>
      </c>
    </row>
    <row r="146" spans="2:3" x14ac:dyDescent="0.25">
      <c r="B146" s="12" t="s">
        <v>270</v>
      </c>
      <c r="C146" t="str">
        <f>IFERROR(VLOOKUP(B146,'Stmt of Rev Exp Chg in Net Pos'!$B$9:$C$58,2,0)," ")</f>
        <v>Special Items</v>
      </c>
    </row>
    <row r="147" spans="2:3" x14ac:dyDescent="0.25">
      <c r="B147" s="12" t="s">
        <v>271</v>
      </c>
      <c r="C147" t="str">
        <f>IFERROR(VLOOKUP(B147,'Stmt of Rev Exp Chg in Net Pos'!$B$9:$C$58,2,0)," ")</f>
        <v>INCREASE (DECREASE) IN NET POSITION</v>
      </c>
    </row>
    <row r="148" spans="2:3" x14ac:dyDescent="0.25">
      <c r="B148" s="12" t="s">
        <v>272</v>
      </c>
      <c r="C148" t="str">
        <f>IFERROR(VLOOKUP(B148,'Stmt of Rev Exp Chg in Net Pos'!$B$9:$C$58,2,0)," ")</f>
        <v xml:space="preserve"> </v>
      </c>
    </row>
    <row r="149" spans="2:3" x14ac:dyDescent="0.25">
      <c r="B149" s="12" t="s">
        <v>273</v>
      </c>
      <c r="C149" t="str">
        <f>IFERROR(VLOOKUP(B149,'Stmt of Rev Exp Chg in Net Pos'!$B$9:$C$58,2,0)," ")</f>
        <v>NET POSITION - BEGINNING BALANCE</v>
      </c>
    </row>
    <row r="150" spans="2:3" x14ac:dyDescent="0.25">
      <c r="B150" s="12" t="s">
        <v>274</v>
      </c>
      <c r="C150" t="str">
        <f>IFERROR(VLOOKUP(B150,'Stmt of Rev Exp Chg in Net Pos'!$B$9:$C$58,2,0)," ")</f>
        <v>Cumulative Effect of Change in Accounting Principle</v>
      </c>
    </row>
    <row r="151" spans="2:3" x14ac:dyDescent="0.25">
      <c r="B151" s="12" t="s">
        <v>275</v>
      </c>
      <c r="C151" t="str">
        <f>IFERROR(VLOOKUP(B151,'Stmt of Rev Exp Chg in Net Pos'!$B$9:$C$58,2,0)," ")</f>
        <v>PRIOR PERIOD ADJUSTMENT</v>
      </c>
    </row>
    <row r="152" spans="2:3" x14ac:dyDescent="0.25">
      <c r="B152" s="12" t="s">
        <v>276</v>
      </c>
      <c r="C152" t="str">
        <f>IFERROR(VLOOKUP(B152,'Stmt of Rev Exp Chg in Net Pos'!$B$9:$C$58,2,0)," ")</f>
        <v xml:space="preserve"> </v>
      </c>
    </row>
    <row r="153" spans="2:3" x14ac:dyDescent="0.25">
      <c r="B153" s="12" t="s">
        <v>277</v>
      </c>
      <c r="C153" t="str">
        <f>IFERROR(VLOOKUP(B153,'Stmt of Rev Exp Chg in Net Pos'!$B$9:$C$58,2,0)," ")</f>
        <v>NET POSITION - ENDING BALANCE</v>
      </c>
    </row>
    <row r="154" spans="2:3" x14ac:dyDescent="0.25">
      <c r="B154" s="12" t="s">
        <v>502</v>
      </c>
      <c r="C154" t="str">
        <f>IFERROR(VLOOKUP(B154,'Stmt of Rev Exp Chg in Net Pos'!$B$9:$C$58,2,0)," ")</f>
        <v xml:space="preserve"> </v>
      </c>
    </row>
    <row r="155" spans="2:3" hidden="1" x14ac:dyDescent="0.25">
      <c r="B155" s="12" t="s">
        <v>503</v>
      </c>
      <c r="C155" t="str">
        <f>IFERROR(VLOOKUP(B155,'Stmt of Rev Exp Chg in Net Pos'!$B$9:$C$58,2,0)," ")</f>
        <v xml:space="preserve"> </v>
      </c>
    </row>
    <row r="156" spans="2:3" hidden="1" x14ac:dyDescent="0.25">
      <c r="B156" s="12" t="s">
        <v>504</v>
      </c>
      <c r="C156" t="str">
        <f>IFERROR(VLOOKUP(B156,'Stmt of Rev Exp Chg in Net Pos'!$B$9:$C$58,2,0)," ")</f>
        <v xml:space="preserve"> </v>
      </c>
    </row>
    <row r="157" spans="2:3" hidden="1" x14ac:dyDescent="0.25">
      <c r="B157" s="12" t="s">
        <v>505</v>
      </c>
      <c r="C157" t="str">
        <f>IFERROR(VLOOKUP(B157,'Stmt of Rev Exp Chg in Net Pos'!$B$9:$C$58,2,0)," ")</f>
        <v xml:space="preserve"> </v>
      </c>
    </row>
    <row r="158" spans="2:3" hidden="1" x14ac:dyDescent="0.25">
      <c r="B158" s="12" t="s">
        <v>506</v>
      </c>
      <c r="C158" t="str">
        <f>IFERROR(VLOOKUP(B158,'Stmt of Rev Exp Chg in Net Pos'!$B$9:$C$58,2,0)," ")</f>
        <v xml:space="preserve"> </v>
      </c>
    </row>
    <row r="159" spans="2:3" hidden="1" x14ac:dyDescent="0.25">
      <c r="B159" s="12" t="s">
        <v>507</v>
      </c>
      <c r="C159" t="str">
        <f>IFERROR(VLOOKUP(B159,'Stmt of Rev Exp Chg in Net Pos'!$B$9:$C$58,2,0)," ")</f>
        <v xml:space="preserve"> </v>
      </c>
    </row>
    <row r="160" spans="2:3" hidden="1" x14ac:dyDescent="0.25">
      <c r="B160" s="12" t="s">
        <v>508</v>
      </c>
      <c r="C160" t="str">
        <f>IFERROR(VLOOKUP(B160,'Stmt of Rev Exp Chg in Net Pos'!$B$9:$C$58,2,0)," ")</f>
        <v xml:space="preserve"> </v>
      </c>
    </row>
    <row r="161" spans="2:3" hidden="1" x14ac:dyDescent="0.25">
      <c r="B161" s="12" t="s">
        <v>509</v>
      </c>
      <c r="C161" t="str">
        <f>IFERROR(VLOOKUP(B161,'Stmt of Rev Exp Chg in Net Pos'!$B$9:$C$58,2,0)," ")</f>
        <v xml:space="preserve"> </v>
      </c>
    </row>
    <row r="162" spans="2:3" hidden="1" x14ac:dyDescent="0.25">
      <c r="B162" s="12" t="s">
        <v>510</v>
      </c>
      <c r="C162" t="str">
        <f>IFERROR(VLOOKUP(B162,'Stmt of Rev Exp Chg in Net Pos'!$B$9:$C$58,2,0)," ")</f>
        <v xml:space="preserve"> </v>
      </c>
    </row>
    <row r="163" spans="2:3" hidden="1" x14ac:dyDescent="0.25">
      <c r="B163" s="12" t="s">
        <v>511</v>
      </c>
      <c r="C163" t="str">
        <f>IFERROR(VLOOKUP(B163,'Stmt of Rev Exp Chg in Net Pos'!$B$9:$C$58,2,0)," ")</f>
        <v xml:space="preserve"> </v>
      </c>
    </row>
    <row r="164" spans="2:3" hidden="1" x14ac:dyDescent="0.25">
      <c r="B164" s="12" t="s">
        <v>512</v>
      </c>
      <c r="C164" t="str">
        <f>IFERROR(VLOOKUP(B164,'Stmt of Rev Exp Chg in Net Pos'!$B$9:$C$58,2,0)," ")</f>
        <v xml:space="preserve"> </v>
      </c>
    </row>
    <row r="165" spans="2:3" hidden="1" x14ac:dyDescent="0.25">
      <c r="B165" s="12" t="s">
        <v>513</v>
      </c>
      <c r="C165" t="str">
        <f>IFERROR(VLOOKUP(B165,'Stmt of Rev Exp Chg in Net Pos'!$B$9:$C$58,2,0)," ")</f>
        <v xml:space="preserve"> </v>
      </c>
    </row>
    <row r="166" spans="2:3" hidden="1" x14ac:dyDescent="0.25">
      <c r="B166" s="12" t="s">
        <v>514</v>
      </c>
      <c r="C166" t="str">
        <f>IFERROR(VLOOKUP(B166,'Stmt of Rev Exp Chg in Net Pos'!$B$9:$C$58,2,0)," ")</f>
        <v xml:space="preserve"> </v>
      </c>
    </row>
    <row r="167" spans="2:3" hidden="1" x14ac:dyDescent="0.25">
      <c r="B167" s="12" t="s">
        <v>515</v>
      </c>
      <c r="C167" t="str">
        <f>IFERROR(VLOOKUP(B167,'Stmt of Rev Exp Chg in Net Pos'!$B$9:$C$58,2,0)," ")</f>
        <v xml:space="preserve"> </v>
      </c>
    </row>
    <row r="168" spans="2:3" hidden="1" x14ac:dyDescent="0.25">
      <c r="B168" s="12" t="s">
        <v>516</v>
      </c>
      <c r="C168" t="str">
        <f>IFERROR(VLOOKUP(B168,'Stmt of Rev Exp Chg in Net Pos'!$B$9:$C$58,2,0)," ")</f>
        <v xml:space="preserve"> </v>
      </c>
    </row>
    <row r="169" spans="2:3" hidden="1" x14ac:dyDescent="0.25">
      <c r="B169" s="12" t="s">
        <v>517</v>
      </c>
      <c r="C169" t="str">
        <f>IFERROR(VLOOKUP(B169,'Stmt of Rev Exp Chg in Net Pos'!$B$9:$C$58,2,0)," ")</f>
        <v xml:space="preserve"> </v>
      </c>
    </row>
    <row r="170" spans="2:3" hidden="1" x14ac:dyDescent="0.25">
      <c r="B170" s="12" t="s">
        <v>518</v>
      </c>
      <c r="C170" t="str">
        <f>IFERROR(VLOOKUP(B170,'Stmt of Rev Exp Chg in Net Pos'!$B$9:$C$58,2,0)," ")</f>
        <v xml:space="preserve"> </v>
      </c>
    </row>
    <row r="171" spans="2:3" hidden="1" x14ac:dyDescent="0.25">
      <c r="B171" s="12" t="s">
        <v>519</v>
      </c>
      <c r="C171" t="str">
        <f>IFERROR(VLOOKUP(B171,'Stmt of Rev Exp Chg in Net Pos'!$B$9:$C$58,2,0)," ")</f>
        <v xml:space="preserve"> </v>
      </c>
    </row>
    <row r="172" spans="2:3" hidden="1" x14ac:dyDescent="0.25">
      <c r="B172" s="12" t="s">
        <v>520</v>
      </c>
      <c r="C172" t="str">
        <f>IFERROR(VLOOKUP(B172,'Stmt of Rev Exp Chg in Net Pos'!$B$9:$C$58,2,0)," ")</f>
        <v xml:space="preserve"> </v>
      </c>
    </row>
    <row r="173" spans="2:3" hidden="1" x14ac:dyDescent="0.25">
      <c r="B173" s="12" t="s">
        <v>521</v>
      </c>
      <c r="C173" t="str">
        <f>IFERROR(VLOOKUP(B173,'Stmt of Rev Exp Chg in Net Pos'!$B$9:$C$58,2,0)," ")</f>
        <v xml:space="preserve"> </v>
      </c>
    </row>
    <row r="174" spans="2:3" hidden="1" x14ac:dyDescent="0.25">
      <c r="B174" s="12" t="s">
        <v>522</v>
      </c>
      <c r="C174" t="str">
        <f>IFERROR(VLOOKUP(B174,'Stmt of Rev Exp Chg in Net Pos'!$B$9:$C$58,2,0)," ")</f>
        <v xml:space="preserve"> </v>
      </c>
    </row>
    <row r="175" spans="2:3" hidden="1" x14ac:dyDescent="0.25">
      <c r="B175" s="12" t="s">
        <v>523</v>
      </c>
      <c r="C175" t="str">
        <f>IFERROR(VLOOKUP(B175,'Stmt of Rev Exp Chg in Net Pos'!$B$9:$C$58,2,0)," ")</f>
        <v xml:space="preserve"> </v>
      </c>
    </row>
    <row r="176" spans="2:3" hidden="1" x14ac:dyDescent="0.25">
      <c r="B176" s="12" t="s">
        <v>524</v>
      </c>
      <c r="C176" t="str">
        <f>IFERROR(VLOOKUP(B176,'Stmt of Rev Exp Chg in Net Pos'!$B$9:$C$58,2,0)," ")</f>
        <v xml:space="preserve"> </v>
      </c>
    </row>
    <row r="177" spans="2:3" hidden="1" x14ac:dyDescent="0.25">
      <c r="B177" s="12" t="s">
        <v>525</v>
      </c>
      <c r="C177" t="str">
        <f>IFERROR(VLOOKUP(B177,'Stmt of Rev Exp Chg in Net Pos'!$B$9:$C$58,2,0)," ")</f>
        <v xml:space="preserve"> </v>
      </c>
    </row>
    <row r="178" spans="2:3" hidden="1" x14ac:dyDescent="0.25">
      <c r="B178" s="12" t="s">
        <v>526</v>
      </c>
      <c r="C178" t="str">
        <f>IFERROR(VLOOKUP(B178,'Stmt of Rev Exp Chg in Net Pos'!$B$9:$C$58,2,0)," ")</f>
        <v xml:space="preserve"> </v>
      </c>
    </row>
    <row r="179" spans="2:3" hidden="1" x14ac:dyDescent="0.25">
      <c r="B179" s="12" t="s">
        <v>527</v>
      </c>
      <c r="C179" t="str">
        <f>IFERROR(VLOOKUP(B179,'Stmt of Rev Exp Chg in Net Pos'!$B$9:$C$58,2,0)," ")</f>
        <v xml:space="preserve"> </v>
      </c>
    </row>
    <row r="180" spans="2:3" hidden="1" x14ac:dyDescent="0.25">
      <c r="B180" s="12" t="s">
        <v>528</v>
      </c>
      <c r="C180" t="str">
        <f>IFERROR(VLOOKUP(B180,'Stmt of Rev Exp Chg in Net Pos'!$B$9:$C$58,2,0)," ")</f>
        <v xml:space="preserve"> </v>
      </c>
    </row>
    <row r="181" spans="2:3" hidden="1" x14ac:dyDescent="0.25">
      <c r="B181" s="12" t="s">
        <v>529</v>
      </c>
      <c r="C181" t="str">
        <f>IFERROR(VLOOKUP(B181,'Stmt of Rev Exp Chg in Net Pos'!$B$9:$C$58,2,0)," ")</f>
        <v xml:space="preserve"> </v>
      </c>
    </row>
    <row r="182" spans="2:3" hidden="1" x14ac:dyDescent="0.25">
      <c r="B182" s="12" t="s">
        <v>530</v>
      </c>
      <c r="C182" t="str">
        <f>IFERROR(VLOOKUP(B182,'Stmt of Rev Exp Chg in Net Pos'!$B$9:$C$58,2,0)," ")</f>
        <v xml:space="preserve"> </v>
      </c>
    </row>
    <row r="183" spans="2:3" hidden="1" x14ac:dyDescent="0.25">
      <c r="B183" s="12" t="s">
        <v>531</v>
      </c>
      <c r="C183" t="str">
        <f>IFERROR(VLOOKUP(B183,'Stmt of Rev Exp Chg in Net Pos'!$B$9:$C$58,2,0)," ")</f>
        <v xml:space="preserve"> </v>
      </c>
    </row>
    <row r="184" spans="2:3" hidden="1" x14ac:dyDescent="0.25">
      <c r="B184" s="12" t="s">
        <v>532</v>
      </c>
      <c r="C184" t="str">
        <f>IFERROR(VLOOKUP(B184,'Stmt of Rev Exp Chg in Net Pos'!$B$9:$C$58,2,0)," ")</f>
        <v xml:space="preserve"> </v>
      </c>
    </row>
    <row r="185" spans="2:3" hidden="1" x14ac:dyDescent="0.25">
      <c r="B185" s="12" t="s">
        <v>533</v>
      </c>
      <c r="C185" t="str">
        <f>IFERROR(VLOOKUP(B185,'Stmt of Rev Exp Chg in Net Pos'!$B$9:$C$58,2,0)," ")</f>
        <v xml:space="preserve"> </v>
      </c>
    </row>
    <row r="186" spans="2:3" hidden="1" x14ac:dyDescent="0.25">
      <c r="B186" s="12" t="s">
        <v>534</v>
      </c>
      <c r="C186" t="str">
        <f>IFERROR(VLOOKUP(B186,'Stmt of Rev Exp Chg in Net Pos'!$B$9:$C$58,2,0)," ")</f>
        <v xml:space="preserve"> </v>
      </c>
    </row>
    <row r="187" spans="2:3" hidden="1" x14ac:dyDescent="0.25">
      <c r="B187" s="12" t="s">
        <v>535</v>
      </c>
      <c r="C187" t="str">
        <f>IFERROR(VLOOKUP(B187,'Stmt of Rev Exp Chg in Net Pos'!$B$9:$C$58,2,0)," ")</f>
        <v xml:space="preserve"> </v>
      </c>
    </row>
    <row r="188" spans="2:3" hidden="1" x14ac:dyDescent="0.25">
      <c r="B188" s="12" t="s">
        <v>536</v>
      </c>
      <c r="C188" t="str">
        <f>IFERROR(VLOOKUP(B188,'Stmt of Rev Exp Chg in Net Pos'!$B$9:$C$58,2,0)," ")</f>
        <v xml:space="preserve"> </v>
      </c>
    </row>
    <row r="189" spans="2:3" hidden="1" x14ac:dyDescent="0.25">
      <c r="B189" s="12" t="s">
        <v>537</v>
      </c>
      <c r="C189" t="str">
        <f>IFERROR(VLOOKUP(B189,'Stmt of Rev Exp Chg in Net Pos'!$B$9:$C$58,2,0)," ")</f>
        <v xml:space="preserve"> </v>
      </c>
    </row>
    <row r="190" spans="2:3" hidden="1" x14ac:dyDescent="0.25">
      <c r="B190" s="12" t="s">
        <v>538</v>
      </c>
      <c r="C190" t="str">
        <f>IFERROR(VLOOKUP(B190,'Stmt of Rev Exp Chg in Net Pos'!$B$9:$C$58,2,0)," ")</f>
        <v xml:space="preserve"> </v>
      </c>
    </row>
    <row r="191" spans="2:3" hidden="1" x14ac:dyDescent="0.25">
      <c r="B191" s="12" t="s">
        <v>539</v>
      </c>
      <c r="C191" t="str">
        <f>IFERROR(VLOOKUP(B191,'Stmt of Rev Exp Chg in Net Pos'!$B$9:$C$58,2,0)," ")</f>
        <v xml:space="preserve"> </v>
      </c>
    </row>
    <row r="192" spans="2:3" hidden="1" x14ac:dyDescent="0.25">
      <c r="B192" s="12" t="s">
        <v>540</v>
      </c>
      <c r="C192" t="str">
        <f>IFERROR(VLOOKUP(B192,'Stmt of Rev Exp Chg in Net Pos'!$B$9:$C$58,2,0)," ")</f>
        <v xml:space="preserve"> </v>
      </c>
    </row>
    <row r="193" spans="2:3" hidden="1" x14ac:dyDescent="0.25">
      <c r="B193" s="12" t="s">
        <v>541</v>
      </c>
      <c r="C193" t="str">
        <f>IFERROR(VLOOKUP(B193,'Stmt of Rev Exp Chg in Net Pos'!$B$9:$C$58,2,0)," ")</f>
        <v xml:space="preserve"> </v>
      </c>
    </row>
    <row r="194" spans="2:3" hidden="1" x14ac:dyDescent="0.25">
      <c r="B194" s="12" t="s">
        <v>542</v>
      </c>
      <c r="C194" t="str">
        <f>IFERROR(VLOOKUP(B194,'Stmt of Rev Exp Chg in Net Pos'!$B$9:$C$58,2,0)," ")</f>
        <v xml:space="preserve"> </v>
      </c>
    </row>
    <row r="195" spans="2:3" hidden="1" x14ac:dyDescent="0.25">
      <c r="B195" s="12" t="s">
        <v>543</v>
      </c>
      <c r="C195" t="str">
        <f>IFERROR(VLOOKUP(B195,'Stmt of Rev Exp Chg in Net Pos'!$B$9:$C$58,2,0)," ")</f>
        <v xml:space="preserve"> </v>
      </c>
    </row>
    <row r="196" spans="2:3" hidden="1" x14ac:dyDescent="0.25">
      <c r="B196" s="12" t="s">
        <v>544</v>
      </c>
      <c r="C196" t="str">
        <f>IFERROR(VLOOKUP(B196,'Stmt of Rev Exp Chg in Net Pos'!$B$9:$C$58,2,0)," ")</f>
        <v xml:space="preserve"> </v>
      </c>
    </row>
    <row r="197" spans="2:3" hidden="1" x14ac:dyDescent="0.25">
      <c r="B197" s="12" t="s">
        <v>545</v>
      </c>
      <c r="C197" t="str">
        <f>IFERROR(VLOOKUP(B197,'Stmt of Rev Exp Chg in Net Pos'!$B$9:$C$58,2,0)," ")</f>
        <v xml:space="preserve"> </v>
      </c>
    </row>
    <row r="198" spans="2:3" hidden="1" x14ac:dyDescent="0.25">
      <c r="B198" s="12" t="s">
        <v>546</v>
      </c>
      <c r="C198" t="str">
        <f>IFERROR(VLOOKUP(B198,'Stmt of Rev Exp Chg in Net Pos'!$B$9:$C$58,2,0)," ")</f>
        <v xml:space="preserve"> </v>
      </c>
    </row>
    <row r="199" spans="2:3" hidden="1" x14ac:dyDescent="0.25">
      <c r="B199" s="12" t="s">
        <v>547</v>
      </c>
      <c r="C199" t="str">
        <f>IFERROR(VLOOKUP(B199,'Stmt of Rev Exp Chg in Net Pos'!$B$9:$C$58,2,0)," ")</f>
        <v xml:space="preserve"> </v>
      </c>
    </row>
    <row r="200" spans="2:3" hidden="1" x14ac:dyDescent="0.25">
      <c r="B200" s="12" t="s">
        <v>548</v>
      </c>
      <c r="C200" t="str">
        <f>IFERROR(VLOOKUP(B200,'Stmt of Rev Exp Chg in Net Pos'!$B$9:$C$58,2,0)," ")</f>
        <v xml:space="preserve"> </v>
      </c>
    </row>
    <row r="201" spans="2:3" hidden="1" x14ac:dyDescent="0.25">
      <c r="B201" s="12" t="s">
        <v>549</v>
      </c>
      <c r="C201" t="str">
        <f>IFERROR(VLOOKUP(B201,'Stmt of Rev Exp Chg in Net Pos'!$B$9:$C$58,2,0)," ")</f>
        <v xml:space="preserve"> </v>
      </c>
    </row>
    <row r="202" spans="2:3" x14ac:dyDescent="0.25">
      <c r="B202" s="82" t="s">
        <v>550</v>
      </c>
      <c r="C202" s="83" t="s">
        <v>1151</v>
      </c>
    </row>
    <row r="203" spans="2:3" x14ac:dyDescent="0.25">
      <c r="B203" s="12" t="s">
        <v>285</v>
      </c>
      <c r="C203" t="str">
        <f>IFERROR(VLOOKUP(B203,'Budget to Actual'!$B$10:$C$59,2,0)," ")</f>
        <v>Local Sources</v>
      </c>
    </row>
    <row r="204" spans="2:3" x14ac:dyDescent="0.25">
      <c r="B204" s="12" t="s">
        <v>289</v>
      </c>
      <c r="C204" t="str">
        <f>IFERROR(VLOOKUP(B204,'Budget to Actual'!$B$10:$C$59,2,0)," ")</f>
        <v>State Sources</v>
      </c>
    </row>
    <row r="205" spans="2:3" x14ac:dyDescent="0.25">
      <c r="B205" s="12" t="s">
        <v>290</v>
      </c>
      <c r="C205" t="str">
        <f>IFERROR(VLOOKUP(B205,'Budget to Actual'!$B$10:$C$59,2,0)," ")</f>
        <v>Allotment</v>
      </c>
    </row>
    <row r="206" spans="2:3" x14ac:dyDescent="0.25">
      <c r="B206" s="12" t="s">
        <v>292</v>
      </c>
      <c r="C206" t="str">
        <f>IFERROR(VLOOKUP(B206,'Budget to Actual'!$B$10:$C$59,2,0)," ")</f>
        <v>Federal Sources</v>
      </c>
    </row>
    <row r="207" spans="2:3" x14ac:dyDescent="0.25">
      <c r="B207" s="12" t="s">
        <v>293</v>
      </c>
      <c r="C207" t="str">
        <f>IFERROR(VLOOKUP(B207,'Budget to Actual'!$B$10:$C$59,2,0)," ")</f>
        <v>Cooperative Programs</v>
      </c>
    </row>
    <row r="208" spans="2:3" x14ac:dyDescent="0.25">
      <c r="B208" s="12" t="s">
        <v>294</v>
      </c>
      <c r="C208" t="str">
        <f>IFERROR(VLOOKUP(B208,'Budget to Actual'!$B$10:$C$59,2,0)," ")</f>
        <v>Other Programs</v>
      </c>
    </row>
    <row r="209" spans="2:3" x14ac:dyDescent="0.25">
      <c r="B209" s="12" t="s">
        <v>295</v>
      </c>
      <c r="C209" t="str">
        <f>IFERROR(VLOOKUP(B209,'Budget to Actual'!$B$10:$C$59,2,0)," ")</f>
        <v>Member Assessments/Contributions</v>
      </c>
    </row>
    <row r="210" spans="2:3" x14ac:dyDescent="0.25">
      <c r="B210" s="12" t="s">
        <v>296</v>
      </c>
      <c r="C210" t="str">
        <f>IFERROR(VLOOKUP(B210,'Budget to Actual'!$B$10:$C$59,2,0)," ")</f>
        <v>Supplemental Member Assessments</v>
      </c>
    </row>
    <row r="211" spans="2:3" x14ac:dyDescent="0.25">
      <c r="B211" s="12" t="s">
        <v>297</v>
      </c>
      <c r="C211" t="str">
        <f>IFERROR(VLOOKUP(B211,'Budget to Actual'!$B$10:$C$59,2,0)," ")</f>
        <v>Other Operating Revenue</v>
      </c>
    </row>
    <row r="212" spans="2:3" x14ac:dyDescent="0.25">
      <c r="B212" s="12" t="s">
        <v>298</v>
      </c>
      <c r="C212" t="str">
        <f>IFERROR(VLOOKUP(B212,'Budget to Actual'!$B$10:$C$59,2,0)," ")</f>
        <v>TOTAL OPERATING REVENUE</v>
      </c>
    </row>
    <row r="213" spans="2:3" x14ac:dyDescent="0.25">
      <c r="B213" s="12" t="s">
        <v>299</v>
      </c>
      <c r="C213" t="str">
        <f>IFERROR(VLOOKUP(B213,'Budget to Actual'!$B$10:$C$59,2,0)," ")</f>
        <v xml:space="preserve"> </v>
      </c>
    </row>
    <row r="214" spans="2:3" x14ac:dyDescent="0.25">
      <c r="B214" s="12" t="s">
        <v>300</v>
      </c>
      <c r="C214" t="str">
        <f>IFERROR(VLOOKUP(B214,'Budget to Actual'!$B$10:$C$59,2,0)," ")</f>
        <v xml:space="preserve"> </v>
      </c>
    </row>
    <row r="215" spans="2:3" x14ac:dyDescent="0.25">
      <c r="B215" s="12" t="s">
        <v>301</v>
      </c>
      <c r="C215" t="str">
        <f>IFERROR(VLOOKUP(B215,'Budget to Actual'!$B$10:$C$59,2,0)," ")</f>
        <v>General Operations and Administration</v>
      </c>
    </row>
    <row r="216" spans="2:3" x14ac:dyDescent="0.25">
      <c r="B216" s="12" t="s">
        <v>302</v>
      </c>
      <c r="C216" t="str">
        <f>IFERROR(VLOOKUP(B216,'Budget to Actual'!$B$10:$C$59,2,0)," ")</f>
        <v>Instructional Support Programs</v>
      </c>
    </row>
    <row r="217" spans="2:3" x14ac:dyDescent="0.25">
      <c r="B217" s="12" t="s">
        <v>303</v>
      </c>
      <c r="C217" t="str">
        <f>IFERROR(VLOOKUP(B217,'Budget to Actual'!$B$10:$C$59,2,0)," ")</f>
        <v>Non Instructional Support Programs</v>
      </c>
    </row>
    <row r="218" spans="2:3" x14ac:dyDescent="0.25">
      <c r="B218" s="12" t="s">
        <v>304</v>
      </c>
      <c r="C218" t="str">
        <f>IFERROR(VLOOKUP(B218,'Budget to Actual'!$B$10:$C$59,2,0)," ")</f>
        <v>Incurred Loss/Loss Adjustment Expenses</v>
      </c>
    </row>
    <row r="219" spans="2:3" x14ac:dyDescent="0.25">
      <c r="B219" s="12" t="s">
        <v>305</v>
      </c>
      <c r="C219" t="str">
        <f>IFERROR(VLOOKUP(B219,'Budget to Actual'!$B$10:$C$59,2,0)," ")</f>
        <v>Paid on Current Losses</v>
      </c>
    </row>
    <row r="220" spans="2:3" x14ac:dyDescent="0.25">
      <c r="B220" s="12" t="s">
        <v>306</v>
      </c>
      <c r="C220" t="str">
        <f>IFERROR(VLOOKUP(B220,'Budget to Actual'!$B$10:$C$59,2,0)," ")</f>
        <v>Change in Loss Reserves</v>
      </c>
    </row>
    <row r="221" spans="2:3" x14ac:dyDescent="0.25">
      <c r="B221" s="12" t="s">
        <v>307</v>
      </c>
      <c r="C221" t="str">
        <f>IFERROR(VLOOKUP(B221,'Budget to Actual'!$B$10:$C$59,2,0)," ")</f>
        <v>Unallocated Loss Adjustment Expenses</v>
      </c>
    </row>
    <row r="222" spans="2:3" x14ac:dyDescent="0.25">
      <c r="B222" s="12" t="s">
        <v>308</v>
      </c>
      <c r="C222" t="str">
        <f>IFERROR(VLOOKUP(B222,'Budget to Actual'!$B$10:$C$59,2,0)," ")</f>
        <v>Paid Unallocated Loss Adjustment Expenses</v>
      </c>
    </row>
    <row r="223" spans="2:3" x14ac:dyDescent="0.25">
      <c r="B223" s="12" t="s">
        <v>309</v>
      </c>
      <c r="C223" t="str">
        <f>IFERROR(VLOOKUP(B223,'Budget to Actual'!$B$10:$C$59,2,0)," ")</f>
        <v>Change in Unallocated Loss Reserves</v>
      </c>
    </row>
    <row r="224" spans="2:3" x14ac:dyDescent="0.25">
      <c r="B224" s="12" t="s">
        <v>310</v>
      </c>
      <c r="C224" t="str">
        <f>IFERROR(VLOOKUP(B224,'Budget to Actual'!$B$10:$C$59,2,0)," ")</f>
        <v>Excess/Reinsurance Premiums</v>
      </c>
    </row>
    <row r="225" spans="2:3" x14ac:dyDescent="0.25">
      <c r="B225" s="12" t="s">
        <v>311</v>
      </c>
      <c r="C225" t="str">
        <f>IFERROR(VLOOKUP(B225,'Budget to Actual'!$B$10:$C$59,2,0)," ")</f>
        <v>Professional Fees</v>
      </c>
    </row>
    <row r="226" spans="2:3" x14ac:dyDescent="0.25">
      <c r="B226" s="12" t="s">
        <v>312</v>
      </c>
      <c r="C226" t="str">
        <f>IFERROR(VLOOKUP(B226,'Budget to Actual'!$B$10:$C$59,2,0)," ")</f>
        <v>Labor &amp; Industries Assessments</v>
      </c>
    </row>
    <row r="227" spans="2:3" x14ac:dyDescent="0.25">
      <c r="B227" s="12" t="s">
        <v>313</v>
      </c>
      <c r="C227" t="str">
        <f>IFERROR(VLOOKUP(B227,'Budget to Actual'!$B$10:$C$59,2,0)," ")</f>
        <v>Depreciation/Depletion</v>
      </c>
    </row>
    <row r="228" spans="2:3" x14ac:dyDescent="0.25">
      <c r="B228" s="12" t="s">
        <v>314</v>
      </c>
      <c r="C228" t="str">
        <f>IFERROR(VLOOKUP(B228,'Budget to Actual'!$B$10:$C$59,2,0)," ")</f>
        <v>Other Operating Expenses</v>
      </c>
    </row>
    <row r="229" spans="2:3" x14ac:dyDescent="0.25">
      <c r="B229" s="12" t="s">
        <v>315</v>
      </c>
      <c r="C229" t="str">
        <f>IFERROR(VLOOKUP(B229,'Budget to Actual'!$B$10:$C$59,2,0)," ")</f>
        <v>TOTAL OPERATING EXPENSES</v>
      </c>
    </row>
    <row r="230" spans="2:3" x14ac:dyDescent="0.25">
      <c r="B230" s="12" t="s">
        <v>316</v>
      </c>
      <c r="C230" t="str">
        <f>IFERROR(VLOOKUP(B230,'Budget to Actual'!$B$10:$C$59,2,0)," ")</f>
        <v xml:space="preserve"> </v>
      </c>
    </row>
    <row r="231" spans="2:3" x14ac:dyDescent="0.25">
      <c r="B231" s="12" t="s">
        <v>317</v>
      </c>
      <c r="C231" t="str">
        <f>IFERROR(VLOOKUP(B231,'Budget to Actual'!$B$10:$C$59,2,0)," ")</f>
        <v>OPERATING INCOME (LOSS)</v>
      </c>
    </row>
    <row r="232" spans="2:3" x14ac:dyDescent="0.25">
      <c r="B232" s="12" t="s">
        <v>291</v>
      </c>
      <c r="C232" t="str">
        <f>IFERROR(VLOOKUP(B232,'Budget to Actual'!$B$10:$C$59,2,0)," ")</f>
        <v xml:space="preserve"> </v>
      </c>
    </row>
    <row r="233" spans="2:3" x14ac:dyDescent="0.25">
      <c r="B233" s="12" t="s">
        <v>318</v>
      </c>
      <c r="C233" t="str">
        <f>IFERROR(VLOOKUP(B233,'Budget to Actual'!$B$10:$C$59,2,0)," ")</f>
        <v>Interest and Investment Income</v>
      </c>
    </row>
    <row r="234" spans="2:3" x14ac:dyDescent="0.25">
      <c r="B234" s="12" t="s">
        <v>319</v>
      </c>
      <c r="C234" t="str">
        <f>IFERROR(VLOOKUP(B234,'Budget to Actual'!$B$10:$C$59,2,0)," ")</f>
        <v>Interest Expense and Related Charges</v>
      </c>
    </row>
    <row r="235" spans="2:3" x14ac:dyDescent="0.25">
      <c r="B235" s="12" t="s">
        <v>320</v>
      </c>
      <c r="C235" t="str">
        <f>IFERROR(VLOOKUP(B235,'Budget to Actual'!$B$10:$C$59,2,0)," ")</f>
        <v>Lease Income</v>
      </c>
    </row>
    <row r="236" spans="2:3" x14ac:dyDescent="0.25">
      <c r="B236" s="12" t="s">
        <v>321</v>
      </c>
      <c r="C236" t="str">
        <f>IFERROR(VLOOKUP(B236,'Budget to Actual'!$B$10:$C$59,2,0)," ")</f>
        <v>Gains (Losses) on Capital Asset Disposition</v>
      </c>
    </row>
    <row r="237" spans="2:3" x14ac:dyDescent="0.25">
      <c r="B237" s="12" t="s">
        <v>322</v>
      </c>
      <c r="C237" t="str">
        <f>IFERROR(VLOOKUP(B237,'Budget to Actual'!$B$10:$C$59,2,0)," ")</f>
        <v>Change in Joint Venture</v>
      </c>
    </row>
    <row r="238" spans="2:3" x14ac:dyDescent="0.25">
      <c r="B238" s="12" t="s">
        <v>323</v>
      </c>
      <c r="C238" t="str">
        <f>IFERROR(VLOOKUP(B238,'Budget to Actual'!$B$10:$C$59,2,0)," ")</f>
        <v>Change in Compensated Absences</v>
      </c>
    </row>
    <row r="239" spans="2:3" x14ac:dyDescent="0.25">
      <c r="B239" s="12" t="s">
        <v>324</v>
      </c>
      <c r="C239" t="str">
        <f>IFERROR(VLOOKUP(B239,'Budget to Actual'!$B$10:$C$59,2,0)," ")</f>
        <v>Other Nonoperating Revenues</v>
      </c>
    </row>
    <row r="240" spans="2:3" x14ac:dyDescent="0.25">
      <c r="B240" s="12" t="s">
        <v>325</v>
      </c>
      <c r="C240" t="str">
        <f>IFERROR(VLOOKUP(B240,'Budget to Actual'!$B$10:$C$59,2,0)," ")</f>
        <v>Other Nonoperating Expenses</v>
      </c>
    </row>
    <row r="241" spans="2:3" x14ac:dyDescent="0.25">
      <c r="B241" s="12" t="s">
        <v>326</v>
      </c>
      <c r="C241" t="str">
        <f>IFERROR(VLOOKUP(B241,'Budget to Actual'!$B$10:$C$59,2,0)," ")</f>
        <v>TOTAL NONOPERATING REVENUES (EXPENSES)</v>
      </c>
    </row>
    <row r="242" spans="2:3" x14ac:dyDescent="0.25">
      <c r="B242" s="12" t="s">
        <v>327</v>
      </c>
      <c r="C242" t="str">
        <f>IFERROR(VLOOKUP(B242,'Budget to Actual'!$B$10:$C$59,2,0)," ")</f>
        <v xml:space="preserve"> </v>
      </c>
    </row>
    <row r="243" spans="2:3" x14ac:dyDescent="0.25">
      <c r="B243" s="12" t="s">
        <v>328</v>
      </c>
      <c r="C243" t="str">
        <f>IFERROR(VLOOKUP(B243,'Budget to Actual'!$B$10:$C$59,2,0)," ")</f>
        <v>INCOME (LOSS) BEFORE OTHER ITEMS</v>
      </c>
    </row>
    <row r="244" spans="2:3" x14ac:dyDescent="0.25">
      <c r="B244" s="12" t="s">
        <v>329</v>
      </c>
      <c r="C244" t="str">
        <f>IFERROR(VLOOKUP(B244,'Budget to Actual'!$B$10:$C$59,2,0)," ")</f>
        <v>Extraordinary Items</v>
      </c>
    </row>
    <row r="245" spans="2:3" x14ac:dyDescent="0.25">
      <c r="B245" s="12" t="s">
        <v>330</v>
      </c>
      <c r="C245" t="str">
        <f>IFERROR(VLOOKUP(B245,'Budget to Actual'!$B$10:$C$59,2,0)," ")</f>
        <v>Special Items</v>
      </c>
    </row>
    <row r="246" spans="2:3" x14ac:dyDescent="0.25">
      <c r="B246" s="12" t="s">
        <v>331</v>
      </c>
      <c r="C246" t="str">
        <f>IFERROR(VLOOKUP(B246,'Budget to Actual'!$B$10:$C$59,2,0)," ")</f>
        <v>INCREASE (DECREASE) IN NET POSITION</v>
      </c>
    </row>
    <row r="247" spans="2:3" x14ac:dyDescent="0.25">
      <c r="B247" s="12" t="s">
        <v>332</v>
      </c>
      <c r="C247" t="str">
        <f>IFERROR(VLOOKUP(B247,'Budget to Actual'!$B$10:$C$59,2,0)," ")</f>
        <v xml:space="preserve"> </v>
      </c>
    </row>
    <row r="248" spans="2:3" x14ac:dyDescent="0.25">
      <c r="B248" s="12" t="s">
        <v>333</v>
      </c>
      <c r="C248" t="str">
        <f>IFERROR(VLOOKUP(B248,'Budget to Actual'!$B$10:$C$59,2,0)," ")</f>
        <v>NET POSITION - BEGINNING BALANCE</v>
      </c>
    </row>
    <row r="249" spans="2:3" x14ac:dyDescent="0.25">
      <c r="B249" s="12" t="s">
        <v>334</v>
      </c>
      <c r="C249" t="str">
        <f>IFERROR(VLOOKUP(B249,'Budget to Actual'!$B$10:$C$59,2,0)," ")</f>
        <v>Cummulative Effect of Change in Accounting Principal</v>
      </c>
    </row>
    <row r="250" spans="2:3" x14ac:dyDescent="0.25">
      <c r="B250" s="12" t="s">
        <v>335</v>
      </c>
      <c r="C250" t="str">
        <f>IFERROR(VLOOKUP(B250,'Budget to Actual'!$B$10:$C$59,2,0)," ")</f>
        <v>PRIOR PERIOD ADJUSTMENT</v>
      </c>
    </row>
    <row r="251" spans="2:3" x14ac:dyDescent="0.25">
      <c r="B251" s="12" t="s">
        <v>336</v>
      </c>
      <c r="C251" t="str">
        <f>IFERROR(VLOOKUP(B251,'Budget to Actual'!$B$10:$C$59,2,0)," ")</f>
        <v>NET POSITION - ENDING BALANCE</v>
      </c>
    </row>
    <row r="252" spans="2:3" x14ac:dyDescent="0.25">
      <c r="B252" s="12" t="s">
        <v>337</v>
      </c>
    </row>
    <row r="253" spans="2:3" hidden="1" x14ac:dyDescent="0.25">
      <c r="B253" s="12" t="s">
        <v>338</v>
      </c>
    </row>
    <row r="254" spans="2:3" hidden="1" x14ac:dyDescent="0.25">
      <c r="B254" s="12" t="s">
        <v>339</v>
      </c>
    </row>
    <row r="255" spans="2:3" hidden="1" x14ac:dyDescent="0.25">
      <c r="B255" s="12" t="s">
        <v>551</v>
      </c>
    </row>
    <row r="256" spans="2:3" hidden="1" x14ac:dyDescent="0.25">
      <c r="B256" s="12" t="s">
        <v>552</v>
      </c>
    </row>
    <row r="257" spans="2:2" hidden="1" x14ac:dyDescent="0.25">
      <c r="B257" s="12" t="s">
        <v>553</v>
      </c>
    </row>
    <row r="258" spans="2:2" hidden="1" x14ac:dyDescent="0.25">
      <c r="B258" s="12" t="s">
        <v>554</v>
      </c>
    </row>
    <row r="259" spans="2:2" hidden="1" x14ac:dyDescent="0.25">
      <c r="B259" s="12" t="s">
        <v>555</v>
      </c>
    </row>
    <row r="260" spans="2:2" hidden="1" x14ac:dyDescent="0.25">
      <c r="B260" s="12" t="s">
        <v>556</v>
      </c>
    </row>
    <row r="261" spans="2:2" hidden="1" x14ac:dyDescent="0.25">
      <c r="B261" s="12" t="s">
        <v>557</v>
      </c>
    </row>
    <row r="262" spans="2:2" hidden="1" x14ac:dyDescent="0.25">
      <c r="B262" s="12" t="s">
        <v>558</v>
      </c>
    </row>
    <row r="263" spans="2:2" hidden="1" x14ac:dyDescent="0.25">
      <c r="B263" s="12" t="s">
        <v>559</v>
      </c>
    </row>
    <row r="264" spans="2:2" hidden="1" x14ac:dyDescent="0.25">
      <c r="B264" s="12" t="s">
        <v>560</v>
      </c>
    </row>
    <row r="265" spans="2:2" hidden="1" x14ac:dyDescent="0.25">
      <c r="B265" s="12" t="s">
        <v>561</v>
      </c>
    </row>
    <row r="266" spans="2:2" hidden="1" x14ac:dyDescent="0.25">
      <c r="B266" s="12" t="s">
        <v>562</v>
      </c>
    </row>
    <row r="267" spans="2:2" hidden="1" x14ac:dyDescent="0.25">
      <c r="B267" s="12" t="s">
        <v>563</v>
      </c>
    </row>
    <row r="268" spans="2:2" hidden="1" x14ac:dyDescent="0.25">
      <c r="B268" s="12" t="s">
        <v>564</v>
      </c>
    </row>
    <row r="269" spans="2:2" hidden="1" x14ac:dyDescent="0.25">
      <c r="B269" s="12" t="s">
        <v>565</v>
      </c>
    </row>
    <row r="270" spans="2:2" hidden="1" x14ac:dyDescent="0.25">
      <c r="B270" s="12" t="s">
        <v>566</v>
      </c>
    </row>
    <row r="271" spans="2:2" hidden="1" x14ac:dyDescent="0.25">
      <c r="B271" s="12" t="s">
        <v>567</v>
      </c>
    </row>
    <row r="272" spans="2:2" hidden="1" x14ac:dyDescent="0.25">
      <c r="B272" s="12" t="s">
        <v>568</v>
      </c>
    </row>
    <row r="273" spans="2:2" hidden="1" x14ac:dyDescent="0.25">
      <c r="B273" s="12" t="s">
        <v>569</v>
      </c>
    </row>
    <row r="274" spans="2:2" hidden="1" x14ac:dyDescent="0.25">
      <c r="B274" s="12" t="s">
        <v>570</v>
      </c>
    </row>
    <row r="275" spans="2:2" hidden="1" x14ac:dyDescent="0.25">
      <c r="B275" s="12" t="s">
        <v>571</v>
      </c>
    </row>
    <row r="276" spans="2:2" hidden="1" x14ac:dyDescent="0.25">
      <c r="B276" s="12" t="s">
        <v>572</v>
      </c>
    </row>
    <row r="277" spans="2:2" hidden="1" x14ac:dyDescent="0.25">
      <c r="B277" s="12" t="s">
        <v>573</v>
      </c>
    </row>
    <row r="278" spans="2:2" hidden="1" x14ac:dyDescent="0.25">
      <c r="B278" s="12" t="s">
        <v>574</v>
      </c>
    </row>
    <row r="279" spans="2:2" hidden="1" x14ac:dyDescent="0.25">
      <c r="B279" s="12" t="s">
        <v>575</v>
      </c>
    </row>
    <row r="280" spans="2:2" hidden="1" x14ac:dyDescent="0.25">
      <c r="B280" s="12" t="s">
        <v>576</v>
      </c>
    </row>
    <row r="281" spans="2:2" hidden="1" x14ac:dyDescent="0.25">
      <c r="B281" s="12" t="s">
        <v>577</v>
      </c>
    </row>
    <row r="282" spans="2:2" hidden="1" x14ac:dyDescent="0.25">
      <c r="B282" s="12" t="s">
        <v>578</v>
      </c>
    </row>
    <row r="283" spans="2:2" hidden="1" x14ac:dyDescent="0.25">
      <c r="B283" s="12" t="s">
        <v>579</v>
      </c>
    </row>
    <row r="284" spans="2:2" hidden="1" x14ac:dyDescent="0.25">
      <c r="B284" s="12" t="s">
        <v>580</v>
      </c>
    </row>
    <row r="285" spans="2:2" hidden="1" x14ac:dyDescent="0.25">
      <c r="B285" s="12" t="s">
        <v>581</v>
      </c>
    </row>
    <row r="286" spans="2:2" hidden="1" x14ac:dyDescent="0.25">
      <c r="B286" s="12" t="s">
        <v>582</v>
      </c>
    </row>
    <row r="287" spans="2:2" hidden="1" x14ac:dyDescent="0.25">
      <c r="B287" s="12" t="s">
        <v>583</v>
      </c>
    </row>
    <row r="288" spans="2:2" hidden="1" x14ac:dyDescent="0.25">
      <c r="B288" s="12" t="s">
        <v>584</v>
      </c>
    </row>
    <row r="289" spans="2:3" hidden="1" x14ac:dyDescent="0.25">
      <c r="B289" s="12" t="s">
        <v>585</v>
      </c>
    </row>
    <row r="290" spans="2:3" hidden="1" x14ac:dyDescent="0.25">
      <c r="B290" s="12" t="s">
        <v>586</v>
      </c>
    </row>
    <row r="291" spans="2:3" hidden="1" x14ac:dyDescent="0.25">
      <c r="B291" s="12" t="s">
        <v>587</v>
      </c>
    </row>
    <row r="292" spans="2:3" hidden="1" x14ac:dyDescent="0.25">
      <c r="B292" s="12" t="s">
        <v>287</v>
      </c>
    </row>
    <row r="293" spans="2:3" hidden="1" x14ac:dyDescent="0.25">
      <c r="B293" s="12" t="s">
        <v>588</v>
      </c>
    </row>
    <row r="294" spans="2:3" hidden="1" x14ac:dyDescent="0.25">
      <c r="B294" s="12" t="s">
        <v>589</v>
      </c>
    </row>
    <row r="295" spans="2:3" hidden="1" x14ac:dyDescent="0.25">
      <c r="B295" s="12" t="s">
        <v>590</v>
      </c>
    </row>
    <row r="296" spans="2:3" hidden="1" x14ac:dyDescent="0.25">
      <c r="B296" s="12" t="s">
        <v>591</v>
      </c>
    </row>
    <row r="297" spans="2:3" hidden="1" x14ac:dyDescent="0.25">
      <c r="B297" s="12" t="s">
        <v>592</v>
      </c>
    </row>
    <row r="298" spans="2:3" hidden="1" x14ac:dyDescent="0.25">
      <c r="B298" s="12" t="s">
        <v>593</v>
      </c>
    </row>
    <row r="299" spans="2:3" hidden="1" x14ac:dyDescent="0.25">
      <c r="B299" s="12" t="s">
        <v>594</v>
      </c>
    </row>
    <row r="300" spans="2:3" hidden="1" x14ac:dyDescent="0.25">
      <c r="B300" s="12" t="s">
        <v>595</v>
      </c>
    </row>
    <row r="301" spans="2:3" hidden="1" x14ac:dyDescent="0.25">
      <c r="B301" s="12" t="s">
        <v>596</v>
      </c>
    </row>
    <row r="302" spans="2:3" x14ac:dyDescent="0.25">
      <c r="B302" s="82" t="s">
        <v>597</v>
      </c>
      <c r="C302" s="83" t="s">
        <v>1118</v>
      </c>
    </row>
    <row r="303" spans="2:3" x14ac:dyDescent="0.25">
      <c r="B303" s="12" t="s">
        <v>405</v>
      </c>
      <c r="C303" t="str">
        <f>IFERROR(VLOOKUP(B303,'Stmt of Cash Flow'!$B$9:$C$84,2,0)," ")</f>
        <v>Cash Received from Customers</v>
      </c>
    </row>
    <row r="304" spans="2:3" x14ac:dyDescent="0.25">
      <c r="B304" s="12" t="s">
        <v>407</v>
      </c>
      <c r="C304" t="str">
        <f>IFERROR(VLOOKUP(B304,'Stmt of Cash Flow'!$B$9:$C$84,2,0)," ")</f>
        <v>Cash Received from State and Federal Sources</v>
      </c>
    </row>
    <row r="305" spans="2:3" x14ac:dyDescent="0.25">
      <c r="B305" s="12" t="s">
        <v>408</v>
      </c>
      <c r="C305" t="str">
        <f>IFERROR(VLOOKUP(B305,'Stmt of Cash Flow'!$B$9:$C$84,2,0)," ")</f>
        <v>Cash Received from Members</v>
      </c>
    </row>
    <row r="306" spans="2:3" x14ac:dyDescent="0.25">
      <c r="B306" s="12" t="s">
        <v>409</v>
      </c>
      <c r="C306" t="str">
        <f>IFERROR(VLOOKUP(B306,'Stmt of Cash Flow'!$B$9:$C$84,2,0)," ")</f>
        <v>Payments to Suppliers for Goods and Services</v>
      </c>
    </row>
    <row r="307" spans="2:3" x14ac:dyDescent="0.25">
      <c r="B307" s="12" t="s">
        <v>410</v>
      </c>
      <c r="C307" t="str">
        <f>IFERROR(VLOOKUP(B307,'Stmt of Cash Flow'!$B$9:$C$84,2,0)," ")</f>
        <v>Payments to Employees for Services</v>
      </c>
    </row>
    <row r="308" spans="2:3" x14ac:dyDescent="0.25">
      <c r="B308" s="12" t="s">
        <v>411</v>
      </c>
      <c r="C308" t="str">
        <f>IFERROR(VLOOKUP(B308,'Stmt of Cash Flow'!$B$9:$C$84,2,0)," ")</f>
        <v>Cash Paid for Compensated Absences</v>
      </c>
    </row>
    <row r="309" spans="2:3" x14ac:dyDescent="0.25">
      <c r="B309" s="12" t="s">
        <v>412</v>
      </c>
      <c r="C309" t="str">
        <f>IFERROR(VLOOKUP(B309,'Stmt of Cash Flow'!$B$9:$C$84,2,0)," ")</f>
        <v>Cash Paid for Benefits/Claims</v>
      </c>
    </row>
    <row r="310" spans="2:3" x14ac:dyDescent="0.25">
      <c r="B310" s="12" t="s">
        <v>413</v>
      </c>
      <c r="C310" t="str">
        <f>IFERROR(VLOOKUP(B310,'Stmt of Cash Flow'!$B$9:$C$84,2,0)," ")</f>
        <v>Internal Activity - Reimbursements from Other Funds</v>
      </c>
    </row>
    <row r="311" spans="2:3" x14ac:dyDescent="0.25">
      <c r="B311" s="12" t="s">
        <v>414</v>
      </c>
      <c r="C311" t="str">
        <f>IFERROR(VLOOKUP(B311,'Stmt of Cash Flow'!$B$9:$C$84,2,0)," ")</f>
        <v>Internal Activity - Payments made to Other Funds</v>
      </c>
    </row>
    <row r="312" spans="2:3" x14ac:dyDescent="0.25">
      <c r="B312" s="12" t="s">
        <v>415</v>
      </c>
      <c r="C312" t="str">
        <f>IFERROR(VLOOKUP(B312,'Stmt of Cash Flow'!$B$9:$C$84,2,0)," ")</f>
        <v>Cash Paid for Reinsurance</v>
      </c>
    </row>
    <row r="313" spans="2:3" x14ac:dyDescent="0.25">
      <c r="B313" s="12" t="s">
        <v>416</v>
      </c>
      <c r="C313" t="str">
        <f>IFERROR(VLOOKUP(B313,'Stmt of Cash Flow'!$B$9:$C$84,2,0)," ")</f>
        <v>Cash Received for Labor and Industries Assessments</v>
      </c>
    </row>
    <row r="314" spans="2:3" x14ac:dyDescent="0.25">
      <c r="B314" s="12" t="s">
        <v>417</v>
      </c>
      <c r="C314" t="str">
        <f>IFERROR(VLOOKUP(B314,'Stmt of Cash Flow'!$B$9:$C$84,2,0)," ")</f>
        <v>Cash Paid for Labor and Industries Assessments</v>
      </c>
    </row>
    <row r="315" spans="2:3" x14ac:dyDescent="0.25">
      <c r="B315" s="12" t="s">
        <v>418</v>
      </c>
      <c r="C315" t="str">
        <f>IFERROR(VLOOKUP(B315,'Stmt of Cash Flow'!$B$9:$C$84,2,0)," ")</f>
        <v>Cash Paid for Other Operating Expense</v>
      </c>
    </row>
    <row r="316" spans="2:3" x14ac:dyDescent="0.25">
      <c r="B316" s="12" t="s">
        <v>419</v>
      </c>
      <c r="C316" t="str">
        <f>IFERROR(VLOOKUP(B316,'Stmt of Cash Flow'!$B$9:$C$84,2,0)," ")</f>
        <v>Other Receipts (Payments)</v>
      </c>
    </row>
    <row r="317" spans="2:3" x14ac:dyDescent="0.25">
      <c r="B317" s="12" t="s">
        <v>420</v>
      </c>
      <c r="C317" t="str">
        <f>IFERROR(VLOOKUP(B317,'Stmt of Cash Flow'!$B$9:$C$84,2,0)," ")</f>
        <v>NET CASH PROVIDED (USED) BY OPERATING ACTIVITIES</v>
      </c>
    </row>
    <row r="318" spans="2:3" x14ac:dyDescent="0.25">
      <c r="B318" s="12" t="s">
        <v>421</v>
      </c>
      <c r="C318" t="str">
        <f>IFERROR(VLOOKUP(B318,'Stmt of Cash Flow'!$B$9:$C$84,2,0)," ")</f>
        <v xml:space="preserve"> </v>
      </c>
    </row>
    <row r="319" spans="2:3" x14ac:dyDescent="0.25">
      <c r="B319" s="12" t="s">
        <v>422</v>
      </c>
      <c r="C319" t="str">
        <f>IFERROR(VLOOKUP(B319,'Stmt of Cash Flow'!$B$9:$C$84,2,0)," ")</f>
        <v xml:space="preserve"> </v>
      </c>
    </row>
    <row r="320" spans="2:3" x14ac:dyDescent="0.25">
      <c r="B320" s="12" t="s">
        <v>423</v>
      </c>
      <c r="C320" t="str">
        <f>IFERROR(VLOOKUP(B320,'Stmt of Cash Flow'!$B$9:$C$84,2,0)," ")</f>
        <v>Operating Grants Received</v>
      </c>
    </row>
    <row r="321" spans="2:3" x14ac:dyDescent="0.25">
      <c r="B321" s="12" t="s">
        <v>424</v>
      </c>
      <c r="C321" t="str">
        <f>IFERROR(VLOOKUP(B321,'Stmt of Cash Flow'!$B$9:$C$84,2,0)," ")</f>
        <v>Transfer to (from) Other Funds</v>
      </c>
    </row>
    <row r="322" spans="2:3" x14ac:dyDescent="0.25">
      <c r="B322" s="12" t="s">
        <v>425</v>
      </c>
      <c r="C322" t="str">
        <f>IFERROR(VLOOKUP(B322,'Stmt of Cash Flow'!$B$9:$C$84,2,0)," ")</f>
        <v>Proceeds from Issuance of Notes</v>
      </c>
    </row>
    <row r="323" spans="2:3" x14ac:dyDescent="0.25">
      <c r="B323" s="12" t="s">
        <v>426</v>
      </c>
      <c r="C323" t="str">
        <f>IFERROR(VLOOKUP(B323,'Stmt of Cash Flow'!$B$9:$C$84,2,0)," ")</f>
        <v>Principal and Interest Payment on Notes</v>
      </c>
    </row>
    <row r="324" spans="2:3" x14ac:dyDescent="0.25">
      <c r="B324" s="12" t="s">
        <v>427</v>
      </c>
      <c r="C324" t="str">
        <f>IFERROR(VLOOKUP(B324,'Stmt of Cash Flow'!$B$9:$C$84,2,0)," ")</f>
        <v>Other Noncapital Activities</v>
      </c>
    </row>
    <row r="325" spans="2:3" x14ac:dyDescent="0.25">
      <c r="B325" s="12" t="s">
        <v>428</v>
      </c>
      <c r="C325" t="str">
        <f>IFERROR(VLOOKUP(B325,'Stmt of Cash Flow'!$B$9:$C$84,2,0)," ")</f>
        <v>NET CASH PROVIDED (USED) BY NONCAPITAL FINANCING ACTIVITIES</v>
      </c>
    </row>
    <row r="326" spans="2:3" x14ac:dyDescent="0.25">
      <c r="B326" s="12" t="s">
        <v>429</v>
      </c>
      <c r="C326" t="str">
        <f>IFERROR(VLOOKUP(B326,'Stmt of Cash Flow'!$B$9:$C$84,2,0)," ")</f>
        <v xml:space="preserve"> </v>
      </c>
    </row>
    <row r="327" spans="2:3" x14ac:dyDescent="0.25">
      <c r="B327" s="12" t="s">
        <v>430</v>
      </c>
      <c r="C327" t="str">
        <f>IFERROR(VLOOKUP(B327,'Stmt of Cash Flow'!$B$9:$C$84,2,0)," ")</f>
        <v xml:space="preserve"> </v>
      </c>
    </row>
    <row r="328" spans="2:3" x14ac:dyDescent="0.25">
      <c r="B328" s="12" t="s">
        <v>431</v>
      </c>
      <c r="C328" t="str">
        <f>IFERROR(VLOOKUP(B328,'Stmt of Cash Flow'!$B$9:$C$84,2,0)," ")</f>
        <v>Purchase of Capital Assets</v>
      </c>
    </row>
    <row r="329" spans="2:3" x14ac:dyDescent="0.25">
      <c r="B329" s="12" t="s">
        <v>432</v>
      </c>
      <c r="C329" t="str">
        <f>IFERROR(VLOOKUP(B329,'Stmt of Cash Flow'!$B$9:$C$84,2,0)," ")</f>
        <v>Proceeds from Capital Debt</v>
      </c>
    </row>
    <row r="330" spans="2:3" x14ac:dyDescent="0.25">
      <c r="B330" s="12" t="s">
        <v>433</v>
      </c>
      <c r="C330" t="str">
        <f>IFERROR(VLOOKUP(B330,'Stmt of Cash Flow'!$B$9:$C$84,2,0)," ")</f>
        <v>Principal and Interest Paid on Capital Debt</v>
      </c>
    </row>
    <row r="331" spans="2:3" x14ac:dyDescent="0.25">
      <c r="B331" s="12" t="s">
        <v>434</v>
      </c>
      <c r="C331" t="str">
        <f>IFERROR(VLOOKUP(B331,'Stmt of Cash Flow'!$B$9:$C$84,2,0)," ")</f>
        <v>Capital Contributions</v>
      </c>
    </row>
    <row r="332" spans="2:3" x14ac:dyDescent="0.25">
      <c r="B332" s="12" t="s">
        <v>435</v>
      </c>
      <c r="C332" t="str">
        <f>IFERROR(VLOOKUP(B332,'Stmt of Cash Flow'!$B$9:$C$84,2,0)," ")</f>
        <v>Principal and Interest Paid on Lease Financing</v>
      </c>
    </row>
    <row r="333" spans="2:3" x14ac:dyDescent="0.25">
      <c r="B333" s="12" t="s">
        <v>436</v>
      </c>
      <c r="C333" t="str">
        <f>IFERROR(VLOOKUP(B333,'Stmt of Cash Flow'!$B$9:$C$84,2,0)," ")</f>
        <v>Lease Income</v>
      </c>
    </row>
    <row r="334" spans="2:3" x14ac:dyDescent="0.25">
      <c r="B334" s="12" t="s">
        <v>437</v>
      </c>
      <c r="C334" t="str">
        <f>IFERROR(VLOOKUP(B334,'Stmt of Cash Flow'!$B$9:$C$84,2,0)," ")</f>
        <v>Other Receipts (Payments)_</v>
      </c>
    </row>
    <row r="335" spans="2:3" x14ac:dyDescent="0.25">
      <c r="B335" s="12" t="s">
        <v>438</v>
      </c>
      <c r="C335" t="str">
        <f>IFERROR(VLOOKUP(B335,'Stmt of Cash Flow'!$B$9:$C$84,2,0)," ")</f>
        <v>NET CASH PROVIDED (USED) BY CAPITAL AND RELATED FINANCING ACTIVITIES</v>
      </c>
    </row>
    <row r="336" spans="2:3" x14ac:dyDescent="0.25">
      <c r="B336" s="12" t="s">
        <v>439</v>
      </c>
      <c r="C336" t="str">
        <f>IFERROR(VLOOKUP(B336,'Stmt of Cash Flow'!$B$9:$C$84,2,0)," ")</f>
        <v xml:space="preserve"> </v>
      </c>
    </row>
    <row r="337" spans="2:3" x14ac:dyDescent="0.25">
      <c r="B337" s="12" t="s">
        <v>440</v>
      </c>
      <c r="C337" t="str">
        <f>IFERROR(VLOOKUP(B337,'Stmt of Cash Flow'!$B$9:$C$84,2,0)," ")</f>
        <v xml:space="preserve"> </v>
      </c>
    </row>
    <row r="338" spans="2:3" x14ac:dyDescent="0.25">
      <c r="B338" s="12" t="s">
        <v>441</v>
      </c>
      <c r="C338" t="str">
        <f>IFERROR(VLOOKUP(B338,'Stmt of Cash Flow'!$B$9:$C$84,2,0)," ")</f>
        <v>Proceeds from Sales and Maturities of Investments</v>
      </c>
    </row>
    <row r="339" spans="2:3" x14ac:dyDescent="0.25">
      <c r="B339" s="12" t="s">
        <v>442</v>
      </c>
      <c r="C339" t="str">
        <f>IFERROR(VLOOKUP(B339,'Stmt of Cash Flow'!$B$9:$C$84,2,0)," ")</f>
        <v>Purchase of Investments</v>
      </c>
    </row>
    <row r="340" spans="2:3" x14ac:dyDescent="0.25">
      <c r="B340" s="12" t="s">
        <v>443</v>
      </c>
      <c r="C340" t="str">
        <f>IFERROR(VLOOKUP(B340,'Stmt of Cash Flow'!$B$9:$C$84,2,0)," ")</f>
        <v>Interest and Dividends Received</v>
      </c>
    </row>
    <row r="341" spans="2:3" x14ac:dyDescent="0.25">
      <c r="B341" s="12" t="s">
        <v>444</v>
      </c>
      <c r="C341" t="str">
        <f>IFERROR(VLOOKUP(B341,'Stmt of Cash Flow'!$B$9:$C$84,2,0)," ")</f>
        <v>NET CASH PROVIDED (USED) BY INVESTING ACTIVITIES</v>
      </c>
    </row>
    <row r="342" spans="2:3" x14ac:dyDescent="0.25">
      <c r="B342" s="12" t="s">
        <v>445</v>
      </c>
      <c r="C342" t="str">
        <f>IFERROR(VLOOKUP(B342,'Stmt of Cash Flow'!$B$9:$C$84,2,0)," ")</f>
        <v xml:space="preserve"> </v>
      </c>
    </row>
    <row r="343" spans="2:3" x14ac:dyDescent="0.25">
      <c r="B343" s="12" t="s">
        <v>446</v>
      </c>
      <c r="C343" t="str">
        <f>IFERROR(VLOOKUP(B343,'Stmt of Cash Flow'!$B$9:$C$84,2,0)," ")</f>
        <v>INCREASE (DECREASE) IN CASH AND CASH EQUIVALENTS</v>
      </c>
    </row>
    <row r="344" spans="2:3" x14ac:dyDescent="0.25">
      <c r="B344" s="12" t="s">
        <v>447</v>
      </c>
      <c r="C344" t="str">
        <f>IFERROR(VLOOKUP(B344,'Stmt of Cash Flow'!$B$9:$C$84,2,0)," ")</f>
        <v xml:space="preserve"> </v>
      </c>
    </row>
    <row r="345" spans="2:3" x14ac:dyDescent="0.25">
      <c r="B345" s="12" t="s">
        <v>448</v>
      </c>
      <c r="C345" t="str">
        <f>IFERROR(VLOOKUP(B345,'Stmt of Cash Flow'!$B$9:$C$84,2,0)," ")</f>
        <v>CASH AND CASH EQUIVALENTS - BEGINNING</v>
      </c>
    </row>
    <row r="346" spans="2:3" x14ac:dyDescent="0.25">
      <c r="B346" s="12" t="s">
        <v>449</v>
      </c>
      <c r="C346" t="str">
        <f>IFERROR(VLOOKUP(B346,'Stmt of Cash Flow'!$B$9:$C$84,2,0)," ")</f>
        <v>PRIOR PERIOD ADJUSTMENT</v>
      </c>
    </row>
    <row r="347" spans="2:3" x14ac:dyDescent="0.25">
      <c r="B347" s="12" t="s">
        <v>450</v>
      </c>
      <c r="C347" t="str">
        <f>IFERROR(VLOOKUP(B347,'Stmt of Cash Flow'!$B$9:$C$84,2,0)," ")</f>
        <v>CASH AND CASH EQUIVALENTS - ENDING</v>
      </c>
    </row>
    <row r="348" spans="2:3" x14ac:dyDescent="0.25">
      <c r="B348" s="12" t="s">
        <v>451</v>
      </c>
      <c r="C348" t="str">
        <f>IFERROR(VLOOKUP(B348,'Stmt of Cash Flow'!$B$9:$C$84,2,0)," ")</f>
        <v xml:space="preserve"> </v>
      </c>
    </row>
    <row r="349" spans="2:3" x14ac:dyDescent="0.25">
      <c r="B349" s="12" t="s">
        <v>452</v>
      </c>
      <c r="C349" t="str">
        <f>IFERROR(VLOOKUP(B349,'Stmt of Cash Flow'!$B$9:$C$84,2,0)," ")</f>
        <v xml:space="preserve"> </v>
      </c>
    </row>
    <row r="350" spans="2:3" x14ac:dyDescent="0.25">
      <c r="B350" s="12" t="s">
        <v>453</v>
      </c>
      <c r="C350" t="str">
        <f>IFERROR(VLOOKUP(B350,'Stmt of Cash Flow'!$B$9:$C$84,2,0)," ")</f>
        <v xml:space="preserve"> </v>
      </c>
    </row>
    <row r="351" spans="2:3" x14ac:dyDescent="0.25">
      <c r="B351" s="12" t="s">
        <v>454</v>
      </c>
      <c r="C351" t="str">
        <f>IFERROR(VLOOKUP(B351,'Stmt of Cash Flow'!$B$9:$C$84,2,0)," ")</f>
        <v xml:space="preserve"> </v>
      </c>
    </row>
    <row r="352" spans="2:3" x14ac:dyDescent="0.25">
      <c r="B352" s="12" t="s">
        <v>455</v>
      </c>
      <c r="C352" t="str">
        <f>IFERROR(VLOOKUP(B352,'Stmt of Cash Flow'!$B$9:$C$84,2,0)," ")</f>
        <v xml:space="preserve"> </v>
      </c>
    </row>
    <row r="353" spans="2:3" x14ac:dyDescent="0.25">
      <c r="B353" s="12" t="s">
        <v>456</v>
      </c>
      <c r="C353" t="str">
        <f>IFERROR(VLOOKUP(B353,'Stmt of Cash Flow'!$B$9:$C$84,2,0)," ")</f>
        <v>OPERATING NET INCOME</v>
      </c>
    </row>
    <row r="354" spans="2:3" x14ac:dyDescent="0.25">
      <c r="B354" s="12" t="s">
        <v>457</v>
      </c>
      <c r="C354" t="str">
        <f>IFERROR(VLOOKUP(B354,'Stmt of Cash Flow'!$B$9:$C$84,2,0)," ")</f>
        <v>Adjustment to Reconcile Operating Inc to Net Cash Provided (Used) by Operating Activities</v>
      </c>
    </row>
    <row r="355" spans="2:3" x14ac:dyDescent="0.25">
      <c r="B355" s="12" t="s">
        <v>458</v>
      </c>
      <c r="C355" t="str">
        <f>IFERROR(VLOOKUP(B355,'Stmt of Cash Flow'!$B$9:$C$84,2,0)," ")</f>
        <v>Depreciation Expense</v>
      </c>
    </row>
    <row r="356" spans="2:3" x14ac:dyDescent="0.25">
      <c r="B356" s="12" t="s">
        <v>459</v>
      </c>
      <c r="C356" t="str">
        <f>IFERROR(VLOOKUP(B356,'Stmt of Cash Flow'!$B$9:$C$84,2,0)," ")</f>
        <v>Change in Assets and Liabilities</v>
      </c>
    </row>
    <row r="357" spans="2:3" x14ac:dyDescent="0.25">
      <c r="B357" s="12" t="s">
        <v>460</v>
      </c>
      <c r="C357" t="str">
        <f>IFERROR(VLOOKUP(B357,'Stmt of Cash Flow'!$B$9:$C$84,2,0)," ")</f>
        <v>Receivables, Net</v>
      </c>
    </row>
    <row r="358" spans="2:3" x14ac:dyDescent="0.25">
      <c r="B358" s="12" t="s">
        <v>461</v>
      </c>
      <c r="C358" t="str">
        <f>IFERROR(VLOOKUP(B358,'Stmt of Cash Flow'!$B$9:$C$84,2,0)," ")</f>
        <v>Prepaids</v>
      </c>
    </row>
    <row r="359" spans="2:3" x14ac:dyDescent="0.25">
      <c r="B359" s="12" t="s">
        <v>462</v>
      </c>
      <c r="C359" t="str">
        <f>IFERROR(VLOOKUP(B359,'Stmt of Cash Flow'!$B$9:$C$84,2,0)," ")</f>
        <v>Inventories</v>
      </c>
    </row>
    <row r="360" spans="2:3" x14ac:dyDescent="0.25">
      <c r="B360" s="12" t="s">
        <v>463</v>
      </c>
      <c r="C360" t="str">
        <f>IFERROR(VLOOKUP(B360,'Stmt of Cash Flow'!$B$9:$C$84,2,0)," ")</f>
        <v>Accounts and Other Payables</v>
      </c>
    </row>
    <row r="361" spans="2:3" x14ac:dyDescent="0.25">
      <c r="B361" s="12" t="s">
        <v>464</v>
      </c>
      <c r="C361" t="str">
        <f>IFERROR(VLOOKUP(B361,'Stmt of Cash Flow'!$B$9:$C$84,2,0)," ")</f>
        <v>Accrued Expenses</v>
      </c>
    </row>
    <row r="362" spans="2:3" x14ac:dyDescent="0.25">
      <c r="B362" s="12" t="s">
        <v>465</v>
      </c>
      <c r="C362" t="str">
        <f>IFERROR(VLOOKUP(B362,'Stmt of Cash Flow'!$B$9:$C$84,2,0)," ")</f>
        <v>Unearned Revenue</v>
      </c>
    </row>
    <row r="363" spans="2:3" x14ac:dyDescent="0.25">
      <c r="B363" s="12" t="s">
        <v>466</v>
      </c>
      <c r="C363" t="str">
        <f>IFERROR(VLOOKUP(B363,'Stmt of Cash Flow'!$B$9:$C$84,2,0)," ")</f>
        <v>Pension Expense from change in Net Pension Liability</v>
      </c>
    </row>
    <row r="364" spans="2:3" x14ac:dyDescent="0.25">
      <c r="B364" s="12" t="s">
        <v>467</v>
      </c>
      <c r="C364" t="str">
        <f>IFERROR(VLOOKUP(B364,'Stmt of Cash Flow'!$B$9:$C$84,2,0)," ")</f>
        <v>Change in Deferred Outflows</v>
      </c>
    </row>
    <row r="365" spans="2:3" x14ac:dyDescent="0.25">
      <c r="B365" s="12" t="s">
        <v>468</v>
      </c>
      <c r="C365" t="str">
        <f>IFERROR(VLOOKUP(B365,'Stmt of Cash Flow'!$B$9:$C$84,2,0)," ")</f>
        <v>Change in Deferred Inflows</v>
      </c>
    </row>
    <row r="366" spans="2:3" x14ac:dyDescent="0.25">
      <c r="B366" s="12" t="s">
        <v>469</v>
      </c>
      <c r="C366" t="str">
        <f>IFERROR(VLOOKUP(B366,'Stmt of Cash Flow'!$B$9:$C$84,2,0)," ")</f>
        <v>Change in Net Pension Liability</v>
      </c>
    </row>
    <row r="367" spans="2:3" x14ac:dyDescent="0.25">
      <c r="B367" s="12" t="s">
        <v>470</v>
      </c>
      <c r="C367" t="str">
        <f>IFERROR(VLOOKUP(B367,'Stmt of Cash Flow'!$B$9:$C$84,2,0)," ")</f>
        <v>OPEB Expense from change in Net OPEB Liability</v>
      </c>
    </row>
    <row r="368" spans="2:3" x14ac:dyDescent="0.25">
      <c r="B368" s="12" t="s">
        <v>471</v>
      </c>
      <c r="C368" t="str">
        <f>IFERROR(VLOOKUP(B368,'Stmt of Cash Flow'!$B$9:$C$84,2,0)," ")</f>
        <v>Change in Deferred Outflows_</v>
      </c>
    </row>
    <row r="369" spans="2:3" x14ac:dyDescent="0.25">
      <c r="B369" s="12" t="s">
        <v>472</v>
      </c>
      <c r="C369" t="str">
        <f>IFERROR(VLOOKUP(B369,'Stmt of Cash Flow'!$B$9:$C$84,2,0)," ")</f>
        <v>Change in Deferred Inflows_</v>
      </c>
    </row>
    <row r="370" spans="2:3" x14ac:dyDescent="0.25">
      <c r="B370" s="12" t="s">
        <v>473</v>
      </c>
      <c r="C370" t="str">
        <f>IFERROR(VLOOKUP(B370,'Stmt of Cash Flow'!$B$9:$C$84,2,0)," ")</f>
        <v>Change in Net OPEB Liability_</v>
      </c>
    </row>
    <row r="371" spans="2:3" x14ac:dyDescent="0.25">
      <c r="B371" s="12" t="s">
        <v>474</v>
      </c>
      <c r="C371" t="str">
        <f>IFERROR(VLOOKUP(B371,'Stmt of Cash Flow'!$B$9:$C$84,2,0)," ")</f>
        <v>Other Changes for Insurance Funds</v>
      </c>
    </row>
    <row r="372" spans="2:3" x14ac:dyDescent="0.25">
      <c r="B372" s="12" t="s">
        <v>475</v>
      </c>
      <c r="C372" t="str">
        <f>IFERROR(VLOOKUP(B372,'Stmt of Cash Flow'!$B$9:$C$84,2,0)," ")</f>
        <v>Claims Reserve-Current</v>
      </c>
    </row>
    <row r="373" spans="2:3" x14ac:dyDescent="0.25">
      <c r="B373" s="12" t="s">
        <v>476</v>
      </c>
      <c r="C373" t="str">
        <f>IFERROR(VLOOKUP(B373,'Stmt of Cash Flow'!$B$9:$C$84,2,0)," ")</f>
        <v>Claims Reserve-Prior Year</v>
      </c>
    </row>
    <row r="374" spans="2:3" x14ac:dyDescent="0.25">
      <c r="B374" s="12" t="s">
        <v>477</v>
      </c>
      <c r="C374" t="str">
        <f>IFERROR(VLOOKUP(B374,'Stmt of Cash Flow'!$B$9:$C$84,2,0)," ")</f>
        <v>IBNR-Current</v>
      </c>
    </row>
    <row r="375" spans="2:3" x14ac:dyDescent="0.25">
      <c r="B375" s="12" t="s">
        <v>478</v>
      </c>
      <c r="C375" t="str">
        <f>IFERROR(VLOOKUP(B375,'Stmt of Cash Flow'!$B$9:$C$84,2,0)," ")</f>
        <v>IBNR-Prior Year</v>
      </c>
    </row>
    <row r="376" spans="2:3" x14ac:dyDescent="0.25">
      <c r="B376" s="12" t="s">
        <v>479</v>
      </c>
      <c r="C376" t="str">
        <f>IFERROR(VLOOKUP(B376,'Stmt of Cash Flow'!$B$9:$C$84,2,0)," ")</f>
        <v>Future L&amp;I Assessments</v>
      </c>
    </row>
    <row r="377" spans="2:3" x14ac:dyDescent="0.25">
      <c r="B377" s="12" t="s">
        <v>480</v>
      </c>
      <c r="C377" t="str">
        <f>IFERROR(VLOOKUP(B377,'Stmt of Cash Flow'!$B$9:$C$84,2,0)," ")</f>
        <v>Provision for Unallocated Loss Adjustment</v>
      </c>
    </row>
    <row r="378" spans="2:3" x14ac:dyDescent="0.25">
      <c r="B378" s="12" t="s">
        <v>481</v>
      </c>
      <c r="C378" t="str">
        <f>IFERROR(VLOOKUP(B378,'Stmt of Cash Flow'!$B$9:$C$84,2,0)," ")</f>
        <v>Unearned Member Assessments</v>
      </c>
    </row>
    <row r="379" spans="2:3" x14ac:dyDescent="0.25">
      <c r="B379" s="12" t="s">
        <v>482</v>
      </c>
      <c r="C379" t="str">
        <f>IFERROR(VLOOKUP(B379,'Stmt of Cash Flow'!$B$9:$C$84,2,0)," ")</f>
        <v>Insurance Recoverables</v>
      </c>
    </row>
    <row r="380" spans="2:3" x14ac:dyDescent="0.25">
      <c r="B380" s="12" t="s">
        <v>483</v>
      </c>
      <c r="C380" t="str">
        <f>IFERROR(VLOOKUP(B380,'Stmt of Cash Flow'!$B$9:$C$84,2,0)," ")</f>
        <v>Claim Reserves</v>
      </c>
    </row>
    <row r="381" spans="2:3" x14ac:dyDescent="0.25">
      <c r="B381" s="12" t="s">
        <v>484</v>
      </c>
      <c r="C381" t="str">
        <f>IFERROR(VLOOKUP(B381,'Stmt of Cash Flow'!$B$9:$C$84,2,0)," ")</f>
        <v>NET CASH PROVIDED (USED) BY OPERATING ACTIVITIES_</v>
      </c>
    </row>
    <row r="382" spans="2:3" x14ac:dyDescent="0.25">
      <c r="B382" s="12" t="s">
        <v>598</v>
      </c>
      <c r="C382" t="str">
        <f>IFERROR(VLOOKUP(B382,'Stmt of Cash Flow'!$B$9:$C$84,2,0)," ")</f>
        <v xml:space="preserve"> </v>
      </c>
    </row>
    <row r="383" spans="2:3" hidden="1" x14ac:dyDescent="0.25">
      <c r="B383" s="12" t="s">
        <v>599</v>
      </c>
      <c r="C383" t="str">
        <f>IFERROR(VLOOKUP(B383,'Stmt of Cash Flow'!$B$9:$C$84,2,0)," ")</f>
        <v xml:space="preserve"> </v>
      </c>
    </row>
    <row r="384" spans="2:3" hidden="1" x14ac:dyDescent="0.25">
      <c r="B384" s="12" t="s">
        <v>600</v>
      </c>
      <c r="C384" t="str">
        <f>IFERROR(VLOOKUP(B384,'Stmt of Cash Flow'!$B$9:$C$84,2,0)," ")</f>
        <v xml:space="preserve"> </v>
      </c>
    </row>
    <row r="385" spans="2:3" hidden="1" x14ac:dyDescent="0.25">
      <c r="B385" s="12" t="s">
        <v>601</v>
      </c>
      <c r="C385" t="str">
        <f>IFERROR(VLOOKUP(B385,'Stmt of Cash Flow'!$B$9:$C$84,2,0)," ")</f>
        <v xml:space="preserve"> </v>
      </c>
    </row>
    <row r="386" spans="2:3" hidden="1" x14ac:dyDescent="0.25">
      <c r="B386" s="12" t="s">
        <v>602</v>
      </c>
      <c r="C386" t="str">
        <f>IFERROR(VLOOKUP(B386,'Stmt of Cash Flow'!$B$9:$C$84,2,0)," ")</f>
        <v xml:space="preserve"> </v>
      </c>
    </row>
    <row r="387" spans="2:3" hidden="1" x14ac:dyDescent="0.25">
      <c r="B387" s="12" t="s">
        <v>603</v>
      </c>
      <c r="C387" t="str">
        <f>IFERROR(VLOOKUP(B387,'Stmt of Cash Flow'!$B$9:$C$84,2,0)," ")</f>
        <v xml:space="preserve"> </v>
      </c>
    </row>
    <row r="388" spans="2:3" hidden="1" x14ac:dyDescent="0.25">
      <c r="B388" s="12" t="s">
        <v>604</v>
      </c>
      <c r="C388" t="str">
        <f>IFERROR(VLOOKUP(B388,'Stmt of Cash Flow'!$B$9:$C$84,2,0)," ")</f>
        <v xml:space="preserve"> </v>
      </c>
    </row>
    <row r="389" spans="2:3" hidden="1" x14ac:dyDescent="0.25">
      <c r="B389" s="12" t="s">
        <v>605</v>
      </c>
      <c r="C389" t="str">
        <f>IFERROR(VLOOKUP(B389,'Stmt of Cash Flow'!$B$9:$C$84,2,0)," ")</f>
        <v xml:space="preserve"> </v>
      </c>
    </row>
    <row r="390" spans="2:3" hidden="1" x14ac:dyDescent="0.25">
      <c r="B390" s="12" t="s">
        <v>606</v>
      </c>
      <c r="C390" t="str">
        <f>IFERROR(VLOOKUP(B390,'Stmt of Cash Flow'!$B$9:$C$84,2,0)," ")</f>
        <v xml:space="preserve"> </v>
      </c>
    </row>
    <row r="391" spans="2:3" hidden="1" x14ac:dyDescent="0.25">
      <c r="B391" s="12" t="s">
        <v>607</v>
      </c>
      <c r="C391" t="str">
        <f>IFERROR(VLOOKUP(B391,'Stmt of Cash Flow'!$B$9:$C$84,2,0)," ")</f>
        <v xml:space="preserve"> </v>
      </c>
    </row>
    <row r="392" spans="2:3" hidden="1" x14ac:dyDescent="0.25">
      <c r="B392" s="12" t="s">
        <v>608</v>
      </c>
      <c r="C392" t="str">
        <f>IFERROR(VLOOKUP(B392,'Stmt of Cash Flow'!$B$9:$C$84,2,0)," ")</f>
        <v xml:space="preserve"> </v>
      </c>
    </row>
    <row r="393" spans="2:3" hidden="1" x14ac:dyDescent="0.25">
      <c r="B393" s="12" t="s">
        <v>609</v>
      </c>
      <c r="C393" t="str">
        <f>IFERROR(VLOOKUP(B393,'Stmt of Cash Flow'!$B$9:$C$84,2,0)," ")</f>
        <v xml:space="preserve"> </v>
      </c>
    </row>
    <row r="394" spans="2:3" hidden="1" x14ac:dyDescent="0.25">
      <c r="B394" s="12" t="s">
        <v>610</v>
      </c>
      <c r="C394" t="str">
        <f>IFERROR(VLOOKUP(B394,'Stmt of Cash Flow'!$B$9:$C$84,2,0)," ")</f>
        <v xml:space="preserve"> </v>
      </c>
    </row>
    <row r="395" spans="2:3" hidden="1" x14ac:dyDescent="0.25">
      <c r="B395" s="12" t="s">
        <v>611</v>
      </c>
      <c r="C395" t="str">
        <f>IFERROR(VLOOKUP(B395,'Stmt of Cash Flow'!$B$9:$C$84,2,0)," ")</f>
        <v xml:space="preserve"> </v>
      </c>
    </row>
    <row r="396" spans="2:3" hidden="1" x14ac:dyDescent="0.25">
      <c r="B396" s="12" t="s">
        <v>612</v>
      </c>
      <c r="C396" t="str">
        <f>IFERROR(VLOOKUP(B396,'Stmt of Cash Flow'!$B$9:$C$84,2,0)," ")</f>
        <v xml:space="preserve"> </v>
      </c>
    </row>
    <row r="397" spans="2:3" hidden="1" x14ac:dyDescent="0.25">
      <c r="B397" s="12" t="s">
        <v>613</v>
      </c>
      <c r="C397" t="str">
        <f>IFERROR(VLOOKUP(B397,'Stmt of Cash Flow'!$B$9:$C$84,2,0)," ")</f>
        <v xml:space="preserve"> </v>
      </c>
    </row>
    <row r="398" spans="2:3" hidden="1" x14ac:dyDescent="0.25">
      <c r="B398" s="12" t="s">
        <v>614</v>
      </c>
      <c r="C398" t="str">
        <f>IFERROR(VLOOKUP(B398,'Stmt of Cash Flow'!$B$9:$C$84,2,0)," ")</f>
        <v xml:space="preserve"> </v>
      </c>
    </row>
    <row r="399" spans="2:3" hidden="1" x14ac:dyDescent="0.25">
      <c r="B399" s="12" t="s">
        <v>615</v>
      </c>
      <c r="C399" t="str">
        <f>IFERROR(VLOOKUP(B399,'Stmt of Cash Flow'!$B$9:$C$84,2,0)," ")</f>
        <v xml:space="preserve"> </v>
      </c>
    </row>
    <row r="400" spans="2:3" hidden="1" x14ac:dyDescent="0.25">
      <c r="B400" s="12" t="s">
        <v>616</v>
      </c>
      <c r="C400" t="str">
        <f>IFERROR(VLOOKUP(B400,'Stmt of Cash Flow'!$B$9:$C$84,2,0)," ")</f>
        <v xml:space="preserve"> </v>
      </c>
    </row>
    <row r="401" spans="2:3" hidden="1" x14ac:dyDescent="0.25">
      <c r="B401" s="12" t="s">
        <v>617</v>
      </c>
      <c r="C401" t="str">
        <f>IFERROR(VLOOKUP(B401,'Stmt of Cash Flow'!$B$9:$C$84,2,0)," ")</f>
        <v xml:space="preserve"> </v>
      </c>
    </row>
    <row r="402" spans="2:3" x14ac:dyDescent="0.25">
      <c r="B402" s="82" t="s">
        <v>618</v>
      </c>
      <c r="C402" s="83" t="s">
        <v>1128</v>
      </c>
    </row>
    <row r="403" spans="2:3" x14ac:dyDescent="0.25">
      <c r="B403" s="12" t="s">
        <v>619</v>
      </c>
      <c r="C403" t="str">
        <f>IFERROR(VLOOKUP(B403,'Fiduciary Net Position'!$B$8:$C$22,2,0)," ")</f>
        <v>Cash and Cash Equivalents</v>
      </c>
    </row>
    <row r="404" spans="2:3" x14ac:dyDescent="0.25">
      <c r="B404" s="12" t="s">
        <v>620</v>
      </c>
      <c r="C404" t="str">
        <f>IFERROR(VLOOKUP(B404,'Fiduciary Net Position'!$B$8:$C$22,2,0)," ")</f>
        <v>Investments</v>
      </c>
    </row>
    <row r="405" spans="2:3" x14ac:dyDescent="0.25">
      <c r="B405" s="12" t="s">
        <v>621</v>
      </c>
      <c r="C405" t="str">
        <f>IFERROR(VLOOKUP(B405,'Fiduciary Net Position'!$B$8:$C$22,2,0)," ")</f>
        <v>Accounts Receivable</v>
      </c>
    </row>
    <row r="406" spans="2:3" x14ac:dyDescent="0.25">
      <c r="B406" s="12" t="s">
        <v>622</v>
      </c>
      <c r="C406" t="str">
        <f>IFERROR(VLOOKUP(B406,'Fiduciary Net Position'!$B$8:$C$22,2,0)," ")</f>
        <v>Assets Used in Operations</v>
      </c>
    </row>
    <row r="407" spans="2:3" x14ac:dyDescent="0.25">
      <c r="B407" s="12" t="s">
        <v>623</v>
      </c>
      <c r="C407" t="str">
        <f>IFERROR(VLOOKUP(B407,'Fiduciary Net Position'!$B$8:$C$22,2,0)," ")</f>
        <v xml:space="preserve">TOTAL ASSETS </v>
      </c>
    </row>
    <row r="408" spans="2:3" x14ac:dyDescent="0.25">
      <c r="B408" s="12" t="s">
        <v>624</v>
      </c>
      <c r="C408" t="str">
        <f>IFERROR(VLOOKUP(B408,'Fiduciary Net Position'!$B$8:$C$22,2,0)," ")</f>
        <v xml:space="preserve"> </v>
      </c>
    </row>
    <row r="409" spans="2:3" x14ac:dyDescent="0.25">
      <c r="B409" s="12" t="s">
        <v>625</v>
      </c>
      <c r="C409" t="str">
        <f>IFERROR(VLOOKUP(B409,'Fiduciary Net Position'!$B$8:$C$22,2,0)," ")</f>
        <v xml:space="preserve"> </v>
      </c>
    </row>
    <row r="410" spans="2:3" x14ac:dyDescent="0.25">
      <c r="B410" s="12" t="s">
        <v>626</v>
      </c>
      <c r="C410" t="str">
        <f>IFERROR(VLOOKUP(B410,'Fiduciary Net Position'!$B$8:$C$22,2,0)," ")</f>
        <v>Accounts Payable and Other Liabilities</v>
      </c>
    </row>
    <row r="411" spans="2:3" x14ac:dyDescent="0.25">
      <c r="B411" s="12" t="s">
        <v>627</v>
      </c>
      <c r="C411" t="str">
        <f>IFERROR(VLOOKUP(B411,'Fiduciary Net Position'!$B$8:$C$22,2,0)," ")</f>
        <v>Program Refunds Payable to JV Participants</v>
      </c>
    </row>
    <row r="412" spans="2:3" x14ac:dyDescent="0.25">
      <c r="B412" s="12" t="s">
        <v>628</v>
      </c>
      <c r="C412" t="str">
        <f>IFERROR(VLOOKUP(B412,'Fiduciary Net Position'!$B$8:$C$22,2,0)," ")</f>
        <v>Due to Local Governments</v>
      </c>
    </row>
    <row r="413" spans="2:3" x14ac:dyDescent="0.25">
      <c r="B413" s="12" t="s">
        <v>629</v>
      </c>
      <c r="C413" t="str">
        <f>IFERROR(VLOOKUP(B413,'Fiduciary Net Position'!$B$8:$C$22,2,0)," ")</f>
        <v>TOTAL LIABILITIES</v>
      </c>
    </row>
    <row r="414" spans="2:3" x14ac:dyDescent="0.25">
      <c r="B414" s="12" t="s">
        <v>630</v>
      </c>
      <c r="C414" t="str">
        <f>IFERROR(VLOOKUP(B414,'Fiduciary Net Position'!$B$8:$C$22,2,0)," ")</f>
        <v xml:space="preserve"> </v>
      </c>
    </row>
    <row r="415" spans="2:3" x14ac:dyDescent="0.25">
      <c r="B415" s="12" t="s">
        <v>631</v>
      </c>
      <c r="C415" t="str">
        <f>IFERROR(VLOOKUP(B415,'Fiduciary Net Position'!$B$8:$C$22,2,0)," ")</f>
        <v xml:space="preserve"> </v>
      </c>
    </row>
    <row r="416" spans="2:3" x14ac:dyDescent="0.25">
      <c r="B416" s="12" t="s">
        <v>632</v>
      </c>
      <c r="C416" t="str">
        <f>IFERROR(VLOOKUP(B416,'Fiduciary Net Position'!$B$8:$C$22,2,0)," ")</f>
        <v xml:space="preserve"> </v>
      </c>
    </row>
    <row r="417" spans="2:3" x14ac:dyDescent="0.25">
      <c r="B417" s="12" t="s">
        <v>633</v>
      </c>
      <c r="C417" t="str">
        <f>IFERROR(VLOOKUP(B417,'Fiduciary Net Position'!$B$8:$C$22,2,0)," ")</f>
        <v>Restricted for: Individuals, Orgs, and Other Govmts</v>
      </c>
    </row>
    <row r="418" spans="2:3" x14ac:dyDescent="0.25">
      <c r="B418" s="12" t="s">
        <v>634</v>
      </c>
      <c r="C418" t="str">
        <f>IFERROR(VLOOKUP(B418,'Fiduciary Net Position'!$B$8:$C$22,2,0)," ")</f>
        <v>TOTAL NET POSITION</v>
      </c>
    </row>
    <row r="419" spans="2:3" x14ac:dyDescent="0.25">
      <c r="B419" s="12" t="s">
        <v>635</v>
      </c>
      <c r="C419" t="str">
        <f>IFERROR(VLOOKUP(B419,'Fiduciary Net Position'!$B$8:$C$22,2,0)," ")</f>
        <v xml:space="preserve"> </v>
      </c>
    </row>
    <row r="420" spans="2:3" hidden="1" x14ac:dyDescent="0.25">
      <c r="B420" s="12" t="s">
        <v>636</v>
      </c>
      <c r="C420" t="str">
        <f>IFERROR(VLOOKUP(B420,'Fiduciary Net Position'!$B$8:$C$22,2,0)," ")</f>
        <v xml:space="preserve"> </v>
      </c>
    </row>
    <row r="421" spans="2:3" hidden="1" x14ac:dyDescent="0.25">
      <c r="B421" s="12" t="s">
        <v>637</v>
      </c>
      <c r="C421" t="str">
        <f>IFERROR(VLOOKUP(B421,'Fiduciary Net Position'!$B$8:$C$22,2,0)," ")</f>
        <v xml:space="preserve"> </v>
      </c>
    </row>
    <row r="422" spans="2:3" hidden="1" x14ac:dyDescent="0.25">
      <c r="B422" s="12" t="s">
        <v>638</v>
      </c>
      <c r="C422" t="str">
        <f>IFERROR(VLOOKUP(B422,'Fiduciary Net Position'!$B$8:$C$22,2,0)," ")</f>
        <v xml:space="preserve"> </v>
      </c>
    </row>
    <row r="423" spans="2:3" hidden="1" x14ac:dyDescent="0.25">
      <c r="B423" s="12" t="s">
        <v>639</v>
      </c>
      <c r="C423" t="str">
        <f>IFERROR(VLOOKUP(B423,'Fiduciary Net Position'!$B$8:$C$22,2,0)," ")</f>
        <v xml:space="preserve"> </v>
      </c>
    </row>
    <row r="424" spans="2:3" hidden="1" x14ac:dyDescent="0.25">
      <c r="B424" s="12" t="s">
        <v>640</v>
      </c>
      <c r="C424" t="str">
        <f>IFERROR(VLOOKUP(B424,'Fiduciary Net Position'!$B$8:$C$22,2,0)," ")</f>
        <v xml:space="preserve"> </v>
      </c>
    </row>
    <row r="425" spans="2:3" hidden="1" x14ac:dyDescent="0.25">
      <c r="B425" s="12" t="s">
        <v>641</v>
      </c>
      <c r="C425" t="str">
        <f>IFERROR(VLOOKUP(B425,'Fiduciary Net Position'!$B$8:$C$22,2,0)," ")</f>
        <v xml:space="preserve"> </v>
      </c>
    </row>
    <row r="426" spans="2:3" hidden="1" x14ac:dyDescent="0.25">
      <c r="B426" s="12" t="s">
        <v>642</v>
      </c>
      <c r="C426" t="str">
        <f>IFERROR(VLOOKUP(B426,'Fiduciary Net Position'!$B$8:$C$22,2,0)," ")</f>
        <v xml:space="preserve"> </v>
      </c>
    </row>
    <row r="427" spans="2:3" hidden="1" x14ac:dyDescent="0.25">
      <c r="B427" s="12" t="s">
        <v>643</v>
      </c>
      <c r="C427" t="str">
        <f>IFERROR(VLOOKUP(B427,'Fiduciary Net Position'!$B$8:$C$22,2,0)," ")</f>
        <v xml:space="preserve"> </v>
      </c>
    </row>
    <row r="428" spans="2:3" hidden="1" x14ac:dyDescent="0.25">
      <c r="B428" s="12" t="s">
        <v>644</v>
      </c>
      <c r="C428" t="str">
        <f>IFERROR(VLOOKUP(B428,'Fiduciary Net Position'!$B$8:$C$22,2,0)," ")</f>
        <v xml:space="preserve"> </v>
      </c>
    </row>
    <row r="429" spans="2:3" hidden="1" x14ac:dyDescent="0.25">
      <c r="B429" s="12" t="s">
        <v>645</v>
      </c>
      <c r="C429" t="str">
        <f>IFERROR(VLOOKUP(B429,'Fiduciary Net Position'!$B$8:$C$22,2,0)," ")</f>
        <v xml:space="preserve"> </v>
      </c>
    </row>
    <row r="430" spans="2:3" hidden="1" x14ac:dyDescent="0.25">
      <c r="B430" s="12" t="s">
        <v>646</v>
      </c>
      <c r="C430" t="str">
        <f>IFERROR(VLOOKUP(B430,'Fiduciary Net Position'!$B$8:$C$22,2,0)," ")</f>
        <v xml:space="preserve"> </v>
      </c>
    </row>
    <row r="431" spans="2:3" hidden="1" x14ac:dyDescent="0.25">
      <c r="B431" s="12" t="s">
        <v>647</v>
      </c>
      <c r="C431" t="str">
        <f>IFERROR(VLOOKUP(B431,'Fiduciary Net Position'!$B$8:$C$22,2,0)," ")</f>
        <v xml:space="preserve"> </v>
      </c>
    </row>
    <row r="432" spans="2:3" hidden="1" x14ac:dyDescent="0.25">
      <c r="B432" s="12" t="s">
        <v>648</v>
      </c>
      <c r="C432" t="str">
        <f>IFERROR(VLOOKUP(B432,'Fiduciary Net Position'!$B$8:$C$22,2,0)," ")</f>
        <v xml:space="preserve"> </v>
      </c>
    </row>
    <row r="433" spans="2:3" hidden="1" x14ac:dyDescent="0.25">
      <c r="B433" s="12" t="s">
        <v>649</v>
      </c>
      <c r="C433" t="str">
        <f>IFERROR(VLOOKUP(B433,'Fiduciary Net Position'!$B$8:$C$22,2,0)," ")</f>
        <v xml:space="preserve"> </v>
      </c>
    </row>
    <row r="434" spans="2:3" hidden="1" x14ac:dyDescent="0.25">
      <c r="B434" s="12" t="s">
        <v>650</v>
      </c>
      <c r="C434" t="str">
        <f>IFERROR(VLOOKUP(B434,'Fiduciary Net Position'!$B$8:$C$22,2,0)," ")</f>
        <v xml:space="preserve"> </v>
      </c>
    </row>
    <row r="435" spans="2:3" hidden="1" x14ac:dyDescent="0.25">
      <c r="B435" s="12" t="s">
        <v>651</v>
      </c>
      <c r="C435" t="str">
        <f>IFERROR(VLOOKUP(B435,'Fiduciary Net Position'!$B$8:$C$22,2,0)," ")</f>
        <v xml:space="preserve"> </v>
      </c>
    </row>
    <row r="436" spans="2:3" hidden="1" x14ac:dyDescent="0.25">
      <c r="B436" s="12" t="s">
        <v>652</v>
      </c>
      <c r="C436" t="str">
        <f>IFERROR(VLOOKUP(B436,'Fiduciary Net Position'!$B$8:$C$22,2,0)," ")</f>
        <v xml:space="preserve"> </v>
      </c>
    </row>
    <row r="437" spans="2:3" hidden="1" x14ac:dyDescent="0.25">
      <c r="B437" s="12" t="s">
        <v>653</v>
      </c>
      <c r="C437" t="str">
        <f>IFERROR(VLOOKUP(B437,'Fiduciary Net Position'!$B$8:$C$22,2,0)," ")</f>
        <v xml:space="preserve"> </v>
      </c>
    </row>
    <row r="438" spans="2:3" hidden="1" x14ac:dyDescent="0.25">
      <c r="B438" s="12" t="s">
        <v>654</v>
      </c>
      <c r="C438" t="str">
        <f>IFERROR(VLOOKUP(B438,'Fiduciary Net Position'!$B$8:$C$22,2,0)," ")</f>
        <v xml:space="preserve"> </v>
      </c>
    </row>
    <row r="439" spans="2:3" hidden="1" x14ac:dyDescent="0.25">
      <c r="B439" s="12" t="s">
        <v>655</v>
      </c>
      <c r="C439" t="str">
        <f>IFERROR(VLOOKUP(B439,'Fiduciary Net Position'!$B$8:$C$22,2,0)," ")</f>
        <v xml:space="preserve"> </v>
      </c>
    </row>
    <row r="440" spans="2:3" hidden="1" x14ac:dyDescent="0.25">
      <c r="B440" s="12" t="s">
        <v>656</v>
      </c>
      <c r="C440" t="str">
        <f>IFERROR(VLOOKUP(B440,'Fiduciary Net Position'!$B$8:$C$22,2,0)," ")</f>
        <v xml:space="preserve"> </v>
      </c>
    </row>
    <row r="441" spans="2:3" hidden="1" x14ac:dyDescent="0.25">
      <c r="B441" s="12" t="s">
        <v>657</v>
      </c>
      <c r="C441" t="str">
        <f>IFERROR(VLOOKUP(B441,'Fiduciary Net Position'!$B$8:$C$22,2,0)," ")</f>
        <v xml:space="preserve"> </v>
      </c>
    </row>
    <row r="442" spans="2:3" hidden="1" x14ac:dyDescent="0.25">
      <c r="B442" s="12" t="s">
        <v>658</v>
      </c>
      <c r="C442" t="str">
        <f>IFERROR(VLOOKUP(B442,'Fiduciary Net Position'!$B$8:$C$22,2,0)," ")</f>
        <v xml:space="preserve"> </v>
      </c>
    </row>
    <row r="443" spans="2:3" hidden="1" x14ac:dyDescent="0.25">
      <c r="B443" s="12" t="s">
        <v>659</v>
      </c>
      <c r="C443" t="str">
        <f>IFERROR(VLOOKUP(B443,'Fiduciary Net Position'!$B$8:$C$22,2,0)," ")</f>
        <v xml:space="preserve"> </v>
      </c>
    </row>
    <row r="444" spans="2:3" hidden="1" x14ac:dyDescent="0.25">
      <c r="B444" s="12" t="s">
        <v>660</v>
      </c>
      <c r="C444" t="str">
        <f>IFERROR(VLOOKUP(B444,'Fiduciary Net Position'!$B$8:$C$22,2,0)," ")</f>
        <v xml:space="preserve"> </v>
      </c>
    </row>
    <row r="445" spans="2:3" hidden="1" x14ac:dyDescent="0.25">
      <c r="B445" s="12" t="s">
        <v>661</v>
      </c>
      <c r="C445" t="str">
        <f>IFERROR(VLOOKUP(B445,'Fiduciary Net Position'!$B$8:$C$22,2,0)," ")</f>
        <v xml:space="preserve"> </v>
      </c>
    </row>
    <row r="446" spans="2:3" hidden="1" x14ac:dyDescent="0.25">
      <c r="B446" s="12" t="s">
        <v>662</v>
      </c>
      <c r="C446" t="str">
        <f>IFERROR(VLOOKUP(B446,'Fiduciary Net Position'!$B$8:$C$22,2,0)," ")</f>
        <v xml:space="preserve"> </v>
      </c>
    </row>
    <row r="447" spans="2:3" hidden="1" x14ac:dyDescent="0.25">
      <c r="B447" s="12" t="s">
        <v>663</v>
      </c>
      <c r="C447" t="str">
        <f>IFERROR(VLOOKUP(B447,'Fiduciary Net Position'!$B$8:$C$22,2,0)," ")</f>
        <v xml:space="preserve"> </v>
      </c>
    </row>
    <row r="448" spans="2:3" hidden="1" x14ac:dyDescent="0.25">
      <c r="B448" s="12" t="s">
        <v>664</v>
      </c>
      <c r="C448" t="str">
        <f>IFERROR(VLOOKUP(B448,'Fiduciary Net Position'!$B$8:$C$22,2,0)," ")</f>
        <v xml:space="preserve"> </v>
      </c>
    </row>
    <row r="449" spans="2:3" hidden="1" x14ac:dyDescent="0.25">
      <c r="B449" s="12" t="s">
        <v>665</v>
      </c>
      <c r="C449" t="str">
        <f>IFERROR(VLOOKUP(B449,'Fiduciary Net Position'!$B$8:$C$22,2,0)," ")</f>
        <v xml:space="preserve"> </v>
      </c>
    </row>
    <row r="450" spans="2:3" hidden="1" x14ac:dyDescent="0.25">
      <c r="B450" s="12" t="s">
        <v>666</v>
      </c>
      <c r="C450" t="str">
        <f>IFERROR(VLOOKUP(B450,'Fiduciary Net Position'!$B$8:$C$22,2,0)," ")</f>
        <v xml:space="preserve"> </v>
      </c>
    </row>
    <row r="451" spans="2:3" hidden="1" x14ac:dyDescent="0.25">
      <c r="B451" s="12" t="s">
        <v>667</v>
      </c>
      <c r="C451" t="str">
        <f>IFERROR(VLOOKUP(B451,'Fiduciary Net Position'!$B$8:$C$22,2,0)," ")</f>
        <v xml:space="preserve"> </v>
      </c>
    </row>
    <row r="452" spans="2:3" x14ac:dyDescent="0.25">
      <c r="B452" s="82" t="s">
        <v>668</v>
      </c>
      <c r="C452" s="83" t="s">
        <v>1150</v>
      </c>
    </row>
    <row r="453" spans="2:3" x14ac:dyDescent="0.25">
      <c r="B453" s="12" t="s">
        <v>669</v>
      </c>
      <c r="C453" t="str">
        <f>IFERROR(VLOOKUP(B453,'Fiduciary Changes'!$B$8:$C$31,2,0)," ")</f>
        <v>Employer Contributions</v>
      </c>
    </row>
    <row r="454" spans="2:3" x14ac:dyDescent="0.25">
      <c r="B454" s="12" t="s">
        <v>670</v>
      </c>
      <c r="C454" t="str">
        <f>IFERROR(VLOOKUP(B454,'Fiduciary Changes'!$B$8:$C$31,2,0)," ")</f>
        <v>Member Contributiuons</v>
      </c>
    </row>
    <row r="455" spans="2:3" x14ac:dyDescent="0.25">
      <c r="B455" s="12" t="s">
        <v>671</v>
      </c>
      <c r="C455" t="str">
        <f>IFERROR(VLOOKUP(B455,'Fiduciary Changes'!$B$8:$C$31,2,0)," ")</f>
        <v>Total Contributions</v>
      </c>
    </row>
    <row r="456" spans="2:3" x14ac:dyDescent="0.25">
      <c r="B456" s="12" t="s">
        <v>672</v>
      </c>
      <c r="C456" t="str">
        <f>IFERROR(VLOOKUP(B456,'Fiduciary Changes'!$B$8:$C$31,2,0)," ")</f>
        <v xml:space="preserve"> </v>
      </c>
    </row>
    <row r="457" spans="2:3" x14ac:dyDescent="0.25">
      <c r="B457" s="12" t="s">
        <v>673</v>
      </c>
      <c r="C457" t="str">
        <f>IFERROR(VLOOKUP(B457,'Fiduciary Changes'!$B$8:$C$31,2,0)," ")</f>
        <v>Investment Earnings</v>
      </c>
    </row>
    <row r="458" spans="2:3" x14ac:dyDescent="0.25">
      <c r="B458" s="12" t="s">
        <v>674</v>
      </c>
      <c r="C458" t="str">
        <f>IFERROR(VLOOKUP(B458,'Fiduciary Changes'!$B$8:$C$31,2,0)," ")</f>
        <v>Interest</v>
      </c>
    </row>
    <row r="459" spans="2:3" x14ac:dyDescent="0.25">
      <c r="B459" s="12" t="s">
        <v>675</v>
      </c>
      <c r="C459" t="str">
        <f>IFERROR(VLOOKUP(B459,'Fiduciary Changes'!$B$8:$C$31,2,0)," ")</f>
        <v>Net Increase (Decrease) in the Fair Value of Investments</v>
      </c>
    </row>
    <row r="460" spans="2:3" x14ac:dyDescent="0.25">
      <c r="B460" s="12" t="s">
        <v>676</v>
      </c>
      <c r="C460" t="str">
        <f>IFERROR(VLOOKUP(B460,'Fiduciary Changes'!$B$8:$C$31,2,0)," ")</f>
        <v>Total Investment Earnings</v>
      </c>
    </row>
    <row r="461" spans="2:3" x14ac:dyDescent="0.25">
      <c r="B461" s="12" t="s">
        <v>677</v>
      </c>
      <c r="C461" t="str">
        <f>IFERROR(VLOOKUP(B461,'Fiduciary Changes'!$B$8:$C$31,2,0)," ")</f>
        <v xml:space="preserve"> </v>
      </c>
    </row>
    <row r="462" spans="2:3" x14ac:dyDescent="0.25">
      <c r="B462" s="12" t="s">
        <v>678</v>
      </c>
      <c r="C462" t="str">
        <f>IFERROR(VLOOKUP(B462,'Fiduciary Changes'!$B$8:$C$31,2,0)," ")</f>
        <v>Other Additions</v>
      </c>
    </row>
    <row r="463" spans="2:3" x14ac:dyDescent="0.25">
      <c r="B463" s="12" t="s">
        <v>679</v>
      </c>
      <c r="C463" t="str">
        <f>IFERROR(VLOOKUP(B463,'Fiduciary Changes'!$B$8:$C$31,2,0)," ")</f>
        <v>TOTAL ADDITIONS</v>
      </c>
    </row>
    <row r="464" spans="2:3" x14ac:dyDescent="0.25">
      <c r="B464" s="12" t="s">
        <v>680</v>
      </c>
      <c r="C464" t="str">
        <f>IFERROR(VLOOKUP(B464,'Fiduciary Changes'!$B$8:$C$31,2,0)," ")</f>
        <v xml:space="preserve"> </v>
      </c>
    </row>
    <row r="465" spans="2:3" x14ac:dyDescent="0.25">
      <c r="B465" s="12" t="s">
        <v>681</v>
      </c>
      <c r="C465" t="str">
        <f>IFERROR(VLOOKUP(B465,'Fiduciary Changes'!$B$8:$C$31,2,0)," ")</f>
        <v xml:space="preserve"> </v>
      </c>
    </row>
    <row r="466" spans="2:3" x14ac:dyDescent="0.25">
      <c r="B466" s="12" t="s">
        <v>682</v>
      </c>
      <c r="C466" t="str">
        <f>IFERROR(VLOOKUP(B466,'Fiduciary Changes'!$B$8:$C$31,2,0)," ")</f>
        <v>Distribution to Pool Participants</v>
      </c>
    </row>
    <row r="467" spans="2:3" x14ac:dyDescent="0.25">
      <c r="B467" s="12" t="s">
        <v>683</v>
      </c>
      <c r="C467" t="str">
        <f>IFERROR(VLOOKUP(B467,'Fiduciary Changes'!$B$8:$C$31,2,0)," ")</f>
        <v>Refunds of Contributions</v>
      </c>
    </row>
    <row r="468" spans="2:3" x14ac:dyDescent="0.25">
      <c r="B468" s="12" t="s">
        <v>684</v>
      </c>
      <c r="C468" t="str">
        <f>IFERROR(VLOOKUP(B468,'Fiduciary Changes'!$B$8:$C$31,2,0)," ")</f>
        <v>Administrative Expenses</v>
      </c>
    </row>
    <row r="469" spans="2:3" x14ac:dyDescent="0.25">
      <c r="B469" s="12" t="s">
        <v>685</v>
      </c>
      <c r="C469" t="str">
        <f>IFERROR(VLOOKUP(B469,'Fiduciary Changes'!$B$8:$C$31,2,0)," ")</f>
        <v>Other Payments in Accordance with Trust Agreement</v>
      </c>
    </row>
    <row r="470" spans="2:3" x14ac:dyDescent="0.25">
      <c r="B470" s="12" t="s">
        <v>686</v>
      </c>
      <c r="C470" t="str">
        <f>IFERROR(VLOOKUP(B470,'Fiduciary Changes'!$B$8:$C$31,2,0)," ")</f>
        <v>TOTAL DEDUCTIONS</v>
      </c>
    </row>
    <row r="471" spans="2:3" x14ac:dyDescent="0.25">
      <c r="B471" s="12" t="s">
        <v>687</v>
      </c>
      <c r="C471" t="str">
        <f>IFERROR(VLOOKUP(B471,'Fiduciary Changes'!$B$8:$C$31,2,0)," ")</f>
        <v xml:space="preserve"> </v>
      </c>
    </row>
    <row r="472" spans="2:3" x14ac:dyDescent="0.25">
      <c r="B472" s="12" t="s">
        <v>688</v>
      </c>
      <c r="C472" t="str">
        <f>IFERROR(VLOOKUP(B472,'Fiduciary Changes'!$B$8:$C$31,2,0)," ")</f>
        <v>CHANGE IN NET POSITION</v>
      </c>
    </row>
    <row r="473" spans="2:3" x14ac:dyDescent="0.25">
      <c r="B473" s="12" t="s">
        <v>689</v>
      </c>
      <c r="C473" t="str">
        <f>IFERROR(VLOOKUP(B473,'Fiduciary Changes'!$B$8:$C$31,2,0)," ")</f>
        <v xml:space="preserve"> </v>
      </c>
    </row>
    <row r="474" spans="2:3" x14ac:dyDescent="0.25">
      <c r="B474" s="12" t="s">
        <v>690</v>
      </c>
      <c r="C474" t="str">
        <f>IFERROR(VLOOKUP(B474,'Fiduciary Changes'!$B$8:$C$31,2,0)," ")</f>
        <v>NET POSITION - BEGINNING</v>
      </c>
    </row>
    <row r="475" spans="2:3" x14ac:dyDescent="0.25">
      <c r="B475" s="12" t="s">
        <v>691</v>
      </c>
      <c r="C475" t="str">
        <f>IFERROR(VLOOKUP(B475,'Fiduciary Changes'!$B$8:$C$31,2,0)," ")</f>
        <v xml:space="preserve"> </v>
      </c>
    </row>
    <row r="476" spans="2:3" x14ac:dyDescent="0.25">
      <c r="B476" s="12" t="s">
        <v>692</v>
      </c>
      <c r="C476" t="str">
        <f>IFERROR(VLOOKUP(B476,'Fiduciary Changes'!$B$8:$C$31,2,0)," ")</f>
        <v>PRIOR PERIOD ADJUSTMENT</v>
      </c>
    </row>
    <row r="477" spans="2:3" x14ac:dyDescent="0.25">
      <c r="B477" s="12" t="s">
        <v>693</v>
      </c>
      <c r="C477" t="str">
        <f>IFERROR(VLOOKUP(B477,'Fiduciary Changes'!$B$8:$C$31,2,0)," ")</f>
        <v xml:space="preserve"> </v>
      </c>
    </row>
    <row r="478" spans="2:3" x14ac:dyDescent="0.25">
      <c r="B478" s="12" t="s">
        <v>694</v>
      </c>
      <c r="C478" t="str">
        <f>IFERROR(VLOOKUP(B478,'Fiduciary Changes'!$B$8:$C$31,2,0)," ")</f>
        <v>NET POSITION - ENDING</v>
      </c>
    </row>
    <row r="479" spans="2:3" x14ac:dyDescent="0.25">
      <c r="B479" s="12" t="s">
        <v>695</v>
      </c>
      <c r="C479" t="str">
        <f>IFERROR(VLOOKUP(B479,'Fiduciary Changes'!$B$8:$C$31,2,0)," ")</f>
        <v xml:space="preserve"> </v>
      </c>
    </row>
    <row r="480" spans="2:3" hidden="1" x14ac:dyDescent="0.25">
      <c r="B480" s="12" t="s">
        <v>696</v>
      </c>
      <c r="C480" t="str">
        <f>IFERROR(VLOOKUP(B480,'Fiduciary Changes'!$B$8:$C$31,2,0)," ")</f>
        <v xml:space="preserve"> </v>
      </c>
    </row>
    <row r="481" spans="2:3" hidden="1" x14ac:dyDescent="0.25">
      <c r="B481" s="12" t="s">
        <v>697</v>
      </c>
      <c r="C481" t="str">
        <f>IFERROR(VLOOKUP(B481,'Fiduciary Changes'!$B$8:$C$31,2,0)," ")</f>
        <v xml:space="preserve"> </v>
      </c>
    </row>
    <row r="482" spans="2:3" hidden="1" x14ac:dyDescent="0.25">
      <c r="B482" s="12" t="s">
        <v>698</v>
      </c>
      <c r="C482" t="str">
        <f>IFERROR(VLOOKUP(B482,'Fiduciary Changes'!$B$8:$C$31,2,0)," ")</f>
        <v xml:space="preserve"> </v>
      </c>
    </row>
    <row r="483" spans="2:3" hidden="1" x14ac:dyDescent="0.25">
      <c r="B483" s="12" t="s">
        <v>699</v>
      </c>
      <c r="C483" t="str">
        <f>IFERROR(VLOOKUP(B483,'Fiduciary Changes'!$B$8:$C$31,2,0)," ")</f>
        <v xml:space="preserve"> </v>
      </c>
    </row>
    <row r="484" spans="2:3" hidden="1" x14ac:dyDescent="0.25">
      <c r="B484" s="12" t="s">
        <v>700</v>
      </c>
      <c r="C484" t="str">
        <f>IFERROR(VLOOKUP(B484,'Fiduciary Changes'!$B$8:$C$31,2,0)," ")</f>
        <v xml:space="preserve"> </v>
      </c>
    </row>
    <row r="485" spans="2:3" hidden="1" x14ac:dyDescent="0.25">
      <c r="B485" s="12" t="s">
        <v>701</v>
      </c>
      <c r="C485" t="str">
        <f>IFERROR(VLOOKUP(B485,'Fiduciary Changes'!$B$8:$C$31,2,0)," ")</f>
        <v xml:space="preserve"> </v>
      </c>
    </row>
    <row r="486" spans="2:3" hidden="1" x14ac:dyDescent="0.25">
      <c r="B486" s="12" t="s">
        <v>702</v>
      </c>
      <c r="C486" t="str">
        <f>IFERROR(VLOOKUP(B486,'Fiduciary Changes'!$B$8:$C$31,2,0)," ")</f>
        <v xml:space="preserve"> </v>
      </c>
    </row>
    <row r="487" spans="2:3" hidden="1" x14ac:dyDescent="0.25">
      <c r="B487" s="12" t="s">
        <v>703</v>
      </c>
      <c r="C487" t="str">
        <f>IFERROR(VLOOKUP(B487,'Fiduciary Changes'!$B$8:$C$31,2,0)," ")</f>
        <v xml:space="preserve"> </v>
      </c>
    </row>
    <row r="488" spans="2:3" hidden="1" x14ac:dyDescent="0.25">
      <c r="B488" s="12" t="s">
        <v>704</v>
      </c>
      <c r="C488" t="str">
        <f>IFERROR(VLOOKUP(B488,'Fiduciary Changes'!$B$8:$C$31,2,0)," ")</f>
        <v xml:space="preserve"> </v>
      </c>
    </row>
    <row r="489" spans="2:3" hidden="1" x14ac:dyDescent="0.25">
      <c r="B489" s="12" t="s">
        <v>705</v>
      </c>
      <c r="C489" t="str">
        <f>IFERROR(VLOOKUP(B489,'Fiduciary Changes'!$B$8:$C$31,2,0)," ")</f>
        <v xml:space="preserve"> </v>
      </c>
    </row>
    <row r="490" spans="2:3" hidden="1" x14ac:dyDescent="0.25">
      <c r="B490" s="12" t="s">
        <v>706</v>
      </c>
      <c r="C490" t="str">
        <f>IFERROR(VLOOKUP(B490,'Fiduciary Changes'!$B$8:$C$31,2,0)," ")</f>
        <v xml:space="preserve"> </v>
      </c>
    </row>
    <row r="491" spans="2:3" hidden="1" x14ac:dyDescent="0.25">
      <c r="B491" s="12" t="s">
        <v>707</v>
      </c>
      <c r="C491" t="str">
        <f>IFERROR(VLOOKUP(B491,'Fiduciary Changes'!$B$8:$C$31,2,0)," ")</f>
        <v xml:space="preserve"> </v>
      </c>
    </row>
    <row r="492" spans="2:3" hidden="1" x14ac:dyDescent="0.25">
      <c r="B492" s="12" t="s">
        <v>708</v>
      </c>
      <c r="C492" t="str">
        <f>IFERROR(VLOOKUP(B492,'Fiduciary Changes'!$B$8:$C$31,2,0)," ")</f>
        <v xml:space="preserve"> </v>
      </c>
    </row>
    <row r="493" spans="2:3" hidden="1" x14ac:dyDescent="0.25">
      <c r="B493" s="12" t="s">
        <v>709</v>
      </c>
      <c r="C493" t="str">
        <f>IFERROR(VLOOKUP(B493,'Fiduciary Changes'!$B$8:$C$31,2,0)," ")</f>
        <v xml:space="preserve"> </v>
      </c>
    </row>
    <row r="494" spans="2:3" hidden="1" x14ac:dyDescent="0.25">
      <c r="B494" s="12" t="s">
        <v>710</v>
      </c>
      <c r="C494" t="str">
        <f>IFERROR(VLOOKUP(B494,'Fiduciary Changes'!$B$8:$C$31,2,0)," ")</f>
        <v xml:space="preserve"> </v>
      </c>
    </row>
    <row r="495" spans="2:3" hidden="1" x14ac:dyDescent="0.25">
      <c r="B495" s="12" t="s">
        <v>711</v>
      </c>
      <c r="C495" t="str">
        <f>IFERROR(VLOOKUP(B495,'Fiduciary Changes'!$B$8:$C$31,2,0)," ")</f>
        <v xml:space="preserve"> </v>
      </c>
    </row>
    <row r="496" spans="2:3" hidden="1" x14ac:dyDescent="0.25">
      <c r="B496" s="12" t="s">
        <v>712</v>
      </c>
      <c r="C496" t="str">
        <f>IFERROR(VLOOKUP(B496,'Fiduciary Changes'!$B$8:$C$31,2,0)," ")</f>
        <v xml:space="preserve"> </v>
      </c>
    </row>
    <row r="497" spans="2:3" hidden="1" x14ac:dyDescent="0.25">
      <c r="B497" s="12" t="s">
        <v>713</v>
      </c>
      <c r="C497" t="str">
        <f>IFERROR(VLOOKUP(B497,'Fiduciary Changes'!$B$8:$C$31,2,0)," ")</f>
        <v xml:space="preserve"> </v>
      </c>
    </row>
    <row r="498" spans="2:3" hidden="1" x14ac:dyDescent="0.25">
      <c r="B498" s="12" t="s">
        <v>714</v>
      </c>
      <c r="C498" t="str">
        <f>IFERROR(VLOOKUP(B498,'Fiduciary Changes'!$B$8:$C$31,2,0)," ")</f>
        <v xml:space="preserve"> </v>
      </c>
    </row>
    <row r="499" spans="2:3" hidden="1" x14ac:dyDescent="0.25">
      <c r="B499" s="12" t="s">
        <v>715</v>
      </c>
      <c r="C499" t="str">
        <f>IFERROR(VLOOKUP(B499,'Fiduciary Changes'!$B$8:$C$31,2,0)," ")</f>
        <v xml:space="preserve"> </v>
      </c>
    </row>
    <row r="500" spans="2:3" hidden="1" x14ac:dyDescent="0.25">
      <c r="B500" s="12" t="s">
        <v>716</v>
      </c>
      <c r="C500" t="str">
        <f>IFERROR(VLOOKUP(B500,'Fiduciary Changes'!$B$8:$C$31,2,0)," ")</f>
        <v xml:space="preserve"> </v>
      </c>
    </row>
    <row r="501" spans="2:3" hidden="1" x14ac:dyDescent="0.25">
      <c r="B501" s="12" t="s">
        <v>717</v>
      </c>
      <c r="C501" t="str">
        <f>IFERROR(VLOOKUP(B501,'Fiduciary Changes'!$B$8:$C$31,2,0)," ")</f>
        <v xml:space="preserve"> </v>
      </c>
    </row>
    <row r="502" spans="2:3" x14ac:dyDescent="0.25">
      <c r="B502" s="84" t="s">
        <v>718</v>
      </c>
      <c r="C502" s="85"/>
    </row>
    <row r="503" spans="2:3" x14ac:dyDescent="0.25">
      <c r="B503" s="12" t="s">
        <v>719</v>
      </c>
    </row>
    <row r="504" spans="2:3" x14ac:dyDescent="0.25">
      <c r="B504" s="12" t="s">
        <v>720</v>
      </c>
    </row>
    <row r="505" spans="2:3" x14ac:dyDescent="0.25">
      <c r="B505" s="12" t="s">
        <v>721</v>
      </c>
    </row>
    <row r="506" spans="2:3" x14ac:dyDescent="0.25">
      <c r="B506" s="12" t="s">
        <v>722</v>
      </c>
    </row>
    <row r="507" spans="2:3" x14ac:dyDescent="0.25">
      <c r="B507" s="12" t="s">
        <v>723</v>
      </c>
    </row>
    <row r="508" spans="2:3" x14ac:dyDescent="0.25">
      <c r="B508" s="12" t="s">
        <v>724</v>
      </c>
    </row>
    <row r="509" spans="2:3" x14ac:dyDescent="0.25">
      <c r="B509" s="12" t="s">
        <v>725</v>
      </c>
    </row>
    <row r="510" spans="2:3" x14ac:dyDescent="0.25">
      <c r="B510" s="12" t="s">
        <v>726</v>
      </c>
    </row>
    <row r="511" spans="2:3" x14ac:dyDescent="0.25">
      <c r="B511" s="12" t="s">
        <v>727</v>
      </c>
    </row>
    <row r="512" spans="2:3" x14ac:dyDescent="0.25">
      <c r="B512" s="12" t="s">
        <v>728</v>
      </c>
    </row>
    <row r="513" spans="2:2" x14ac:dyDescent="0.25">
      <c r="B513" s="12" t="s">
        <v>729</v>
      </c>
    </row>
    <row r="514" spans="2:2" x14ac:dyDescent="0.25">
      <c r="B514" s="12" t="s">
        <v>730</v>
      </c>
    </row>
    <row r="515" spans="2:2" x14ac:dyDescent="0.25">
      <c r="B515" s="12" t="s">
        <v>731</v>
      </c>
    </row>
    <row r="516" spans="2:2" x14ac:dyDescent="0.25">
      <c r="B516" s="12" t="s">
        <v>732</v>
      </c>
    </row>
    <row r="517" spans="2:2" x14ac:dyDescent="0.25">
      <c r="B517" s="12" t="s">
        <v>733</v>
      </c>
    </row>
    <row r="518" spans="2:2" x14ac:dyDescent="0.25">
      <c r="B518" s="12" t="s">
        <v>734</v>
      </c>
    </row>
    <row r="519" spans="2:2" x14ac:dyDescent="0.25">
      <c r="B519" s="12" t="s">
        <v>735</v>
      </c>
    </row>
    <row r="520" spans="2:2" x14ac:dyDescent="0.25">
      <c r="B520" s="12" t="s">
        <v>736</v>
      </c>
    </row>
    <row r="521" spans="2:2" x14ac:dyDescent="0.25">
      <c r="B521" s="12" t="s">
        <v>737</v>
      </c>
    </row>
    <row r="522" spans="2:2" x14ac:dyDescent="0.25">
      <c r="B522" s="12" t="s">
        <v>738</v>
      </c>
    </row>
    <row r="523" spans="2:2" x14ac:dyDescent="0.25">
      <c r="B523" s="12" t="s">
        <v>739</v>
      </c>
    </row>
    <row r="524" spans="2:2" x14ac:dyDescent="0.25">
      <c r="B524" s="12" t="s">
        <v>740</v>
      </c>
    </row>
    <row r="525" spans="2:2" x14ac:dyDescent="0.25">
      <c r="B525" s="12" t="s">
        <v>741</v>
      </c>
    </row>
    <row r="526" spans="2:2" x14ac:dyDescent="0.25">
      <c r="B526" s="12" t="s">
        <v>742</v>
      </c>
    </row>
    <row r="527" spans="2:2" x14ac:dyDescent="0.25">
      <c r="B527" s="12" t="s">
        <v>743</v>
      </c>
    </row>
    <row r="528" spans="2:2" x14ac:dyDescent="0.25">
      <c r="B528" s="12" t="s">
        <v>744</v>
      </c>
    </row>
    <row r="529" spans="2:2" x14ac:dyDescent="0.25">
      <c r="B529" s="12" t="s">
        <v>745</v>
      </c>
    </row>
    <row r="530" spans="2:2" x14ac:dyDescent="0.25">
      <c r="B530" s="12" t="s">
        <v>746</v>
      </c>
    </row>
    <row r="531" spans="2:2" x14ac:dyDescent="0.25">
      <c r="B531" s="12" t="s">
        <v>747</v>
      </c>
    </row>
    <row r="532" spans="2:2" x14ac:dyDescent="0.25">
      <c r="B532" s="12" t="s">
        <v>748</v>
      </c>
    </row>
    <row r="533" spans="2:2" x14ac:dyDescent="0.25">
      <c r="B533" s="12" t="s">
        <v>749</v>
      </c>
    </row>
    <row r="534" spans="2:2" x14ac:dyDescent="0.25">
      <c r="B534" s="12" t="s">
        <v>750</v>
      </c>
    </row>
    <row r="535" spans="2:2" x14ac:dyDescent="0.25">
      <c r="B535" s="12" t="s">
        <v>751</v>
      </c>
    </row>
    <row r="536" spans="2:2" x14ac:dyDescent="0.25">
      <c r="B536" s="12" t="s">
        <v>752</v>
      </c>
    </row>
    <row r="537" spans="2:2" x14ac:dyDescent="0.25">
      <c r="B537" s="12" t="s">
        <v>753</v>
      </c>
    </row>
    <row r="538" spans="2:2" x14ac:dyDescent="0.25">
      <c r="B538" s="12" t="s">
        <v>754</v>
      </c>
    </row>
    <row r="539" spans="2:2" x14ac:dyDescent="0.25">
      <c r="B539" s="12" t="s">
        <v>755</v>
      </c>
    </row>
    <row r="540" spans="2:2" x14ac:dyDescent="0.25">
      <c r="B540" s="12" t="s">
        <v>756</v>
      </c>
    </row>
    <row r="541" spans="2:2" x14ac:dyDescent="0.25">
      <c r="B541" s="12" t="s">
        <v>757</v>
      </c>
    </row>
    <row r="542" spans="2:2" x14ac:dyDescent="0.25">
      <c r="B542" s="12" t="s">
        <v>758</v>
      </c>
    </row>
    <row r="543" spans="2:2" x14ac:dyDescent="0.25">
      <c r="B543" s="12" t="s">
        <v>759</v>
      </c>
    </row>
    <row r="544" spans="2:2" x14ac:dyDescent="0.25">
      <c r="B544" s="12" t="s">
        <v>760</v>
      </c>
    </row>
    <row r="545" spans="2:2" x14ac:dyDescent="0.25">
      <c r="B545" s="12" t="s">
        <v>761</v>
      </c>
    </row>
    <row r="546" spans="2:2" x14ac:dyDescent="0.25">
      <c r="B546" s="12" t="s">
        <v>762</v>
      </c>
    </row>
    <row r="547" spans="2:2" x14ac:dyDescent="0.25">
      <c r="B547" s="12" t="s">
        <v>763</v>
      </c>
    </row>
    <row r="548" spans="2:2" x14ac:dyDescent="0.25">
      <c r="B548" s="12" t="s">
        <v>764</v>
      </c>
    </row>
    <row r="549" spans="2:2" x14ac:dyDescent="0.25">
      <c r="B549" s="12" t="s">
        <v>765</v>
      </c>
    </row>
    <row r="550" spans="2:2" x14ac:dyDescent="0.25">
      <c r="B550" s="12" t="s">
        <v>766</v>
      </c>
    </row>
    <row r="551" spans="2:2" x14ac:dyDescent="0.25">
      <c r="B551" s="12" t="s">
        <v>767</v>
      </c>
    </row>
    <row r="552" spans="2:2" x14ac:dyDescent="0.25">
      <c r="B552" s="12" t="s">
        <v>768</v>
      </c>
    </row>
    <row r="553" spans="2:2" x14ac:dyDescent="0.25">
      <c r="B553" s="12" t="s">
        <v>769</v>
      </c>
    </row>
    <row r="554" spans="2:2" x14ac:dyDescent="0.25">
      <c r="B554" s="12" t="s">
        <v>770</v>
      </c>
    </row>
    <row r="555" spans="2:2" x14ac:dyDescent="0.25">
      <c r="B555" s="12" t="s">
        <v>771</v>
      </c>
    </row>
    <row r="556" spans="2:2" x14ac:dyDescent="0.25">
      <c r="B556" s="12" t="s">
        <v>772</v>
      </c>
    </row>
    <row r="557" spans="2:2" x14ac:dyDescent="0.25">
      <c r="B557" s="12" t="s">
        <v>773</v>
      </c>
    </row>
    <row r="558" spans="2:2" x14ac:dyDescent="0.25">
      <c r="B558" s="12" t="s">
        <v>774</v>
      </c>
    </row>
    <row r="559" spans="2:2" x14ac:dyDescent="0.25">
      <c r="B559" s="12" t="s">
        <v>775</v>
      </c>
    </row>
    <row r="560" spans="2:2" x14ac:dyDescent="0.25">
      <c r="B560" s="12" t="s">
        <v>776</v>
      </c>
    </row>
    <row r="561" spans="2:2" x14ac:dyDescent="0.25">
      <c r="B561" s="12" t="s">
        <v>777</v>
      </c>
    </row>
    <row r="562" spans="2:2" x14ac:dyDescent="0.25">
      <c r="B562" s="12" t="s">
        <v>778</v>
      </c>
    </row>
    <row r="563" spans="2:2" x14ac:dyDescent="0.25">
      <c r="B563" s="12" t="s">
        <v>779</v>
      </c>
    </row>
    <row r="564" spans="2:2" x14ac:dyDescent="0.25">
      <c r="B564" s="12" t="s">
        <v>780</v>
      </c>
    </row>
    <row r="565" spans="2:2" x14ac:dyDescent="0.25">
      <c r="B565" s="12" t="s">
        <v>781</v>
      </c>
    </row>
    <row r="566" spans="2:2" x14ac:dyDescent="0.25">
      <c r="B566" s="12" t="s">
        <v>782</v>
      </c>
    </row>
    <row r="567" spans="2:2" x14ac:dyDescent="0.25">
      <c r="B567" s="12" t="s">
        <v>783</v>
      </c>
    </row>
    <row r="568" spans="2:2" x14ac:dyDescent="0.25">
      <c r="B568" s="12" t="s">
        <v>784</v>
      </c>
    </row>
    <row r="569" spans="2:2" x14ac:dyDescent="0.25">
      <c r="B569" s="12" t="s">
        <v>785</v>
      </c>
    </row>
    <row r="570" spans="2:2" x14ac:dyDescent="0.25">
      <c r="B570" s="12" t="s">
        <v>786</v>
      </c>
    </row>
    <row r="571" spans="2:2" x14ac:dyDescent="0.25">
      <c r="B571" s="12" t="s">
        <v>787</v>
      </c>
    </row>
    <row r="572" spans="2:2" x14ac:dyDescent="0.25">
      <c r="B572" s="12" t="s">
        <v>788</v>
      </c>
    </row>
    <row r="573" spans="2:2" x14ac:dyDescent="0.25">
      <c r="B573" s="12" t="s">
        <v>789</v>
      </c>
    </row>
    <row r="574" spans="2:2" x14ac:dyDescent="0.25">
      <c r="B574" s="12" t="s">
        <v>790</v>
      </c>
    </row>
    <row r="575" spans="2:2" x14ac:dyDescent="0.25">
      <c r="B575" s="12" t="s">
        <v>791</v>
      </c>
    </row>
    <row r="576" spans="2:2" x14ac:dyDescent="0.25">
      <c r="B576" s="12" t="s">
        <v>792</v>
      </c>
    </row>
    <row r="577" spans="2:2" x14ac:dyDescent="0.25">
      <c r="B577" s="12" t="s">
        <v>793</v>
      </c>
    </row>
    <row r="578" spans="2:2" x14ac:dyDescent="0.25">
      <c r="B578" s="12" t="s">
        <v>794</v>
      </c>
    </row>
    <row r="579" spans="2:2" x14ac:dyDescent="0.25">
      <c r="B579" s="12" t="s">
        <v>795</v>
      </c>
    </row>
    <row r="580" spans="2:2" x14ac:dyDescent="0.25">
      <c r="B580" s="12" t="s">
        <v>796</v>
      </c>
    </row>
    <row r="581" spans="2:2" x14ac:dyDescent="0.25">
      <c r="B581" s="12" t="s">
        <v>797</v>
      </c>
    </row>
    <row r="582" spans="2:2" x14ac:dyDescent="0.25">
      <c r="B582" s="12" t="s">
        <v>798</v>
      </c>
    </row>
    <row r="583" spans="2:2" x14ac:dyDescent="0.25">
      <c r="B583" s="12" t="s">
        <v>799</v>
      </c>
    </row>
    <row r="584" spans="2:2" x14ac:dyDescent="0.25">
      <c r="B584" s="12" t="s">
        <v>800</v>
      </c>
    </row>
    <row r="585" spans="2:2" x14ac:dyDescent="0.25">
      <c r="B585" s="12" t="s">
        <v>801</v>
      </c>
    </row>
    <row r="586" spans="2:2" x14ac:dyDescent="0.25">
      <c r="B586" s="12" t="s">
        <v>802</v>
      </c>
    </row>
    <row r="587" spans="2:2" x14ac:dyDescent="0.25">
      <c r="B587" s="12" t="s">
        <v>803</v>
      </c>
    </row>
    <row r="588" spans="2:2" x14ac:dyDescent="0.25">
      <c r="B588" s="12" t="s">
        <v>804</v>
      </c>
    </row>
    <row r="589" spans="2:2" x14ac:dyDescent="0.25">
      <c r="B589" s="12" t="s">
        <v>805</v>
      </c>
    </row>
    <row r="590" spans="2:2" x14ac:dyDescent="0.25">
      <c r="B590" s="12" t="s">
        <v>806</v>
      </c>
    </row>
    <row r="591" spans="2:2" x14ac:dyDescent="0.25">
      <c r="B591" s="12" t="s">
        <v>807</v>
      </c>
    </row>
    <row r="592" spans="2:2" x14ac:dyDescent="0.25">
      <c r="B592" s="12" t="s">
        <v>808</v>
      </c>
    </row>
    <row r="593" spans="2:2" x14ac:dyDescent="0.25">
      <c r="B593" s="12" t="s">
        <v>809</v>
      </c>
    </row>
    <row r="594" spans="2:2" x14ac:dyDescent="0.25">
      <c r="B594" s="12" t="s">
        <v>810</v>
      </c>
    </row>
    <row r="595" spans="2:2" x14ac:dyDescent="0.25">
      <c r="B595" s="12" t="s">
        <v>811</v>
      </c>
    </row>
    <row r="596" spans="2:2" x14ac:dyDescent="0.25">
      <c r="B596" s="12" t="s">
        <v>812</v>
      </c>
    </row>
    <row r="597" spans="2:2" x14ac:dyDescent="0.25">
      <c r="B597" s="12" t="s">
        <v>813</v>
      </c>
    </row>
    <row r="598" spans="2:2" x14ac:dyDescent="0.25">
      <c r="B598" s="12" t="s">
        <v>814</v>
      </c>
    </row>
    <row r="599" spans="2:2" x14ac:dyDescent="0.25">
      <c r="B599" s="12" t="s">
        <v>815</v>
      </c>
    </row>
    <row r="600" spans="2:2" x14ac:dyDescent="0.25">
      <c r="B600" s="12" t="s">
        <v>816</v>
      </c>
    </row>
    <row r="601" spans="2:2" x14ac:dyDescent="0.25">
      <c r="B601" s="12" t="s">
        <v>817</v>
      </c>
    </row>
    <row r="602" spans="2:2" x14ac:dyDescent="0.25">
      <c r="B602" s="12" t="s">
        <v>818</v>
      </c>
    </row>
    <row r="603" spans="2:2" x14ac:dyDescent="0.25">
      <c r="B603" s="12" t="s">
        <v>819</v>
      </c>
    </row>
    <row r="604" spans="2:2" x14ac:dyDescent="0.25">
      <c r="B604" s="12" t="s">
        <v>820</v>
      </c>
    </row>
    <row r="605" spans="2:2" x14ac:dyDescent="0.25">
      <c r="B605" s="12" t="s">
        <v>821</v>
      </c>
    </row>
    <row r="606" spans="2:2" x14ac:dyDescent="0.25">
      <c r="B606" s="12" t="s">
        <v>822</v>
      </c>
    </row>
    <row r="607" spans="2:2" x14ac:dyDescent="0.25">
      <c r="B607" s="12" t="s">
        <v>823</v>
      </c>
    </row>
    <row r="608" spans="2:2" x14ac:dyDescent="0.25">
      <c r="B608" s="12" t="s">
        <v>824</v>
      </c>
    </row>
    <row r="609" spans="2:2" x14ac:dyDescent="0.25">
      <c r="B609" s="12" t="s">
        <v>825</v>
      </c>
    </row>
    <row r="610" spans="2:2" x14ac:dyDescent="0.25">
      <c r="B610" s="12" t="s">
        <v>826</v>
      </c>
    </row>
    <row r="611" spans="2:2" x14ac:dyDescent="0.25">
      <c r="B611" s="12" t="s">
        <v>827</v>
      </c>
    </row>
    <row r="612" spans="2:2" x14ac:dyDescent="0.25">
      <c r="B612" s="12" t="s">
        <v>828</v>
      </c>
    </row>
    <row r="613" spans="2:2" x14ac:dyDescent="0.25">
      <c r="B613" s="12" t="s">
        <v>829</v>
      </c>
    </row>
    <row r="614" spans="2:2" x14ac:dyDescent="0.25">
      <c r="B614" s="12" t="s">
        <v>830</v>
      </c>
    </row>
    <row r="615" spans="2:2" x14ac:dyDescent="0.25">
      <c r="B615" s="12" t="s">
        <v>831</v>
      </c>
    </row>
    <row r="616" spans="2:2" x14ac:dyDescent="0.25">
      <c r="B616" s="12" t="s">
        <v>832</v>
      </c>
    </row>
    <row r="617" spans="2:2" x14ac:dyDescent="0.25">
      <c r="B617" s="12" t="s">
        <v>833</v>
      </c>
    </row>
    <row r="618" spans="2:2" x14ac:dyDescent="0.25">
      <c r="B618" s="12" t="s">
        <v>834</v>
      </c>
    </row>
    <row r="619" spans="2:2" x14ac:dyDescent="0.25">
      <c r="B619" s="12" t="s">
        <v>835</v>
      </c>
    </row>
    <row r="620" spans="2:2" x14ac:dyDescent="0.25">
      <c r="B620" s="12" t="s">
        <v>836</v>
      </c>
    </row>
    <row r="621" spans="2:2" x14ac:dyDescent="0.25">
      <c r="B621" s="12" t="s">
        <v>837</v>
      </c>
    </row>
    <row r="622" spans="2:2" x14ac:dyDescent="0.25">
      <c r="B622" s="12" t="s">
        <v>838</v>
      </c>
    </row>
    <row r="623" spans="2:2" x14ac:dyDescent="0.25">
      <c r="B623" s="12" t="s">
        <v>839</v>
      </c>
    </row>
    <row r="624" spans="2:2" x14ac:dyDescent="0.25">
      <c r="B624" s="12" t="s">
        <v>840</v>
      </c>
    </row>
    <row r="625" spans="2:2" x14ac:dyDescent="0.25">
      <c r="B625" s="12" t="s">
        <v>841</v>
      </c>
    </row>
    <row r="626" spans="2:2" x14ac:dyDescent="0.25">
      <c r="B626" s="12" t="s">
        <v>842</v>
      </c>
    </row>
    <row r="627" spans="2:2" x14ac:dyDescent="0.25">
      <c r="B627" s="12" t="s">
        <v>843</v>
      </c>
    </row>
    <row r="628" spans="2:2" x14ac:dyDescent="0.25">
      <c r="B628" s="12" t="s">
        <v>844</v>
      </c>
    </row>
    <row r="629" spans="2:2" x14ac:dyDescent="0.25">
      <c r="B629" s="12" t="s">
        <v>845</v>
      </c>
    </row>
    <row r="630" spans="2:2" x14ac:dyDescent="0.25">
      <c r="B630" s="12" t="s">
        <v>846</v>
      </c>
    </row>
    <row r="631" spans="2:2" x14ac:dyDescent="0.25">
      <c r="B631" s="12" t="s">
        <v>847</v>
      </c>
    </row>
    <row r="632" spans="2:2" x14ac:dyDescent="0.25">
      <c r="B632" s="12" t="s">
        <v>848</v>
      </c>
    </row>
    <row r="633" spans="2:2" x14ac:dyDescent="0.25">
      <c r="B633" s="12" t="s">
        <v>849</v>
      </c>
    </row>
    <row r="634" spans="2:2" x14ac:dyDescent="0.25">
      <c r="B634" s="12" t="s">
        <v>850</v>
      </c>
    </row>
    <row r="635" spans="2:2" x14ac:dyDescent="0.25">
      <c r="B635" s="12" t="s">
        <v>851</v>
      </c>
    </row>
    <row r="636" spans="2:2" x14ac:dyDescent="0.25">
      <c r="B636" s="12" t="s">
        <v>852</v>
      </c>
    </row>
    <row r="637" spans="2:2" x14ac:dyDescent="0.25">
      <c r="B637" s="12" t="s">
        <v>853</v>
      </c>
    </row>
    <row r="638" spans="2:2" x14ac:dyDescent="0.25">
      <c r="B638" s="12" t="s">
        <v>854</v>
      </c>
    </row>
    <row r="639" spans="2:2" x14ac:dyDescent="0.25">
      <c r="B639" s="12" t="s">
        <v>855</v>
      </c>
    </row>
    <row r="640" spans="2:2" x14ac:dyDescent="0.25">
      <c r="B640" s="12" t="s">
        <v>856</v>
      </c>
    </row>
    <row r="641" spans="2:2" x14ac:dyDescent="0.25">
      <c r="B641" s="12" t="s">
        <v>857</v>
      </c>
    </row>
    <row r="642" spans="2:2" x14ac:dyDescent="0.25">
      <c r="B642" s="12" t="s">
        <v>858</v>
      </c>
    </row>
    <row r="643" spans="2:2" x14ac:dyDescent="0.25">
      <c r="B643" s="12" t="s">
        <v>859</v>
      </c>
    </row>
    <row r="644" spans="2:2" x14ac:dyDescent="0.25">
      <c r="B644" s="12" t="s">
        <v>860</v>
      </c>
    </row>
    <row r="645" spans="2:2" x14ac:dyDescent="0.25">
      <c r="B645" s="12" t="s">
        <v>861</v>
      </c>
    </row>
    <row r="646" spans="2:2" x14ac:dyDescent="0.25">
      <c r="B646" s="12" t="s">
        <v>862</v>
      </c>
    </row>
    <row r="647" spans="2:2" x14ac:dyDescent="0.25">
      <c r="B647" s="12" t="s">
        <v>863</v>
      </c>
    </row>
    <row r="648" spans="2:2" x14ac:dyDescent="0.25">
      <c r="B648" s="12" t="s">
        <v>864</v>
      </c>
    </row>
    <row r="649" spans="2:2" x14ac:dyDescent="0.25">
      <c r="B649" s="12" t="s">
        <v>865</v>
      </c>
    </row>
    <row r="650" spans="2:2" x14ac:dyDescent="0.25">
      <c r="B650" s="12" t="s">
        <v>866</v>
      </c>
    </row>
    <row r="651" spans="2:2" x14ac:dyDescent="0.25">
      <c r="B651" s="12" t="s">
        <v>867</v>
      </c>
    </row>
    <row r="652" spans="2:2" x14ac:dyDescent="0.25">
      <c r="B652" s="12" t="s">
        <v>868</v>
      </c>
    </row>
    <row r="653" spans="2:2" x14ac:dyDescent="0.25">
      <c r="B653" s="12" t="s">
        <v>869</v>
      </c>
    </row>
    <row r="654" spans="2:2" x14ac:dyDescent="0.25">
      <c r="B654" s="12" t="s">
        <v>870</v>
      </c>
    </row>
    <row r="655" spans="2:2" x14ac:dyDescent="0.25">
      <c r="B655" s="12" t="s">
        <v>871</v>
      </c>
    </row>
    <row r="656" spans="2:2" x14ac:dyDescent="0.25">
      <c r="B656" s="12" t="s">
        <v>872</v>
      </c>
    </row>
    <row r="657" spans="2:2" x14ac:dyDescent="0.25">
      <c r="B657" s="12" t="s">
        <v>873</v>
      </c>
    </row>
    <row r="658" spans="2:2" x14ac:dyDescent="0.25">
      <c r="B658" s="12" t="s">
        <v>874</v>
      </c>
    </row>
    <row r="659" spans="2:2" x14ac:dyDescent="0.25">
      <c r="B659" s="12" t="s">
        <v>875</v>
      </c>
    </row>
    <row r="660" spans="2:2" x14ac:dyDescent="0.25">
      <c r="B660" s="12" t="s">
        <v>876</v>
      </c>
    </row>
    <row r="661" spans="2:2" x14ac:dyDescent="0.25">
      <c r="B661" s="12" t="s">
        <v>877</v>
      </c>
    </row>
    <row r="662" spans="2:2" x14ac:dyDescent="0.25">
      <c r="B662" s="12" t="s">
        <v>878</v>
      </c>
    </row>
    <row r="663" spans="2:2" x14ac:dyDescent="0.25">
      <c r="B663" s="12" t="s">
        <v>879</v>
      </c>
    </row>
    <row r="664" spans="2:2" x14ac:dyDescent="0.25">
      <c r="B664" s="12" t="s">
        <v>880</v>
      </c>
    </row>
    <row r="665" spans="2:2" x14ac:dyDescent="0.25">
      <c r="B665" s="12" t="s">
        <v>881</v>
      </c>
    </row>
    <row r="666" spans="2:2" x14ac:dyDescent="0.25">
      <c r="B666" s="12" t="s">
        <v>882</v>
      </c>
    </row>
    <row r="667" spans="2:2" x14ac:dyDescent="0.25">
      <c r="B667" s="12" t="s">
        <v>883</v>
      </c>
    </row>
    <row r="668" spans="2:2" x14ac:dyDescent="0.25">
      <c r="B668" s="12" t="s">
        <v>884</v>
      </c>
    </row>
    <row r="669" spans="2:2" x14ac:dyDescent="0.25">
      <c r="B669" s="12" t="s">
        <v>885</v>
      </c>
    </row>
    <row r="670" spans="2:2" x14ac:dyDescent="0.25">
      <c r="B670" s="12" t="s">
        <v>886</v>
      </c>
    </row>
    <row r="671" spans="2:2" x14ac:dyDescent="0.25">
      <c r="B671" s="12" t="s">
        <v>887</v>
      </c>
    </row>
    <row r="672" spans="2:2" x14ac:dyDescent="0.25">
      <c r="B672" s="12" t="s">
        <v>888</v>
      </c>
    </row>
    <row r="673" spans="2:2" x14ac:dyDescent="0.25">
      <c r="B673" s="12" t="s">
        <v>889</v>
      </c>
    </row>
    <row r="674" spans="2:2" x14ac:dyDescent="0.25">
      <c r="B674" s="12" t="s">
        <v>890</v>
      </c>
    </row>
    <row r="675" spans="2:2" x14ac:dyDescent="0.25">
      <c r="B675" s="12" t="s">
        <v>891</v>
      </c>
    </row>
    <row r="676" spans="2:2" x14ac:dyDescent="0.25">
      <c r="B676" s="12" t="s">
        <v>892</v>
      </c>
    </row>
    <row r="677" spans="2:2" x14ac:dyDescent="0.25">
      <c r="B677" s="12" t="s">
        <v>893</v>
      </c>
    </row>
    <row r="678" spans="2:2" x14ac:dyDescent="0.25">
      <c r="B678" s="12" t="s">
        <v>894</v>
      </c>
    </row>
    <row r="679" spans="2:2" x14ac:dyDescent="0.25">
      <c r="B679" s="12" t="s">
        <v>895</v>
      </c>
    </row>
    <row r="680" spans="2:2" x14ac:dyDescent="0.25">
      <c r="B680" s="12" t="s">
        <v>896</v>
      </c>
    </row>
    <row r="681" spans="2:2" x14ac:dyDescent="0.25">
      <c r="B681" s="12" t="s">
        <v>897</v>
      </c>
    </row>
    <row r="682" spans="2:2" x14ac:dyDescent="0.25">
      <c r="B682" s="12" t="s">
        <v>898</v>
      </c>
    </row>
    <row r="683" spans="2:2" x14ac:dyDescent="0.25">
      <c r="B683" s="12" t="s">
        <v>899</v>
      </c>
    </row>
    <row r="684" spans="2:2" x14ac:dyDescent="0.25">
      <c r="B684" s="12" t="s">
        <v>900</v>
      </c>
    </row>
    <row r="685" spans="2:2" x14ac:dyDescent="0.25">
      <c r="B685" s="12" t="s">
        <v>901</v>
      </c>
    </row>
    <row r="686" spans="2:2" x14ac:dyDescent="0.25">
      <c r="B686" s="12" t="s">
        <v>902</v>
      </c>
    </row>
    <row r="687" spans="2:2" x14ac:dyDescent="0.25">
      <c r="B687" s="12" t="s">
        <v>903</v>
      </c>
    </row>
    <row r="688" spans="2:2" x14ac:dyDescent="0.25">
      <c r="B688" s="12" t="s">
        <v>904</v>
      </c>
    </row>
    <row r="689" spans="2:2" x14ac:dyDescent="0.25">
      <c r="B689" s="12" t="s">
        <v>905</v>
      </c>
    </row>
    <row r="690" spans="2:2" x14ac:dyDescent="0.25">
      <c r="B690" s="12" t="s">
        <v>906</v>
      </c>
    </row>
    <row r="691" spans="2:2" x14ac:dyDescent="0.25">
      <c r="B691" s="12" t="s">
        <v>907</v>
      </c>
    </row>
    <row r="692" spans="2:2" x14ac:dyDescent="0.25">
      <c r="B692" s="12" t="s">
        <v>908</v>
      </c>
    </row>
    <row r="693" spans="2:2" x14ac:dyDescent="0.25">
      <c r="B693" s="12" t="s">
        <v>909</v>
      </c>
    </row>
    <row r="694" spans="2:2" x14ac:dyDescent="0.25">
      <c r="B694" s="12" t="s">
        <v>910</v>
      </c>
    </row>
    <row r="695" spans="2:2" x14ac:dyDescent="0.25">
      <c r="B695" s="12" t="s">
        <v>911</v>
      </c>
    </row>
    <row r="696" spans="2:2" x14ac:dyDescent="0.25">
      <c r="B696" s="12" t="s">
        <v>912</v>
      </c>
    </row>
    <row r="697" spans="2:2" x14ac:dyDescent="0.25">
      <c r="B697" s="12" t="s">
        <v>913</v>
      </c>
    </row>
    <row r="698" spans="2:2" x14ac:dyDescent="0.25">
      <c r="B698" s="12" t="s">
        <v>914</v>
      </c>
    </row>
    <row r="699" spans="2:2" x14ac:dyDescent="0.25">
      <c r="B699" s="12" t="s">
        <v>915</v>
      </c>
    </row>
    <row r="700" spans="2:2" x14ac:dyDescent="0.25">
      <c r="B700" s="12" t="s">
        <v>916</v>
      </c>
    </row>
    <row r="701" spans="2:2" x14ac:dyDescent="0.25">
      <c r="B701" s="12" t="s">
        <v>917</v>
      </c>
    </row>
    <row r="702" spans="2:2" x14ac:dyDescent="0.25">
      <c r="B702" s="12" t="s">
        <v>918</v>
      </c>
    </row>
    <row r="703" spans="2:2" x14ac:dyDescent="0.25">
      <c r="B703" s="12" t="s">
        <v>919</v>
      </c>
    </row>
    <row r="704" spans="2:2" x14ac:dyDescent="0.25">
      <c r="B704" s="12" t="s">
        <v>920</v>
      </c>
    </row>
    <row r="705" spans="2:2" x14ac:dyDescent="0.25">
      <c r="B705" s="12" t="s">
        <v>921</v>
      </c>
    </row>
    <row r="706" spans="2:2" x14ac:dyDescent="0.25">
      <c r="B706" s="12" t="s">
        <v>922</v>
      </c>
    </row>
    <row r="707" spans="2:2" x14ac:dyDescent="0.25">
      <c r="B707" s="12" t="s">
        <v>923</v>
      </c>
    </row>
    <row r="708" spans="2:2" x14ac:dyDescent="0.25">
      <c r="B708" s="12" t="s">
        <v>924</v>
      </c>
    </row>
    <row r="709" spans="2:2" x14ac:dyDescent="0.25">
      <c r="B709" s="12" t="s">
        <v>925</v>
      </c>
    </row>
    <row r="710" spans="2:2" x14ac:dyDescent="0.25">
      <c r="B710" s="12" t="s">
        <v>926</v>
      </c>
    </row>
    <row r="711" spans="2:2" x14ac:dyDescent="0.25">
      <c r="B711" s="12" t="s">
        <v>927</v>
      </c>
    </row>
    <row r="712" spans="2:2" x14ac:dyDescent="0.25">
      <c r="B712" s="12" t="s">
        <v>928</v>
      </c>
    </row>
    <row r="713" spans="2:2" x14ac:dyDescent="0.25">
      <c r="B713" s="12" t="s">
        <v>929</v>
      </c>
    </row>
    <row r="714" spans="2:2" x14ac:dyDescent="0.25">
      <c r="B714" s="12" t="s">
        <v>930</v>
      </c>
    </row>
    <row r="715" spans="2:2" x14ac:dyDescent="0.25">
      <c r="B715" s="12" t="s">
        <v>931</v>
      </c>
    </row>
    <row r="716" spans="2:2" x14ac:dyDescent="0.25">
      <c r="B716" s="12" t="s">
        <v>932</v>
      </c>
    </row>
    <row r="717" spans="2:2" x14ac:dyDescent="0.25">
      <c r="B717" s="12" t="s">
        <v>933</v>
      </c>
    </row>
    <row r="718" spans="2:2" x14ac:dyDescent="0.25">
      <c r="B718" s="12" t="s">
        <v>934</v>
      </c>
    </row>
    <row r="719" spans="2:2" x14ac:dyDescent="0.25">
      <c r="B719" s="12" t="s">
        <v>935</v>
      </c>
    </row>
    <row r="720" spans="2:2" x14ac:dyDescent="0.25">
      <c r="B720" s="12" t="s">
        <v>936</v>
      </c>
    </row>
    <row r="721" spans="2:2" x14ac:dyDescent="0.25">
      <c r="B721" s="12" t="s">
        <v>937</v>
      </c>
    </row>
    <row r="722" spans="2:2" x14ac:dyDescent="0.25">
      <c r="B722" s="12" t="s">
        <v>938</v>
      </c>
    </row>
    <row r="723" spans="2:2" x14ac:dyDescent="0.25">
      <c r="B723" s="12" t="s">
        <v>939</v>
      </c>
    </row>
    <row r="724" spans="2:2" x14ac:dyDescent="0.25">
      <c r="B724" s="12" t="s">
        <v>940</v>
      </c>
    </row>
    <row r="725" spans="2:2" x14ac:dyDescent="0.25">
      <c r="B725" s="12" t="s">
        <v>941</v>
      </c>
    </row>
    <row r="726" spans="2:2" x14ac:dyDescent="0.25">
      <c r="B726" s="12" t="s">
        <v>942</v>
      </c>
    </row>
    <row r="727" spans="2:2" x14ac:dyDescent="0.25">
      <c r="B727" s="12" t="s">
        <v>943</v>
      </c>
    </row>
    <row r="728" spans="2:2" x14ac:dyDescent="0.25">
      <c r="B728" s="12" t="s">
        <v>944</v>
      </c>
    </row>
    <row r="729" spans="2:2" x14ac:dyDescent="0.25">
      <c r="B729" s="12" t="s">
        <v>945</v>
      </c>
    </row>
    <row r="730" spans="2:2" x14ac:dyDescent="0.25">
      <c r="B730" s="12" t="s">
        <v>946</v>
      </c>
    </row>
    <row r="731" spans="2:2" x14ac:dyDescent="0.25">
      <c r="B731" s="12" t="s">
        <v>947</v>
      </c>
    </row>
    <row r="732" spans="2:2" x14ac:dyDescent="0.25">
      <c r="B732" s="12" t="s">
        <v>948</v>
      </c>
    </row>
    <row r="733" spans="2:2" x14ac:dyDescent="0.25">
      <c r="B733" s="12" t="s">
        <v>949</v>
      </c>
    </row>
    <row r="734" spans="2:2" x14ac:dyDescent="0.25">
      <c r="B734" s="12" t="s">
        <v>950</v>
      </c>
    </row>
    <row r="735" spans="2:2" x14ac:dyDescent="0.25">
      <c r="B735" s="12" t="s">
        <v>951</v>
      </c>
    </row>
    <row r="736" spans="2:2" x14ac:dyDescent="0.25">
      <c r="B736" s="12" t="s">
        <v>952</v>
      </c>
    </row>
    <row r="737" spans="2:2" x14ac:dyDescent="0.25">
      <c r="B737" s="12" t="s">
        <v>953</v>
      </c>
    </row>
    <row r="738" spans="2:2" x14ac:dyDescent="0.25">
      <c r="B738" s="12" t="s">
        <v>954</v>
      </c>
    </row>
    <row r="739" spans="2:2" x14ac:dyDescent="0.25">
      <c r="B739" s="12" t="s">
        <v>955</v>
      </c>
    </row>
    <row r="740" spans="2:2" x14ac:dyDescent="0.25">
      <c r="B740" s="12" t="s">
        <v>956</v>
      </c>
    </row>
    <row r="741" spans="2:2" x14ac:dyDescent="0.25">
      <c r="B741" s="12" t="s">
        <v>957</v>
      </c>
    </row>
    <row r="742" spans="2:2" x14ac:dyDescent="0.25">
      <c r="B742" s="12" t="s">
        <v>958</v>
      </c>
    </row>
    <row r="743" spans="2:2" x14ac:dyDescent="0.25">
      <c r="B743" s="12" t="s">
        <v>959</v>
      </c>
    </row>
    <row r="744" spans="2:2" x14ac:dyDescent="0.25">
      <c r="B744" s="12" t="s">
        <v>960</v>
      </c>
    </row>
    <row r="745" spans="2:2" x14ac:dyDescent="0.25">
      <c r="B745" s="12" t="s">
        <v>961</v>
      </c>
    </row>
    <row r="746" spans="2:2" x14ac:dyDescent="0.25">
      <c r="B746" s="12" t="s">
        <v>962</v>
      </c>
    </row>
    <row r="747" spans="2:2" x14ac:dyDescent="0.25">
      <c r="B747" s="12" t="s">
        <v>963</v>
      </c>
    </row>
    <row r="748" spans="2:2" x14ac:dyDescent="0.25">
      <c r="B748" s="12" t="s">
        <v>964</v>
      </c>
    </row>
    <row r="749" spans="2:2" x14ac:dyDescent="0.25">
      <c r="B749" s="12" t="s">
        <v>965</v>
      </c>
    </row>
    <row r="750" spans="2:2" x14ac:dyDescent="0.25">
      <c r="B750" s="12" t="s">
        <v>966</v>
      </c>
    </row>
    <row r="751" spans="2:2" x14ac:dyDescent="0.25">
      <c r="B751" s="12" t="s">
        <v>967</v>
      </c>
    </row>
    <row r="752" spans="2:2" x14ac:dyDescent="0.25">
      <c r="B752" s="12" t="s">
        <v>968</v>
      </c>
    </row>
    <row r="753" spans="2:2" x14ac:dyDescent="0.25">
      <c r="B753" s="12" t="s">
        <v>969</v>
      </c>
    </row>
    <row r="754" spans="2:2" x14ac:dyDescent="0.25">
      <c r="B754" s="12" t="s">
        <v>970</v>
      </c>
    </row>
    <row r="755" spans="2:2" x14ac:dyDescent="0.25">
      <c r="B755" s="12" t="s">
        <v>971</v>
      </c>
    </row>
    <row r="756" spans="2:2" x14ac:dyDescent="0.25">
      <c r="B756" s="12" t="s">
        <v>972</v>
      </c>
    </row>
    <row r="757" spans="2:2" x14ac:dyDescent="0.25">
      <c r="B757" s="12" t="s">
        <v>973</v>
      </c>
    </row>
    <row r="758" spans="2:2" x14ac:dyDescent="0.25">
      <c r="B758" s="12" t="s">
        <v>974</v>
      </c>
    </row>
    <row r="759" spans="2:2" x14ac:dyDescent="0.25">
      <c r="B759" s="12" t="s">
        <v>975</v>
      </c>
    </row>
    <row r="760" spans="2:2" x14ac:dyDescent="0.25">
      <c r="B760" s="12" t="s">
        <v>976</v>
      </c>
    </row>
    <row r="761" spans="2:2" x14ac:dyDescent="0.25">
      <c r="B761" s="12" t="s">
        <v>977</v>
      </c>
    </row>
    <row r="762" spans="2:2" x14ac:dyDescent="0.25">
      <c r="B762" s="12" t="s">
        <v>288</v>
      </c>
    </row>
    <row r="763" spans="2:2" x14ac:dyDescent="0.25">
      <c r="B763" s="12" t="s">
        <v>978</v>
      </c>
    </row>
    <row r="764" spans="2:2" x14ac:dyDescent="0.25">
      <c r="B764" s="12" t="s">
        <v>979</v>
      </c>
    </row>
    <row r="765" spans="2:2" x14ac:dyDescent="0.25">
      <c r="B765" s="12" t="s">
        <v>980</v>
      </c>
    </row>
    <row r="766" spans="2:2" x14ac:dyDescent="0.25">
      <c r="B766" s="12" t="s">
        <v>981</v>
      </c>
    </row>
    <row r="767" spans="2:2" x14ac:dyDescent="0.25">
      <c r="B767" s="12" t="s">
        <v>982</v>
      </c>
    </row>
    <row r="768" spans="2:2" x14ac:dyDescent="0.25">
      <c r="B768" s="12" t="s">
        <v>983</v>
      </c>
    </row>
    <row r="769" spans="2:2" x14ac:dyDescent="0.25">
      <c r="B769" s="12" t="s">
        <v>984</v>
      </c>
    </row>
    <row r="770" spans="2:2" x14ac:dyDescent="0.25">
      <c r="B770" s="12" t="s">
        <v>985</v>
      </c>
    </row>
    <row r="771" spans="2:2" x14ac:dyDescent="0.25">
      <c r="B771" s="12" t="s">
        <v>986</v>
      </c>
    </row>
    <row r="772" spans="2:2" x14ac:dyDescent="0.25">
      <c r="B772" s="12" t="s">
        <v>987</v>
      </c>
    </row>
    <row r="773" spans="2:2" x14ac:dyDescent="0.25">
      <c r="B773" s="12" t="s">
        <v>988</v>
      </c>
    </row>
    <row r="774" spans="2:2" x14ac:dyDescent="0.25">
      <c r="B774" s="12" t="s">
        <v>989</v>
      </c>
    </row>
    <row r="775" spans="2:2" x14ac:dyDescent="0.25">
      <c r="B775" s="12" t="s">
        <v>990</v>
      </c>
    </row>
    <row r="776" spans="2:2" x14ac:dyDescent="0.25">
      <c r="B776" s="12" t="s">
        <v>991</v>
      </c>
    </row>
    <row r="777" spans="2:2" x14ac:dyDescent="0.25">
      <c r="B777" s="12" t="s">
        <v>992</v>
      </c>
    </row>
    <row r="778" spans="2:2" x14ac:dyDescent="0.25">
      <c r="B778" s="12" t="s">
        <v>993</v>
      </c>
    </row>
    <row r="779" spans="2:2" x14ac:dyDescent="0.25">
      <c r="B779" s="12" t="s">
        <v>994</v>
      </c>
    </row>
    <row r="780" spans="2:2" x14ac:dyDescent="0.25">
      <c r="B780" s="12" t="s">
        <v>995</v>
      </c>
    </row>
    <row r="781" spans="2:2" x14ac:dyDescent="0.25">
      <c r="B781" s="12" t="s">
        <v>996</v>
      </c>
    </row>
    <row r="782" spans="2:2" x14ac:dyDescent="0.25">
      <c r="B782" s="12" t="s">
        <v>997</v>
      </c>
    </row>
    <row r="783" spans="2:2" x14ac:dyDescent="0.25">
      <c r="B783" s="12" t="s">
        <v>998</v>
      </c>
    </row>
    <row r="784" spans="2:2" x14ac:dyDescent="0.25">
      <c r="B784" s="12" t="s">
        <v>999</v>
      </c>
    </row>
    <row r="785" spans="2:2" x14ac:dyDescent="0.25">
      <c r="B785" s="12" t="s">
        <v>1000</v>
      </c>
    </row>
    <row r="786" spans="2:2" x14ac:dyDescent="0.25">
      <c r="B786" s="12" t="s">
        <v>1001</v>
      </c>
    </row>
    <row r="787" spans="2:2" x14ac:dyDescent="0.25">
      <c r="B787" s="12" t="s">
        <v>1002</v>
      </c>
    </row>
    <row r="788" spans="2:2" x14ac:dyDescent="0.25">
      <c r="B788" s="12" t="s">
        <v>1003</v>
      </c>
    </row>
    <row r="789" spans="2:2" x14ac:dyDescent="0.25">
      <c r="B789" s="12" t="s">
        <v>1004</v>
      </c>
    </row>
    <row r="790" spans="2:2" x14ac:dyDescent="0.25">
      <c r="B790" s="12" t="s">
        <v>1005</v>
      </c>
    </row>
    <row r="791" spans="2:2" x14ac:dyDescent="0.25">
      <c r="B791" s="12" t="s">
        <v>1006</v>
      </c>
    </row>
    <row r="792" spans="2:2" x14ac:dyDescent="0.25">
      <c r="B792" s="12" t="s">
        <v>1007</v>
      </c>
    </row>
    <row r="793" spans="2:2" x14ac:dyDescent="0.25">
      <c r="B793" s="12" t="s">
        <v>1008</v>
      </c>
    </row>
    <row r="794" spans="2:2" x14ac:dyDescent="0.25">
      <c r="B794" s="12" t="s">
        <v>406</v>
      </c>
    </row>
    <row r="795" spans="2:2" x14ac:dyDescent="0.25">
      <c r="B795" s="12" t="s">
        <v>1009</v>
      </c>
    </row>
    <row r="796" spans="2:2" x14ac:dyDescent="0.25">
      <c r="B796" s="12" t="s">
        <v>1010</v>
      </c>
    </row>
    <row r="797" spans="2:2" x14ac:dyDescent="0.25">
      <c r="B797" s="12" t="s">
        <v>1011</v>
      </c>
    </row>
    <row r="798" spans="2:2" x14ac:dyDescent="0.25">
      <c r="B798" s="12" t="s">
        <v>1012</v>
      </c>
    </row>
    <row r="799" spans="2:2" x14ac:dyDescent="0.25">
      <c r="B799" s="12" t="s">
        <v>1013</v>
      </c>
    </row>
    <row r="800" spans="2:2" x14ac:dyDescent="0.25">
      <c r="B800" s="12" t="s">
        <v>1014</v>
      </c>
    </row>
    <row r="801" spans="2:2" x14ac:dyDescent="0.25">
      <c r="B801" s="12" t="s">
        <v>1015</v>
      </c>
    </row>
    <row r="802" spans="2:2" x14ac:dyDescent="0.25">
      <c r="B802" s="12" t="s">
        <v>1016</v>
      </c>
    </row>
    <row r="803" spans="2:2" x14ac:dyDescent="0.25">
      <c r="B803" s="12" t="s">
        <v>1017</v>
      </c>
    </row>
    <row r="804" spans="2:2" x14ac:dyDescent="0.25">
      <c r="B804" s="12" t="s">
        <v>1018</v>
      </c>
    </row>
    <row r="805" spans="2:2" x14ac:dyDescent="0.25">
      <c r="B805" s="12" t="s">
        <v>1019</v>
      </c>
    </row>
    <row r="806" spans="2:2" x14ac:dyDescent="0.25">
      <c r="B806" s="12" t="s">
        <v>1020</v>
      </c>
    </row>
    <row r="807" spans="2:2" x14ac:dyDescent="0.25">
      <c r="B807" s="12" t="s">
        <v>1021</v>
      </c>
    </row>
    <row r="808" spans="2:2" x14ac:dyDescent="0.25">
      <c r="B808" s="12" t="s">
        <v>1022</v>
      </c>
    </row>
    <row r="809" spans="2:2" x14ac:dyDescent="0.25">
      <c r="B809" s="12" t="s">
        <v>1023</v>
      </c>
    </row>
    <row r="810" spans="2:2" x14ac:dyDescent="0.25">
      <c r="B810" s="12" t="s">
        <v>1024</v>
      </c>
    </row>
    <row r="811" spans="2:2" x14ac:dyDescent="0.25">
      <c r="B811" s="12" t="s">
        <v>1025</v>
      </c>
    </row>
    <row r="812" spans="2:2" x14ac:dyDescent="0.25">
      <c r="B812" s="12" t="s">
        <v>1026</v>
      </c>
    </row>
    <row r="813" spans="2:2" x14ac:dyDescent="0.25">
      <c r="B813" s="12" t="s">
        <v>1027</v>
      </c>
    </row>
    <row r="814" spans="2:2" x14ac:dyDescent="0.25">
      <c r="B814" s="12" t="s">
        <v>1028</v>
      </c>
    </row>
    <row r="815" spans="2:2" x14ac:dyDescent="0.25">
      <c r="B815" s="12" t="s">
        <v>1029</v>
      </c>
    </row>
    <row r="816" spans="2:2" x14ac:dyDescent="0.25">
      <c r="B816" s="12" t="s">
        <v>1030</v>
      </c>
    </row>
    <row r="817" spans="2:2" x14ac:dyDescent="0.25">
      <c r="B817" s="12" t="s">
        <v>1031</v>
      </c>
    </row>
    <row r="818" spans="2:2" x14ac:dyDescent="0.25">
      <c r="B818" s="12" t="s">
        <v>1032</v>
      </c>
    </row>
    <row r="819" spans="2:2" x14ac:dyDescent="0.25">
      <c r="B819" s="12" t="s">
        <v>1033</v>
      </c>
    </row>
    <row r="820" spans="2:2" x14ac:dyDescent="0.25">
      <c r="B820" s="12" t="s">
        <v>1034</v>
      </c>
    </row>
    <row r="821" spans="2:2" x14ac:dyDescent="0.25">
      <c r="B821" s="12" t="s">
        <v>1035</v>
      </c>
    </row>
    <row r="822" spans="2:2" x14ac:dyDescent="0.25">
      <c r="B822" s="12" t="s">
        <v>1036</v>
      </c>
    </row>
    <row r="823" spans="2:2" x14ac:dyDescent="0.25">
      <c r="B823" s="12" t="s">
        <v>1037</v>
      </c>
    </row>
    <row r="824" spans="2:2" x14ac:dyDescent="0.25">
      <c r="B824" s="12" t="s">
        <v>1038</v>
      </c>
    </row>
    <row r="825" spans="2:2" x14ac:dyDescent="0.25">
      <c r="B825" s="12" t="s">
        <v>1039</v>
      </c>
    </row>
    <row r="826" spans="2:2" x14ac:dyDescent="0.25">
      <c r="B826" s="12" t="s">
        <v>1040</v>
      </c>
    </row>
    <row r="827" spans="2:2" x14ac:dyDescent="0.25">
      <c r="B827" s="12" t="s">
        <v>1041</v>
      </c>
    </row>
    <row r="828" spans="2:2" x14ac:dyDescent="0.25">
      <c r="B828" s="12" t="s">
        <v>1042</v>
      </c>
    </row>
    <row r="829" spans="2:2" x14ac:dyDescent="0.25">
      <c r="B829" s="12" t="s">
        <v>1043</v>
      </c>
    </row>
    <row r="830" spans="2:2" x14ac:dyDescent="0.25">
      <c r="B830" s="12" t="s">
        <v>1044</v>
      </c>
    </row>
    <row r="831" spans="2:2" x14ac:dyDescent="0.25">
      <c r="B831" s="12" t="s">
        <v>1045</v>
      </c>
    </row>
    <row r="832" spans="2:2" x14ac:dyDescent="0.25">
      <c r="B832" s="12" t="s">
        <v>1046</v>
      </c>
    </row>
    <row r="833" spans="2:2" x14ac:dyDescent="0.25">
      <c r="B833" s="12" t="s">
        <v>1047</v>
      </c>
    </row>
    <row r="834" spans="2:2" x14ac:dyDescent="0.25">
      <c r="B834" s="12" t="s">
        <v>1048</v>
      </c>
    </row>
    <row r="835" spans="2:2" x14ac:dyDescent="0.25">
      <c r="B835" s="12" t="s">
        <v>1049</v>
      </c>
    </row>
    <row r="836" spans="2:2" x14ac:dyDescent="0.25">
      <c r="B836" s="12" t="s">
        <v>1050</v>
      </c>
    </row>
    <row r="837" spans="2:2" x14ac:dyDescent="0.25">
      <c r="B837" s="12" t="s">
        <v>1051</v>
      </c>
    </row>
    <row r="838" spans="2:2" x14ac:dyDescent="0.25">
      <c r="B838" s="12" t="s">
        <v>1052</v>
      </c>
    </row>
    <row r="839" spans="2:2" x14ac:dyDescent="0.25">
      <c r="B839" s="12" t="s">
        <v>1053</v>
      </c>
    </row>
    <row r="840" spans="2:2" x14ac:dyDescent="0.25">
      <c r="B840" s="12" t="s">
        <v>1054</v>
      </c>
    </row>
    <row r="841" spans="2:2" x14ac:dyDescent="0.25">
      <c r="B841" s="12" t="s">
        <v>1055</v>
      </c>
    </row>
    <row r="842" spans="2:2" x14ac:dyDescent="0.25">
      <c r="B842" s="12" t="s">
        <v>1056</v>
      </c>
    </row>
    <row r="843" spans="2:2" x14ac:dyDescent="0.25">
      <c r="B843" s="12" t="s">
        <v>1057</v>
      </c>
    </row>
    <row r="844" spans="2:2" x14ac:dyDescent="0.25">
      <c r="B844" s="12" t="s">
        <v>1058</v>
      </c>
    </row>
    <row r="845" spans="2:2" x14ac:dyDescent="0.25">
      <c r="B845" s="12" t="s">
        <v>1059</v>
      </c>
    </row>
    <row r="846" spans="2:2" x14ac:dyDescent="0.25">
      <c r="B846" s="12" t="s">
        <v>1060</v>
      </c>
    </row>
    <row r="847" spans="2:2" x14ac:dyDescent="0.25">
      <c r="B847" s="12" t="s">
        <v>1061</v>
      </c>
    </row>
    <row r="848" spans="2:2" x14ac:dyDescent="0.25">
      <c r="B848" s="12" t="s">
        <v>1062</v>
      </c>
    </row>
    <row r="849" spans="2:2" x14ac:dyDescent="0.25">
      <c r="B849" s="12" t="s">
        <v>1063</v>
      </c>
    </row>
    <row r="850" spans="2:2" x14ac:dyDescent="0.25">
      <c r="B850" s="12" t="s">
        <v>1064</v>
      </c>
    </row>
    <row r="851" spans="2:2" x14ac:dyDescent="0.25">
      <c r="B851" s="12" t="s">
        <v>1065</v>
      </c>
    </row>
    <row r="852" spans="2:2" x14ac:dyDescent="0.25">
      <c r="B852" s="12" t="s">
        <v>1066</v>
      </c>
    </row>
    <row r="853" spans="2:2" x14ac:dyDescent="0.25">
      <c r="B853" s="12" t="s">
        <v>1067</v>
      </c>
    </row>
    <row r="854" spans="2:2" x14ac:dyDescent="0.25">
      <c r="B854" s="12" t="s">
        <v>1068</v>
      </c>
    </row>
    <row r="855" spans="2:2" x14ac:dyDescent="0.25">
      <c r="B855" s="12" t="s">
        <v>1069</v>
      </c>
    </row>
    <row r="856" spans="2:2" x14ac:dyDescent="0.25">
      <c r="B856" s="12" t="s">
        <v>1070</v>
      </c>
    </row>
    <row r="857" spans="2:2" x14ac:dyDescent="0.25">
      <c r="B857" s="12" t="s">
        <v>1071</v>
      </c>
    </row>
    <row r="858" spans="2:2" x14ac:dyDescent="0.25">
      <c r="B858" s="12" t="s">
        <v>1072</v>
      </c>
    </row>
    <row r="859" spans="2:2" x14ac:dyDescent="0.25">
      <c r="B859" s="12" t="s">
        <v>1073</v>
      </c>
    </row>
    <row r="860" spans="2:2" x14ac:dyDescent="0.25">
      <c r="B860" s="12" t="s">
        <v>1074</v>
      </c>
    </row>
    <row r="861" spans="2:2" x14ac:dyDescent="0.25">
      <c r="B861" s="12" t="s">
        <v>1075</v>
      </c>
    </row>
    <row r="862" spans="2:2" x14ac:dyDescent="0.25">
      <c r="B862" s="12" t="s">
        <v>286</v>
      </c>
    </row>
    <row r="863" spans="2:2" x14ac:dyDescent="0.25">
      <c r="B863" s="12" t="s">
        <v>1076</v>
      </c>
    </row>
    <row r="864" spans="2:2" x14ac:dyDescent="0.25">
      <c r="B864" s="12" t="s">
        <v>1077</v>
      </c>
    </row>
    <row r="865" spans="2:2" x14ac:dyDescent="0.25">
      <c r="B865" s="12" t="s">
        <v>1078</v>
      </c>
    </row>
    <row r="866" spans="2:2" x14ac:dyDescent="0.25">
      <c r="B866" s="12" t="s">
        <v>1079</v>
      </c>
    </row>
    <row r="867" spans="2:2" x14ac:dyDescent="0.25">
      <c r="B867" s="12" t="s">
        <v>1080</v>
      </c>
    </row>
    <row r="868" spans="2:2" x14ac:dyDescent="0.25">
      <c r="B868" s="12" t="s">
        <v>1081</v>
      </c>
    </row>
    <row r="869" spans="2:2" x14ac:dyDescent="0.25">
      <c r="B869" s="12" t="s">
        <v>1082</v>
      </c>
    </row>
    <row r="870" spans="2:2" x14ac:dyDescent="0.25">
      <c r="B870" s="12" t="s">
        <v>1083</v>
      </c>
    </row>
    <row r="871" spans="2:2" x14ac:dyDescent="0.25">
      <c r="B871" s="12" t="s">
        <v>1084</v>
      </c>
    </row>
    <row r="872" spans="2:2" x14ac:dyDescent="0.25">
      <c r="B872" s="12" t="s">
        <v>1085</v>
      </c>
    </row>
    <row r="873" spans="2:2" x14ac:dyDescent="0.25">
      <c r="B873" s="12" t="s">
        <v>1086</v>
      </c>
    </row>
    <row r="874" spans="2:2" x14ac:dyDescent="0.25">
      <c r="B874" s="12" t="s">
        <v>1087</v>
      </c>
    </row>
    <row r="875" spans="2:2" x14ac:dyDescent="0.25">
      <c r="B875" s="12" t="s">
        <v>1088</v>
      </c>
    </row>
    <row r="876" spans="2:2" x14ac:dyDescent="0.25">
      <c r="B876" s="12" t="s">
        <v>1089</v>
      </c>
    </row>
    <row r="877" spans="2:2" x14ac:dyDescent="0.25">
      <c r="B877" s="12" t="s">
        <v>1090</v>
      </c>
    </row>
    <row r="878" spans="2:2" x14ac:dyDescent="0.25">
      <c r="B878" s="12" t="s">
        <v>1091</v>
      </c>
    </row>
    <row r="879" spans="2:2" x14ac:dyDescent="0.25">
      <c r="B879" s="12" t="s">
        <v>1092</v>
      </c>
    </row>
    <row r="880" spans="2:2" x14ac:dyDescent="0.25">
      <c r="B880" s="12" t="s">
        <v>1093</v>
      </c>
    </row>
    <row r="881" spans="2:2" x14ac:dyDescent="0.25">
      <c r="B881" s="12" t="s">
        <v>1094</v>
      </c>
    </row>
    <row r="882" spans="2:2" x14ac:dyDescent="0.25">
      <c r="B882" s="12" t="s">
        <v>1095</v>
      </c>
    </row>
    <row r="883" spans="2:2" x14ac:dyDescent="0.25">
      <c r="B883" s="12" t="s">
        <v>1096</v>
      </c>
    </row>
    <row r="884" spans="2:2" x14ac:dyDescent="0.25">
      <c r="B884" s="12" t="s">
        <v>1097</v>
      </c>
    </row>
    <row r="885" spans="2:2" x14ac:dyDescent="0.25">
      <c r="B885" s="12" t="s">
        <v>1098</v>
      </c>
    </row>
    <row r="886" spans="2:2" x14ac:dyDescent="0.25">
      <c r="B886" s="12" t="s">
        <v>1099</v>
      </c>
    </row>
    <row r="887" spans="2:2" x14ac:dyDescent="0.25">
      <c r="B887" s="12" t="s">
        <v>1100</v>
      </c>
    </row>
    <row r="888" spans="2:2" x14ac:dyDescent="0.25">
      <c r="B888" s="12" t="s">
        <v>1101</v>
      </c>
    </row>
    <row r="889" spans="2:2" x14ac:dyDescent="0.25">
      <c r="B889" s="12" t="s">
        <v>1102</v>
      </c>
    </row>
    <row r="890" spans="2:2" x14ac:dyDescent="0.25">
      <c r="B890" s="12" t="s">
        <v>1103</v>
      </c>
    </row>
    <row r="891" spans="2:2" x14ac:dyDescent="0.25">
      <c r="B891" s="12" t="s">
        <v>1104</v>
      </c>
    </row>
    <row r="892" spans="2:2" x14ac:dyDescent="0.25">
      <c r="B892" s="12" t="s">
        <v>1105</v>
      </c>
    </row>
    <row r="893" spans="2:2" x14ac:dyDescent="0.25">
      <c r="B893" s="12" t="s">
        <v>1106</v>
      </c>
    </row>
    <row r="894" spans="2:2" x14ac:dyDescent="0.25">
      <c r="B894" s="12" t="s">
        <v>1107</v>
      </c>
    </row>
    <row r="895" spans="2:2" x14ac:dyDescent="0.25">
      <c r="B895" s="12" t="s">
        <v>1108</v>
      </c>
    </row>
    <row r="896" spans="2:2" x14ac:dyDescent="0.25">
      <c r="B896" s="12" t="s">
        <v>1109</v>
      </c>
    </row>
    <row r="897" spans="2:2" x14ac:dyDescent="0.25">
      <c r="B897" s="12" t="s">
        <v>1110</v>
      </c>
    </row>
    <row r="898" spans="2:2" x14ac:dyDescent="0.25">
      <c r="B898" s="12" t="s">
        <v>1111</v>
      </c>
    </row>
    <row r="899" spans="2:2" x14ac:dyDescent="0.25">
      <c r="B899" s="12" t="s">
        <v>1112</v>
      </c>
    </row>
    <row r="900" spans="2:2" x14ac:dyDescent="0.25">
      <c r="B900" s="12" t="s">
        <v>1113</v>
      </c>
    </row>
    <row r="901" spans="2:2" x14ac:dyDescent="0.25">
      <c r="B901" s="12" t="s">
        <v>1114</v>
      </c>
    </row>
  </sheetData>
  <sheetProtection sheet="1" objects="1" scenarios="1" selectLockedCells="1" selectUnlockedCells="1"/>
  <phoneticPr fontId="5" type="noConversion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3999-3CAC-4176-AB46-A5565E2D8F3C}">
  <dimension ref="A1:F85"/>
  <sheetViews>
    <sheetView topLeftCell="A44" workbookViewId="0">
      <selection activeCell="A3" sqref="A3:F85"/>
    </sheetView>
  </sheetViews>
  <sheetFormatPr defaultRowHeight="15" x14ac:dyDescent="0.25"/>
  <cols>
    <col min="1" max="1" width="6.7109375" customWidth="1"/>
    <col min="2" max="2" width="11" customWidth="1"/>
    <col min="3" max="3" width="12.140625" customWidth="1"/>
    <col min="4" max="4" width="17.140625" customWidth="1"/>
    <col min="5" max="5" width="15.28515625" customWidth="1"/>
    <col min="6" max="6" width="15" customWidth="1"/>
  </cols>
  <sheetData>
    <row r="1" spans="1:6" x14ac:dyDescent="0.25">
      <c r="B1" s="245" t="s">
        <v>1157</v>
      </c>
      <c r="C1" s="246"/>
      <c r="D1" s="246"/>
      <c r="E1" s="246"/>
      <c r="F1" s="246"/>
    </row>
    <row r="2" spans="1:6" x14ac:dyDescent="0.25">
      <c r="A2" s="210" t="s">
        <v>97</v>
      </c>
      <c r="B2" s="211" t="s">
        <v>1162</v>
      </c>
      <c r="C2" s="211" t="s">
        <v>1158</v>
      </c>
      <c r="D2" s="211" t="s">
        <v>1161</v>
      </c>
      <c r="E2" s="211" t="s">
        <v>1160</v>
      </c>
      <c r="F2" s="211" t="s">
        <v>1159</v>
      </c>
    </row>
    <row r="3" spans="1:6" x14ac:dyDescent="0.25">
      <c r="A3" s="212" t="s">
        <v>98</v>
      </c>
      <c r="B3" s="213">
        <v>617.94999999999982</v>
      </c>
      <c r="C3" s="213">
        <v>50642364.209999993</v>
      </c>
      <c r="D3" s="213">
        <v>667.6200000000008</v>
      </c>
      <c r="E3" s="213">
        <v>23158045.440000001</v>
      </c>
      <c r="F3" s="213">
        <v>125828908.95999999</v>
      </c>
    </row>
    <row r="4" spans="1:6" x14ac:dyDescent="0.25">
      <c r="A4" s="212" t="s">
        <v>101</v>
      </c>
      <c r="B4" s="213">
        <v>0</v>
      </c>
      <c r="C4" s="213">
        <v>0</v>
      </c>
      <c r="D4" s="213">
        <v>0</v>
      </c>
      <c r="E4" s="213">
        <v>1587541.06</v>
      </c>
      <c r="F4" s="213">
        <v>0</v>
      </c>
    </row>
    <row r="5" spans="1:6" x14ac:dyDescent="0.25">
      <c r="A5" s="212" t="s">
        <v>102</v>
      </c>
      <c r="B5" s="213">
        <v>729724.62</v>
      </c>
      <c r="C5" s="213">
        <v>109642884.42999999</v>
      </c>
      <c r="D5" s="213">
        <v>8279695.6699999999</v>
      </c>
      <c r="E5" s="213">
        <v>41219292.730000004</v>
      </c>
      <c r="F5" s="213">
        <v>102701022.83000001</v>
      </c>
    </row>
    <row r="6" spans="1:6" x14ac:dyDescent="0.25">
      <c r="A6" s="212" t="s">
        <v>105</v>
      </c>
      <c r="B6" s="213">
        <v>173739.74</v>
      </c>
      <c r="C6" s="213">
        <v>53382123.770000003</v>
      </c>
      <c r="D6" s="213">
        <v>0</v>
      </c>
      <c r="E6" s="213">
        <v>283029.66000000003</v>
      </c>
      <c r="F6" s="213">
        <v>2663754.23</v>
      </c>
    </row>
    <row r="7" spans="1:6" x14ac:dyDescent="0.25">
      <c r="A7" s="212" t="s">
        <v>104</v>
      </c>
      <c r="B7" s="213">
        <v>0</v>
      </c>
      <c r="C7" s="213">
        <v>232945.11</v>
      </c>
      <c r="D7" s="213">
        <v>0</v>
      </c>
      <c r="E7" s="213">
        <v>0</v>
      </c>
      <c r="F7" s="213">
        <v>0</v>
      </c>
    </row>
    <row r="8" spans="1:6" x14ac:dyDescent="0.25">
      <c r="A8" s="212" t="s">
        <v>103</v>
      </c>
      <c r="B8" s="213">
        <v>0</v>
      </c>
      <c r="C8" s="213">
        <v>398944.56</v>
      </c>
      <c r="D8" s="213">
        <v>0</v>
      </c>
      <c r="E8" s="213">
        <v>0</v>
      </c>
      <c r="F8" s="213">
        <v>0</v>
      </c>
    </row>
    <row r="9" spans="1:6" x14ac:dyDescent="0.25">
      <c r="A9" s="212" t="s">
        <v>106</v>
      </c>
      <c r="B9" s="213">
        <v>0</v>
      </c>
      <c r="C9" s="213">
        <v>124403.45999999999</v>
      </c>
      <c r="D9" s="213">
        <v>0</v>
      </c>
      <c r="E9" s="213">
        <v>46102.92</v>
      </c>
      <c r="F9" s="213">
        <v>82177.919999999998</v>
      </c>
    </row>
    <row r="10" spans="1:6" x14ac:dyDescent="0.25">
      <c r="A10" s="212" t="s">
        <v>107</v>
      </c>
      <c r="B10" s="213">
        <v>0</v>
      </c>
      <c r="C10" s="213">
        <v>0</v>
      </c>
      <c r="D10" s="213">
        <v>0</v>
      </c>
      <c r="E10" s="213">
        <v>435091.26999999996</v>
      </c>
      <c r="F10" s="213">
        <v>1913522.5200000061</v>
      </c>
    </row>
    <row r="11" spans="1:6" x14ac:dyDescent="0.25">
      <c r="A11" s="212" t="s">
        <v>108</v>
      </c>
      <c r="B11" s="213">
        <v>0</v>
      </c>
      <c r="C11" s="213">
        <v>0</v>
      </c>
      <c r="D11" s="213">
        <v>0</v>
      </c>
      <c r="E11" s="213">
        <v>0</v>
      </c>
      <c r="F11" s="213">
        <v>0</v>
      </c>
    </row>
    <row r="12" spans="1:6" x14ac:dyDescent="0.25">
      <c r="A12" s="212" t="s">
        <v>109</v>
      </c>
      <c r="B12" s="213">
        <v>0</v>
      </c>
      <c r="C12" s="213">
        <v>0</v>
      </c>
      <c r="D12" s="213">
        <v>0</v>
      </c>
      <c r="E12" s="213">
        <v>0</v>
      </c>
      <c r="F12" s="213">
        <v>706469.28999999992</v>
      </c>
    </row>
    <row r="13" spans="1:6" x14ac:dyDescent="0.25">
      <c r="A13" s="212" t="s">
        <v>100</v>
      </c>
      <c r="B13" s="213">
        <v>0</v>
      </c>
      <c r="C13" s="213">
        <v>136573.28</v>
      </c>
      <c r="D13" s="213">
        <v>0</v>
      </c>
      <c r="E13" s="213">
        <v>55535.830000000075</v>
      </c>
      <c r="F13" s="213">
        <v>337845.68999999901</v>
      </c>
    </row>
    <row r="14" spans="1:6" x14ac:dyDescent="0.25">
      <c r="A14" s="212" t="s">
        <v>110</v>
      </c>
      <c r="B14" s="213">
        <v>0</v>
      </c>
      <c r="C14" s="213">
        <v>24773.96</v>
      </c>
      <c r="D14" s="213">
        <v>0</v>
      </c>
      <c r="E14" s="213">
        <v>0</v>
      </c>
      <c r="F14" s="213">
        <v>0</v>
      </c>
    </row>
    <row r="15" spans="1:6" x14ac:dyDescent="0.25">
      <c r="A15" s="212" t="s">
        <v>111</v>
      </c>
      <c r="B15" s="213">
        <v>0</v>
      </c>
      <c r="C15" s="213">
        <v>882086.29</v>
      </c>
      <c r="D15" s="213">
        <v>13174.2</v>
      </c>
      <c r="E15" s="213">
        <v>0</v>
      </c>
      <c r="F15" s="213">
        <v>581881.93000000005</v>
      </c>
    </row>
    <row r="16" spans="1:6" x14ac:dyDescent="0.25">
      <c r="A16" s="212" t="s">
        <v>112</v>
      </c>
      <c r="B16" s="213">
        <v>0</v>
      </c>
      <c r="C16" s="213">
        <v>0</v>
      </c>
      <c r="D16" s="213">
        <v>0</v>
      </c>
      <c r="E16" s="213">
        <v>0</v>
      </c>
      <c r="F16" s="213">
        <v>0</v>
      </c>
    </row>
    <row r="17" spans="1:6" x14ac:dyDescent="0.25">
      <c r="A17" s="212" t="s">
        <v>113</v>
      </c>
      <c r="B17" s="213">
        <v>0</v>
      </c>
      <c r="C17" s="213">
        <v>0</v>
      </c>
      <c r="D17" s="213">
        <v>0</v>
      </c>
      <c r="E17" s="213">
        <v>0</v>
      </c>
      <c r="F17" s="213">
        <v>0</v>
      </c>
    </row>
    <row r="18" spans="1:6" x14ac:dyDescent="0.25">
      <c r="A18" s="212" t="s">
        <v>153</v>
      </c>
      <c r="B18" s="213">
        <v>904082.30999999994</v>
      </c>
      <c r="C18" s="213">
        <v>215467099.06999999</v>
      </c>
      <c r="D18" s="213">
        <v>8293537.4900000002</v>
      </c>
      <c r="E18" s="213">
        <v>66784638.909999996</v>
      </c>
      <c r="F18" s="213">
        <v>234815583.37</v>
      </c>
    </row>
    <row r="19" spans="1:6" x14ac:dyDescent="0.25">
      <c r="A19" s="212" t="s">
        <v>128</v>
      </c>
      <c r="B19" s="213">
        <v>0</v>
      </c>
      <c r="C19" s="213">
        <v>0</v>
      </c>
      <c r="D19" s="213">
        <v>0</v>
      </c>
      <c r="E19" s="213">
        <v>0</v>
      </c>
      <c r="F19" s="213">
        <v>0</v>
      </c>
    </row>
    <row r="20" spans="1:6" x14ac:dyDescent="0.25">
      <c r="A20" s="212" t="s">
        <v>114</v>
      </c>
      <c r="B20" s="213">
        <v>0</v>
      </c>
      <c r="C20" s="213">
        <v>15067851.34</v>
      </c>
      <c r="D20" s="213">
        <v>0</v>
      </c>
      <c r="E20" s="213">
        <v>0</v>
      </c>
      <c r="F20" s="213">
        <v>0</v>
      </c>
    </row>
    <row r="21" spans="1:6" x14ac:dyDescent="0.25">
      <c r="A21" s="212" t="s">
        <v>115</v>
      </c>
      <c r="B21" s="213">
        <v>0</v>
      </c>
      <c r="C21" s="213">
        <v>431250.67000000004</v>
      </c>
      <c r="D21" s="213">
        <v>0</v>
      </c>
      <c r="E21" s="213">
        <v>0</v>
      </c>
      <c r="F21" s="213">
        <v>0</v>
      </c>
    </row>
    <row r="22" spans="1:6" x14ac:dyDescent="0.25">
      <c r="A22" s="212" t="s">
        <v>116</v>
      </c>
      <c r="B22" s="213">
        <v>0</v>
      </c>
      <c r="C22" s="213">
        <v>1104136.49</v>
      </c>
      <c r="D22" s="213">
        <v>0</v>
      </c>
      <c r="E22" s="213">
        <v>0</v>
      </c>
      <c r="F22" s="213">
        <v>0</v>
      </c>
    </row>
    <row r="23" spans="1:6" x14ac:dyDescent="0.25">
      <c r="A23" s="212" t="s">
        <v>117</v>
      </c>
      <c r="B23" s="213">
        <v>0</v>
      </c>
      <c r="C23" s="213">
        <v>122781286.97000001</v>
      </c>
      <c r="D23" s="213">
        <v>0</v>
      </c>
      <c r="E23" s="213">
        <v>0</v>
      </c>
      <c r="F23" s="213">
        <v>0</v>
      </c>
    </row>
    <row r="24" spans="1:6" x14ac:dyDescent="0.25">
      <c r="A24" s="212" t="s">
        <v>118</v>
      </c>
      <c r="B24" s="213">
        <v>0</v>
      </c>
      <c r="C24" s="213">
        <v>19541054.509999998</v>
      </c>
      <c r="D24" s="213">
        <v>0</v>
      </c>
      <c r="E24" s="213">
        <v>0</v>
      </c>
      <c r="F24" s="213">
        <v>16793.72</v>
      </c>
    </row>
    <row r="25" spans="1:6" x14ac:dyDescent="0.25">
      <c r="A25" s="212" t="s">
        <v>119</v>
      </c>
      <c r="B25" s="213">
        <v>0</v>
      </c>
      <c r="C25" s="213">
        <v>13384523.27</v>
      </c>
      <c r="D25" s="213">
        <v>0</v>
      </c>
      <c r="E25" s="213">
        <v>0</v>
      </c>
      <c r="F25" s="213">
        <v>37128.280000000028</v>
      </c>
    </row>
    <row r="26" spans="1:6" x14ac:dyDescent="0.25">
      <c r="A26" s="212" t="s">
        <v>120</v>
      </c>
      <c r="B26" s="213">
        <v>0</v>
      </c>
      <c r="C26" s="213">
        <v>-70433158.25</v>
      </c>
      <c r="D26" s="213">
        <v>0</v>
      </c>
      <c r="E26" s="213">
        <v>0</v>
      </c>
      <c r="F26" s="213">
        <v>-16793.72</v>
      </c>
    </row>
    <row r="27" spans="1:6" x14ac:dyDescent="0.25">
      <c r="A27" s="212" t="s">
        <v>121</v>
      </c>
      <c r="B27" s="213">
        <v>0</v>
      </c>
      <c r="C27" s="213">
        <v>101876945</v>
      </c>
      <c r="D27" s="213">
        <v>0</v>
      </c>
      <c r="E27" s="213">
        <v>0</v>
      </c>
      <c r="F27" s="213">
        <v>37128.280000000028</v>
      </c>
    </row>
    <row r="28" spans="1:6" x14ac:dyDescent="0.25">
      <c r="A28" s="212" t="s">
        <v>129</v>
      </c>
      <c r="B28" s="213">
        <v>0</v>
      </c>
      <c r="C28" s="213">
        <v>4969153.46</v>
      </c>
      <c r="D28" s="213">
        <v>0</v>
      </c>
      <c r="E28" s="213">
        <v>0</v>
      </c>
      <c r="F28" s="213">
        <v>0</v>
      </c>
    </row>
    <row r="29" spans="1:6" x14ac:dyDescent="0.25">
      <c r="A29" s="212" t="s">
        <v>122</v>
      </c>
      <c r="B29" s="213">
        <v>0</v>
      </c>
      <c r="C29" s="213">
        <v>0</v>
      </c>
      <c r="D29" s="213">
        <v>0</v>
      </c>
      <c r="E29" s="213">
        <v>0</v>
      </c>
      <c r="F29" s="213">
        <v>0</v>
      </c>
    </row>
    <row r="30" spans="1:6" x14ac:dyDescent="0.25">
      <c r="A30" s="212" t="s">
        <v>123</v>
      </c>
      <c r="B30" s="213">
        <v>0</v>
      </c>
      <c r="C30" s="213">
        <v>4083813.2800000003</v>
      </c>
      <c r="D30" s="213">
        <v>0</v>
      </c>
      <c r="E30" s="213">
        <v>0</v>
      </c>
      <c r="F30" s="213">
        <v>0</v>
      </c>
    </row>
    <row r="31" spans="1:6" x14ac:dyDescent="0.25">
      <c r="A31" s="212" t="s">
        <v>124</v>
      </c>
      <c r="B31" s="213">
        <v>0</v>
      </c>
      <c r="C31" s="213">
        <v>0</v>
      </c>
      <c r="D31" s="213">
        <v>0</v>
      </c>
      <c r="E31" s="213">
        <v>0</v>
      </c>
      <c r="F31" s="213">
        <v>0</v>
      </c>
    </row>
    <row r="32" spans="1:6" x14ac:dyDescent="0.25">
      <c r="A32" s="212" t="s">
        <v>125</v>
      </c>
      <c r="B32" s="213">
        <v>27455.439999999999</v>
      </c>
      <c r="C32" s="213">
        <v>13823157.060000001</v>
      </c>
      <c r="D32" s="213">
        <v>20836.89</v>
      </c>
      <c r="E32" s="213">
        <v>9417.6299999999992</v>
      </c>
      <c r="F32" s="213">
        <v>29401.98</v>
      </c>
    </row>
    <row r="33" spans="1:6" x14ac:dyDescent="0.25">
      <c r="A33" s="212" t="s">
        <v>126</v>
      </c>
      <c r="B33" s="213">
        <v>0</v>
      </c>
      <c r="C33" s="213">
        <v>1048042.11</v>
      </c>
      <c r="D33" s="213">
        <v>0</v>
      </c>
      <c r="E33" s="213">
        <v>0</v>
      </c>
      <c r="F33" s="213">
        <v>0</v>
      </c>
    </row>
    <row r="34" spans="1:6" x14ac:dyDescent="0.25">
      <c r="A34" s="212" t="s">
        <v>127</v>
      </c>
      <c r="B34" s="213">
        <v>27455.439999999999</v>
      </c>
      <c r="C34" s="213">
        <v>42713055.43</v>
      </c>
      <c r="D34" s="213">
        <v>20836.89</v>
      </c>
      <c r="E34" s="213">
        <v>9417.6299999999992</v>
      </c>
      <c r="F34" s="213">
        <v>66530.260000000024</v>
      </c>
    </row>
    <row r="35" spans="1:6" x14ac:dyDescent="0.25">
      <c r="A35" s="212" t="s">
        <v>155</v>
      </c>
      <c r="B35" s="213">
        <v>931537.74999999988</v>
      </c>
      <c r="C35" s="213">
        <v>336842490.56999993</v>
      </c>
      <c r="D35" s="213">
        <v>8314374.3799999999</v>
      </c>
      <c r="E35" s="213">
        <v>66794056.539999992</v>
      </c>
      <c r="F35" s="213">
        <v>234882113.63</v>
      </c>
    </row>
    <row r="36" spans="1:6" x14ac:dyDescent="0.25">
      <c r="A36" s="212" t="s">
        <v>99</v>
      </c>
      <c r="B36" s="213">
        <v>0</v>
      </c>
      <c r="C36" s="213">
        <v>286857.01</v>
      </c>
      <c r="D36" s="213">
        <v>0</v>
      </c>
      <c r="E36" s="213">
        <v>0</v>
      </c>
      <c r="F36" s="213">
        <v>0</v>
      </c>
    </row>
    <row r="37" spans="1:6" x14ac:dyDescent="0.25">
      <c r="A37" s="212" t="s">
        <v>156</v>
      </c>
      <c r="B37" s="213">
        <v>80121.75</v>
      </c>
      <c r="C37" s="213">
        <v>50497269.230000004</v>
      </c>
      <c r="D37" s="213">
        <v>60807.19</v>
      </c>
      <c r="E37" s="213">
        <v>27482.94</v>
      </c>
      <c r="F37" s="213">
        <v>85802.209999999992</v>
      </c>
    </row>
    <row r="38" spans="1:6" x14ac:dyDescent="0.25">
      <c r="A38" s="212" t="s">
        <v>157</v>
      </c>
      <c r="B38" s="213">
        <v>29802.1</v>
      </c>
      <c r="C38" s="213">
        <v>10269388.359999999</v>
      </c>
      <c r="D38" s="213">
        <v>14484.07</v>
      </c>
      <c r="E38" s="213">
        <v>4373.4399999999996</v>
      </c>
      <c r="F38" s="213">
        <v>26993.040000000001</v>
      </c>
    </row>
    <row r="39" spans="1:6" x14ac:dyDescent="0.25">
      <c r="A39" s="212" t="s">
        <v>158</v>
      </c>
      <c r="B39" s="213">
        <v>109923.85</v>
      </c>
      <c r="C39" s="213">
        <v>61053514.600000001</v>
      </c>
      <c r="D39" s="213">
        <v>75291.260000000009</v>
      </c>
      <c r="E39" s="213">
        <v>31856.379999999997</v>
      </c>
      <c r="F39" s="213">
        <v>112795.25</v>
      </c>
    </row>
    <row r="40" spans="1:6" x14ac:dyDescent="0.25">
      <c r="A40" s="212" t="s">
        <v>159</v>
      </c>
      <c r="B40" s="213">
        <v>15894.56</v>
      </c>
      <c r="C40" s="213">
        <v>20401802.490000006</v>
      </c>
      <c r="D40" s="213">
        <v>2666.66</v>
      </c>
      <c r="E40" s="213">
        <v>1030478.199999999</v>
      </c>
      <c r="F40" s="213">
        <v>8141480.04</v>
      </c>
    </row>
    <row r="41" spans="1:6" x14ac:dyDescent="0.25">
      <c r="A41" s="212" t="s">
        <v>160</v>
      </c>
      <c r="B41" s="213">
        <v>0</v>
      </c>
      <c r="C41" s="213">
        <v>0</v>
      </c>
      <c r="D41" s="213">
        <v>0</v>
      </c>
      <c r="E41" s="213">
        <v>1587541.06</v>
      </c>
      <c r="F41" s="213">
        <v>0</v>
      </c>
    </row>
    <row r="42" spans="1:6" x14ac:dyDescent="0.25">
      <c r="A42" s="212" t="s">
        <v>161</v>
      </c>
      <c r="B42" s="213">
        <v>0</v>
      </c>
      <c r="C42" s="213">
        <v>58856.45</v>
      </c>
      <c r="D42" s="213">
        <v>0</v>
      </c>
      <c r="E42" s="213">
        <v>0</v>
      </c>
      <c r="F42" s="213">
        <v>0</v>
      </c>
    </row>
    <row r="43" spans="1:6" x14ac:dyDescent="0.25">
      <c r="A43" s="212" t="s">
        <v>130</v>
      </c>
      <c r="B43" s="213">
        <v>0</v>
      </c>
      <c r="C43" s="213">
        <v>101732.67</v>
      </c>
      <c r="D43" s="213">
        <v>0</v>
      </c>
      <c r="E43" s="213">
        <v>0</v>
      </c>
      <c r="F43" s="213">
        <v>0</v>
      </c>
    </row>
    <row r="44" spans="1:6" x14ac:dyDescent="0.25">
      <c r="A44" s="212" t="s">
        <v>131</v>
      </c>
      <c r="B44" s="213">
        <v>0</v>
      </c>
      <c r="C44" s="213">
        <v>977588.34000000008</v>
      </c>
      <c r="D44" s="213">
        <v>0</v>
      </c>
      <c r="E44" s="213">
        <v>0</v>
      </c>
      <c r="F44" s="213">
        <v>0</v>
      </c>
    </row>
    <row r="45" spans="1:6" x14ac:dyDescent="0.25">
      <c r="A45" s="212" t="s">
        <v>132</v>
      </c>
      <c r="B45" s="213">
        <v>0</v>
      </c>
      <c r="C45" s="213">
        <v>885052.95000000007</v>
      </c>
      <c r="D45" s="213">
        <v>0</v>
      </c>
      <c r="E45" s="213">
        <v>0</v>
      </c>
      <c r="F45" s="213">
        <v>0</v>
      </c>
    </row>
    <row r="46" spans="1:6" x14ac:dyDescent="0.25">
      <c r="A46" s="212" t="s">
        <v>162</v>
      </c>
      <c r="B46" s="213">
        <v>0</v>
      </c>
      <c r="C46" s="213">
        <v>-65.59</v>
      </c>
      <c r="D46" s="213">
        <v>0</v>
      </c>
      <c r="E46" s="213">
        <v>0</v>
      </c>
      <c r="F46" s="213">
        <v>0</v>
      </c>
    </row>
    <row r="47" spans="1:6" x14ac:dyDescent="0.25">
      <c r="A47" s="212" t="s">
        <v>163</v>
      </c>
      <c r="B47" s="213">
        <v>0</v>
      </c>
      <c r="C47" s="213">
        <v>0</v>
      </c>
      <c r="D47" s="213">
        <v>0</v>
      </c>
      <c r="E47" s="213">
        <v>0</v>
      </c>
      <c r="F47" s="213">
        <v>0</v>
      </c>
    </row>
    <row r="48" spans="1:6" x14ac:dyDescent="0.25">
      <c r="A48" s="212" t="s">
        <v>164</v>
      </c>
      <c r="B48" s="213">
        <v>20527.534745010988</v>
      </c>
      <c r="C48" s="213">
        <v>18388773.329087261</v>
      </c>
      <c r="D48" s="213">
        <v>39794.415094954209</v>
      </c>
      <c r="E48" s="213">
        <v>15830.711533970234</v>
      </c>
      <c r="F48" s="213">
        <v>51873.950340851785</v>
      </c>
    </row>
    <row r="49" spans="1:6" x14ac:dyDescent="0.25">
      <c r="A49" s="212" t="s">
        <v>165</v>
      </c>
      <c r="B49" s="213">
        <v>261687.32</v>
      </c>
      <c r="C49" s="213">
        <v>0</v>
      </c>
      <c r="D49" s="213">
        <v>42992.34</v>
      </c>
      <c r="E49" s="213">
        <v>18282.080000000002</v>
      </c>
      <c r="F49" s="213">
        <v>75982.820000000007</v>
      </c>
    </row>
    <row r="50" spans="1:6" x14ac:dyDescent="0.25">
      <c r="A50" s="212" t="s">
        <v>166</v>
      </c>
      <c r="B50" s="213">
        <v>2347.4499999999998</v>
      </c>
      <c r="C50" s="213">
        <v>1403760.000138286</v>
      </c>
      <c r="D50" s="213">
        <v>1140.87969032258</v>
      </c>
      <c r="E50" s="213">
        <v>344.4864</v>
      </c>
      <c r="F50" s="213">
        <v>2126.18487741935</v>
      </c>
    </row>
    <row r="51" spans="1:6" x14ac:dyDescent="0.25">
      <c r="A51" s="212" t="s">
        <v>167</v>
      </c>
      <c r="B51" s="213">
        <v>0</v>
      </c>
      <c r="C51" s="213">
        <v>2897415.23</v>
      </c>
      <c r="D51" s="213">
        <v>0</v>
      </c>
      <c r="E51" s="213">
        <v>0</v>
      </c>
      <c r="F51" s="213">
        <v>0</v>
      </c>
    </row>
    <row r="52" spans="1:6" x14ac:dyDescent="0.25">
      <c r="A52" s="212" t="s">
        <v>168</v>
      </c>
      <c r="B52" s="213">
        <v>0</v>
      </c>
      <c r="C52" s="213">
        <v>1346796.8</v>
      </c>
      <c r="D52" s="213">
        <v>0</v>
      </c>
      <c r="E52" s="213">
        <v>0</v>
      </c>
      <c r="F52" s="213">
        <v>0</v>
      </c>
    </row>
    <row r="53" spans="1:6" x14ac:dyDescent="0.25">
      <c r="A53" s="212" t="s">
        <v>133</v>
      </c>
      <c r="B53" s="213">
        <v>0</v>
      </c>
      <c r="C53" s="213">
        <v>0</v>
      </c>
      <c r="D53" s="213">
        <v>0</v>
      </c>
      <c r="E53" s="213">
        <v>0</v>
      </c>
      <c r="F53" s="213">
        <v>0</v>
      </c>
    </row>
    <row r="54" spans="1:6" x14ac:dyDescent="0.25">
      <c r="A54" s="212" t="s">
        <v>134</v>
      </c>
      <c r="B54" s="213">
        <v>0</v>
      </c>
      <c r="C54" s="213">
        <v>0</v>
      </c>
      <c r="D54" s="213">
        <v>975329</v>
      </c>
      <c r="E54" s="213">
        <v>1108196.6400000001</v>
      </c>
      <c r="F54" s="213">
        <v>13040456.42</v>
      </c>
    </row>
    <row r="55" spans="1:6" x14ac:dyDescent="0.25">
      <c r="A55" s="212" t="s">
        <v>135</v>
      </c>
      <c r="B55" s="213">
        <v>0</v>
      </c>
      <c r="C55" s="213">
        <v>16411.13</v>
      </c>
      <c r="D55" s="213">
        <v>325823</v>
      </c>
      <c r="E55" s="213">
        <v>1183349.6200000001</v>
      </c>
      <c r="F55" s="213">
        <v>12096322.829999998</v>
      </c>
    </row>
    <row r="56" spans="1:6" x14ac:dyDescent="0.25">
      <c r="A56" s="212" t="s">
        <v>136</v>
      </c>
      <c r="B56" s="213">
        <v>0</v>
      </c>
      <c r="C56" s="213">
        <v>0</v>
      </c>
      <c r="D56" s="213">
        <v>0</v>
      </c>
      <c r="E56" s="213">
        <v>86000</v>
      </c>
      <c r="F56" s="213">
        <v>5818162.29</v>
      </c>
    </row>
    <row r="57" spans="1:6" x14ac:dyDescent="0.25">
      <c r="A57" s="212" t="s">
        <v>137</v>
      </c>
      <c r="B57" s="213">
        <v>0</v>
      </c>
      <c r="C57" s="213">
        <v>0</v>
      </c>
      <c r="D57" s="213">
        <v>0</v>
      </c>
      <c r="E57" s="213">
        <v>0</v>
      </c>
      <c r="F57" s="213">
        <v>4529403</v>
      </c>
    </row>
    <row r="58" spans="1:6" x14ac:dyDescent="0.25">
      <c r="A58" s="212" t="s">
        <v>138</v>
      </c>
      <c r="B58" s="213">
        <v>0</v>
      </c>
      <c r="C58" s="213">
        <v>-3003.36</v>
      </c>
      <c r="D58" s="213">
        <v>0</v>
      </c>
      <c r="E58" s="213">
        <v>0</v>
      </c>
      <c r="F58" s="213">
        <v>0</v>
      </c>
    </row>
    <row r="59" spans="1:6" x14ac:dyDescent="0.25">
      <c r="A59" s="212" t="s">
        <v>139</v>
      </c>
      <c r="B59" s="213">
        <v>0</v>
      </c>
      <c r="C59" s="213">
        <v>4684108.4400000004</v>
      </c>
      <c r="D59" s="213">
        <v>0</v>
      </c>
      <c r="E59" s="213">
        <v>0</v>
      </c>
      <c r="F59" s="213">
        <v>0</v>
      </c>
    </row>
    <row r="60" spans="1:6" x14ac:dyDescent="0.25">
      <c r="A60" s="212" t="s">
        <v>140</v>
      </c>
      <c r="B60" s="213">
        <v>0</v>
      </c>
      <c r="C60" s="213">
        <v>0</v>
      </c>
      <c r="D60" s="213">
        <v>0</v>
      </c>
      <c r="E60" s="213">
        <v>195441</v>
      </c>
      <c r="F60" s="213">
        <v>0</v>
      </c>
    </row>
    <row r="61" spans="1:6" x14ac:dyDescent="0.25">
      <c r="A61" s="212" t="s">
        <v>141</v>
      </c>
      <c r="B61" s="213">
        <v>0</v>
      </c>
      <c r="C61" s="213">
        <v>18684.23</v>
      </c>
      <c r="D61" s="213">
        <v>0</v>
      </c>
      <c r="E61" s="213">
        <v>0</v>
      </c>
      <c r="F61" s="213">
        <v>0</v>
      </c>
    </row>
    <row r="62" spans="1:6" x14ac:dyDescent="0.25">
      <c r="A62" s="212" t="s">
        <v>142</v>
      </c>
      <c r="B62" s="213">
        <v>300456.86474501103</v>
      </c>
      <c r="C62" s="213">
        <v>51524170.109225556</v>
      </c>
      <c r="D62" s="213">
        <v>1387746.2947852768</v>
      </c>
      <c r="E62" s="213">
        <v>5225463.7979339687</v>
      </c>
      <c r="F62" s="213">
        <v>43755807.535218269</v>
      </c>
    </row>
    <row r="63" spans="1:6" x14ac:dyDescent="0.25">
      <c r="A63" s="212" t="s">
        <v>143</v>
      </c>
      <c r="B63" s="213">
        <v>19980.595396284694</v>
      </c>
      <c r="C63" s="213">
        <v>12575728.75</v>
      </c>
      <c r="D63" s="213">
        <v>80366.686602708287</v>
      </c>
      <c r="E63" s="213">
        <v>41495.367944890153</v>
      </c>
      <c r="F63" s="213">
        <v>108349.24506822607</v>
      </c>
    </row>
    <row r="64" spans="1:6" x14ac:dyDescent="0.25">
      <c r="A64" s="212" t="s">
        <v>144</v>
      </c>
      <c r="B64" s="213">
        <v>0</v>
      </c>
      <c r="C64" s="213">
        <v>245203.39</v>
      </c>
      <c r="D64" s="213">
        <v>0</v>
      </c>
      <c r="E64" s="213">
        <v>0</v>
      </c>
      <c r="F64" s="213">
        <v>0</v>
      </c>
    </row>
    <row r="65" spans="1:6" x14ac:dyDescent="0.25">
      <c r="A65" s="212" t="s">
        <v>145</v>
      </c>
      <c r="B65" s="213">
        <v>0</v>
      </c>
      <c r="C65" s="213">
        <v>1014328.21</v>
      </c>
      <c r="D65" s="213">
        <v>0</v>
      </c>
      <c r="E65" s="213">
        <v>0</v>
      </c>
      <c r="F65" s="213">
        <v>0</v>
      </c>
    </row>
    <row r="66" spans="1:6" x14ac:dyDescent="0.25">
      <c r="A66" s="212" t="s">
        <v>146</v>
      </c>
      <c r="B66" s="213">
        <v>0</v>
      </c>
      <c r="C66" s="213">
        <v>0</v>
      </c>
      <c r="D66" s="213">
        <v>0</v>
      </c>
      <c r="E66" s="213">
        <v>0</v>
      </c>
      <c r="F66" s="213">
        <v>0</v>
      </c>
    </row>
    <row r="67" spans="1:6" x14ac:dyDescent="0.25">
      <c r="A67" s="212" t="s">
        <v>147</v>
      </c>
      <c r="B67" s="213">
        <v>0</v>
      </c>
      <c r="C67" s="213">
        <v>0</v>
      </c>
      <c r="D67" s="213">
        <v>1002225</v>
      </c>
      <c r="E67" s="213">
        <v>754248.71000000008</v>
      </c>
      <c r="F67" s="213">
        <v>23478547.75</v>
      </c>
    </row>
    <row r="68" spans="1:6" x14ac:dyDescent="0.25">
      <c r="A68" s="212" t="s">
        <v>148</v>
      </c>
      <c r="B68" s="213">
        <v>0</v>
      </c>
      <c r="C68" s="213">
        <v>0</v>
      </c>
      <c r="D68" s="213">
        <v>960778</v>
      </c>
      <c r="E68" s="213">
        <v>20094</v>
      </c>
      <c r="F68" s="213">
        <v>15120214.459999997</v>
      </c>
    </row>
    <row r="69" spans="1:6" x14ac:dyDescent="0.25">
      <c r="A69" s="212" t="s">
        <v>149</v>
      </c>
      <c r="B69" s="213">
        <v>0</v>
      </c>
      <c r="C69" s="213">
        <v>0</v>
      </c>
      <c r="D69" s="213">
        <v>250000</v>
      </c>
      <c r="E69" s="213">
        <v>185000.25</v>
      </c>
      <c r="F69" s="213">
        <v>1302165.54</v>
      </c>
    </row>
    <row r="70" spans="1:6" x14ac:dyDescent="0.25">
      <c r="A70" s="212" t="s">
        <v>150</v>
      </c>
      <c r="B70" s="213">
        <v>0</v>
      </c>
      <c r="C70" s="213">
        <v>0</v>
      </c>
      <c r="D70" s="213">
        <v>0</v>
      </c>
      <c r="E70" s="213">
        <v>0</v>
      </c>
      <c r="F70" s="213">
        <v>1848641.92</v>
      </c>
    </row>
    <row r="71" spans="1:6" x14ac:dyDescent="0.25">
      <c r="A71" s="212" t="s">
        <v>151</v>
      </c>
      <c r="B71" s="213">
        <v>22045.52</v>
      </c>
      <c r="C71" s="213">
        <v>14972193.17</v>
      </c>
      <c r="D71" s="213">
        <v>16731.11</v>
      </c>
      <c r="E71" s="213">
        <v>7561.94</v>
      </c>
      <c r="F71" s="213">
        <v>23608.5</v>
      </c>
    </row>
    <row r="72" spans="1:6" x14ac:dyDescent="0.25">
      <c r="A72" s="212" t="s">
        <v>152</v>
      </c>
      <c r="B72" s="213">
        <v>90025.55</v>
      </c>
      <c r="C72" s="213">
        <v>49416796.100000001</v>
      </c>
      <c r="D72" s="213">
        <v>43753.168516129001</v>
      </c>
      <c r="E72" s="213">
        <v>13211.183999999999</v>
      </c>
      <c r="F72" s="213">
        <v>81539.995870967701</v>
      </c>
    </row>
    <row r="73" spans="1:6" x14ac:dyDescent="0.25">
      <c r="A73" s="212" t="s">
        <v>169</v>
      </c>
      <c r="B73" s="213">
        <v>0</v>
      </c>
      <c r="C73" s="213">
        <v>10196687.42</v>
      </c>
      <c r="D73" s="213">
        <v>0</v>
      </c>
      <c r="E73" s="213">
        <v>0</v>
      </c>
      <c r="F73" s="213">
        <v>0</v>
      </c>
    </row>
    <row r="74" spans="1:6" x14ac:dyDescent="0.25">
      <c r="A74" s="212" t="s">
        <v>170</v>
      </c>
      <c r="B74" s="213">
        <v>0</v>
      </c>
      <c r="C74" s="213">
        <v>9330251.8100000005</v>
      </c>
      <c r="D74" s="213">
        <v>0</v>
      </c>
      <c r="E74" s="213">
        <v>0</v>
      </c>
      <c r="F74" s="213">
        <v>0</v>
      </c>
    </row>
    <row r="75" spans="1:6" x14ac:dyDescent="0.25">
      <c r="A75" s="212" t="s">
        <v>171</v>
      </c>
      <c r="B75" s="213">
        <v>0</v>
      </c>
      <c r="C75" s="213">
        <v>0</v>
      </c>
      <c r="D75" s="213">
        <v>0</v>
      </c>
      <c r="E75" s="213">
        <v>0</v>
      </c>
      <c r="F75" s="213">
        <v>0</v>
      </c>
    </row>
    <row r="76" spans="1:6" x14ac:dyDescent="0.25">
      <c r="A76" s="212" t="s">
        <v>172</v>
      </c>
      <c r="B76" s="213">
        <v>132051.66539628469</v>
      </c>
      <c r="C76" s="213">
        <v>97751188.849999994</v>
      </c>
      <c r="D76" s="213">
        <v>2353853.9651188366</v>
      </c>
      <c r="E76" s="213">
        <v>1021611.4519448902</v>
      </c>
      <c r="F76" s="213">
        <v>41963067.410939194</v>
      </c>
    </row>
    <row r="77" spans="1:6" x14ac:dyDescent="0.25">
      <c r="A77" s="212" t="s">
        <v>173</v>
      </c>
      <c r="B77" s="213">
        <v>432508.53014129575</v>
      </c>
      <c r="C77" s="213">
        <v>149275358.95922557</v>
      </c>
      <c r="D77" s="213">
        <v>3741600.2599041136</v>
      </c>
      <c r="E77" s="213">
        <v>6247075.2498788591</v>
      </c>
      <c r="F77" s="213">
        <v>85718874.946157455</v>
      </c>
    </row>
    <row r="78" spans="1:6" x14ac:dyDescent="0.25">
      <c r="A78" s="212" t="s">
        <v>499</v>
      </c>
      <c r="B78" s="213">
        <v>0</v>
      </c>
      <c r="C78" s="213">
        <v>612050</v>
      </c>
      <c r="D78" s="213">
        <v>0</v>
      </c>
      <c r="E78" s="213">
        <v>0</v>
      </c>
      <c r="F78" s="213">
        <v>0</v>
      </c>
    </row>
    <row r="79" spans="1:6" x14ac:dyDescent="0.25">
      <c r="A79" s="212" t="s">
        <v>174</v>
      </c>
      <c r="B79" s="213">
        <v>0</v>
      </c>
      <c r="C79" s="213">
        <v>11807974.66</v>
      </c>
      <c r="D79" s="213">
        <v>0</v>
      </c>
      <c r="E79" s="213">
        <v>0</v>
      </c>
      <c r="F79" s="213">
        <v>0</v>
      </c>
    </row>
    <row r="80" spans="1:6" x14ac:dyDescent="0.25">
      <c r="A80" s="212" t="s">
        <v>175</v>
      </c>
      <c r="B80" s="213">
        <v>95684.69</v>
      </c>
      <c r="C80" s="213">
        <v>44616024.369999997</v>
      </c>
      <c r="D80" s="213">
        <v>46503.56</v>
      </c>
      <c r="E80" s="213">
        <v>14041.66</v>
      </c>
      <c r="F80" s="213">
        <v>86665.72</v>
      </c>
    </row>
    <row r="81" spans="1:6" x14ac:dyDescent="0.25">
      <c r="A81" s="212" t="s">
        <v>176</v>
      </c>
      <c r="B81" s="213">
        <v>114192.59</v>
      </c>
      <c r="C81" s="213">
        <v>59685010.43</v>
      </c>
      <c r="D81" s="213">
        <v>60549.83</v>
      </c>
      <c r="E81" s="213">
        <v>20390.14</v>
      </c>
      <c r="F81" s="213">
        <v>106485.78</v>
      </c>
    </row>
    <row r="82" spans="1:6" x14ac:dyDescent="0.25">
      <c r="A82" s="212" t="s">
        <v>500</v>
      </c>
      <c r="B82" s="213">
        <v>0</v>
      </c>
      <c r="C82" s="213">
        <v>77624379.450000018</v>
      </c>
      <c r="D82" s="213">
        <v>0</v>
      </c>
      <c r="E82" s="213">
        <v>0</v>
      </c>
      <c r="F82" s="213">
        <v>37128.280000000028</v>
      </c>
    </row>
    <row r="83" spans="1:6" x14ac:dyDescent="0.25">
      <c r="A83" s="212" t="s">
        <v>501</v>
      </c>
      <c r="B83" s="213">
        <v>89081.279999999999</v>
      </c>
      <c r="C83" s="213">
        <v>61290331.450000003</v>
      </c>
      <c r="D83" s="213">
        <v>67606.899999999994</v>
      </c>
      <c r="E83" s="213">
        <v>2785275.6299999994</v>
      </c>
      <c r="F83" s="213">
        <v>20687120.289999999</v>
      </c>
    </row>
    <row r="84" spans="1:6" x14ac:dyDescent="0.25">
      <c r="A84" s="212" t="s">
        <v>178</v>
      </c>
      <c r="B84" s="213">
        <v>405679.2</v>
      </c>
      <c r="C84" s="213">
        <v>54446644.350000009</v>
      </c>
      <c r="D84" s="213">
        <v>4519908.6500000004</v>
      </c>
      <c r="E84" s="213">
        <v>57773172.899999999</v>
      </c>
      <c r="F84" s="213">
        <v>128445299.58</v>
      </c>
    </row>
    <row r="85" spans="1:6" x14ac:dyDescent="0.25">
      <c r="A85" s="212" t="s">
        <v>179</v>
      </c>
      <c r="B85" s="213">
        <v>494760.48</v>
      </c>
      <c r="C85" s="213">
        <v>193361355.25</v>
      </c>
      <c r="D85" s="213">
        <v>4587515.5500000007</v>
      </c>
      <c r="E85" s="213">
        <v>60558448.530000009</v>
      </c>
      <c r="F85" s="213">
        <v>149169548.15000001</v>
      </c>
    </row>
  </sheetData>
  <mergeCells count="1">
    <mergeCell ref="B1:F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BAFD8-FF81-4BDF-91D2-8A1D5FA405F9}">
  <sheetPr>
    <tabColor theme="9" tint="0.79998168889431442"/>
  </sheetPr>
  <dimension ref="B2:L60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 x14ac:dyDescent="0.25"/>
  <cols>
    <col min="2" max="2" width="6.7109375" style="12" hidden="1" customWidth="1"/>
    <col min="3" max="3" width="45.7109375" bestFit="1" customWidth="1"/>
    <col min="4" max="8" width="16.7109375" style="15" customWidth="1"/>
    <col min="9" max="9" width="16.7109375" style="119" customWidth="1"/>
    <col min="12" max="12" width="16.140625" bestFit="1" customWidth="1"/>
  </cols>
  <sheetData>
    <row r="2" spans="2:9" x14ac:dyDescent="0.25">
      <c r="C2" s="247" t="s">
        <v>1163</v>
      </c>
      <c r="D2" s="247"/>
      <c r="E2" s="247"/>
      <c r="F2" s="247"/>
      <c r="G2" s="247"/>
      <c r="H2" s="247"/>
      <c r="I2" s="247"/>
    </row>
    <row r="3" spans="2:9" x14ac:dyDescent="0.25">
      <c r="C3" s="248" t="s">
        <v>183</v>
      </c>
      <c r="D3" s="248"/>
      <c r="E3" s="248"/>
      <c r="F3" s="248"/>
      <c r="G3" s="248"/>
      <c r="H3" s="248"/>
      <c r="I3" s="248"/>
    </row>
    <row r="4" spans="2:9" x14ac:dyDescent="0.25">
      <c r="C4" s="249" t="s">
        <v>1278</v>
      </c>
      <c r="D4" s="249"/>
      <c r="E4" s="249"/>
      <c r="F4" s="249"/>
      <c r="G4" s="249"/>
      <c r="H4" s="249"/>
      <c r="I4" s="249"/>
    </row>
    <row r="5" spans="2:9" x14ac:dyDescent="0.25">
      <c r="C5" s="148"/>
      <c r="D5" s="250"/>
      <c r="E5" s="250"/>
      <c r="F5" s="250"/>
      <c r="G5" s="250"/>
      <c r="H5" s="250"/>
      <c r="I5" s="250"/>
    </row>
    <row r="6" spans="2:9" ht="30" x14ac:dyDescent="0.25">
      <c r="B6" s="121" t="s">
        <v>97</v>
      </c>
      <c r="C6" s="154" t="s">
        <v>182</v>
      </c>
      <c r="D6" s="26" t="s">
        <v>1</v>
      </c>
      <c r="E6" s="26" t="s">
        <v>65</v>
      </c>
      <c r="F6" s="26" t="s">
        <v>1152</v>
      </c>
      <c r="G6" s="26" t="s">
        <v>1153</v>
      </c>
      <c r="H6" s="28" t="s">
        <v>1154</v>
      </c>
      <c r="I6" s="26" t="s">
        <v>2</v>
      </c>
    </row>
    <row r="7" spans="2:9" x14ac:dyDescent="0.25">
      <c r="B7" s="122"/>
      <c r="C7" s="154"/>
      <c r="D7" s="154"/>
      <c r="E7" s="154"/>
      <c r="F7" s="154"/>
      <c r="G7" s="79"/>
      <c r="H7" s="154"/>
      <c r="I7" s="154"/>
    </row>
    <row r="8" spans="2:9" x14ac:dyDescent="0.25">
      <c r="C8" s="155" t="s">
        <v>184</v>
      </c>
      <c r="D8" s="156"/>
      <c r="E8" s="156"/>
      <c r="F8" s="156"/>
      <c r="G8" s="156"/>
      <c r="H8" s="156"/>
      <c r="I8" s="156"/>
    </row>
    <row r="9" spans="2:9" x14ac:dyDescent="0.25">
      <c r="B9" s="12" t="s">
        <v>227</v>
      </c>
      <c r="C9" s="13" t="s">
        <v>185</v>
      </c>
      <c r="D9" s="176">
        <f>VLOOKUP($B9,Chg[#All],3,0)</f>
        <v>12839339.620000001</v>
      </c>
      <c r="E9" s="176">
        <f>VLOOKUP($B9,Chg[#All],6,0)</f>
        <v>0</v>
      </c>
      <c r="F9" s="176">
        <f>VLOOKUP($B9,Chg[#All],5,0)</f>
        <v>0</v>
      </c>
      <c r="G9" s="176">
        <f>VLOOKUP($B9,Chg[#All],4,0)</f>
        <v>0</v>
      </c>
      <c r="H9" s="176">
        <f>VLOOKUP($B9,Chg[#All],2,0)</f>
        <v>1321123.8199999998</v>
      </c>
      <c r="I9" s="117">
        <f>SUM(D9:H9)</f>
        <v>14160463.440000001</v>
      </c>
    </row>
    <row r="10" spans="2:9" x14ac:dyDescent="0.25">
      <c r="B10" s="12" t="s">
        <v>228</v>
      </c>
      <c r="C10" s="13" t="s">
        <v>186</v>
      </c>
      <c r="D10" s="176">
        <f>VLOOKUP($B10,Chg[#All],3,0)</f>
        <v>209687772.29000005</v>
      </c>
      <c r="E10" s="176">
        <f>VLOOKUP($B10,Chg[#All],6,0)</f>
        <v>0</v>
      </c>
      <c r="F10" s="176">
        <f>VLOOKUP($B10,Chg[#All],5,0)</f>
        <v>0</v>
      </c>
      <c r="G10" s="176">
        <f>VLOOKUP($B10,Chg[#All],4,0)</f>
        <v>0</v>
      </c>
      <c r="H10" s="176">
        <f>VLOOKUP($B10,Chg[#All],2,0)</f>
        <v>1062872.1599999999</v>
      </c>
      <c r="I10" s="117">
        <f t="shared" ref="I10:I16" si="0">SUM(D10:H10)</f>
        <v>210750644.45000005</v>
      </c>
    </row>
    <row r="11" spans="2:9" x14ac:dyDescent="0.25">
      <c r="B11" s="12" t="s">
        <v>229</v>
      </c>
      <c r="C11" s="13" t="s">
        <v>187</v>
      </c>
      <c r="D11" s="176">
        <f>VLOOKUP($B11,Chg[#All],3,0)</f>
        <v>11519666.27</v>
      </c>
      <c r="E11" s="176">
        <f>VLOOKUP($B11,Chg[#All],6,0)</f>
        <v>0</v>
      </c>
      <c r="F11" s="176">
        <f>VLOOKUP($B11,Chg[#All],5,0)</f>
        <v>0</v>
      </c>
      <c r="G11" s="176">
        <f>VLOOKUP($B11,Chg[#All],4,0)</f>
        <v>0</v>
      </c>
      <c r="H11" s="176">
        <f>VLOOKUP($B11,Chg[#All],2,0)</f>
        <v>0</v>
      </c>
      <c r="I11" s="117">
        <f t="shared" si="0"/>
        <v>11519666.27</v>
      </c>
    </row>
    <row r="12" spans="2:9" x14ac:dyDescent="0.25">
      <c r="B12" s="12" t="s">
        <v>230</v>
      </c>
      <c r="C12" s="13" t="s">
        <v>188</v>
      </c>
      <c r="D12" s="176">
        <f>VLOOKUP($B12,Chg[#All],3,0)</f>
        <v>118800465.76000001</v>
      </c>
      <c r="E12" s="176">
        <f>VLOOKUP($B12,Chg[#All],6,0)</f>
        <v>0</v>
      </c>
      <c r="F12" s="176">
        <f>VLOOKUP($B12,Chg[#All],5,0)</f>
        <v>0</v>
      </c>
      <c r="G12" s="176">
        <f>VLOOKUP($B12,Chg[#All],4,0)</f>
        <v>0</v>
      </c>
      <c r="H12" s="176">
        <f>VLOOKUP($B12,Chg[#All],2,0)</f>
        <v>69987.48000000001</v>
      </c>
      <c r="I12" s="117">
        <f t="shared" si="0"/>
        <v>118870453.24000001</v>
      </c>
    </row>
    <row r="13" spans="2:9" x14ac:dyDescent="0.25">
      <c r="B13" s="12" t="s">
        <v>231</v>
      </c>
      <c r="C13" s="13" t="s">
        <v>189</v>
      </c>
      <c r="D13" s="176">
        <f>VLOOKUP($B13,Chg[#All],3,0)</f>
        <v>84261260.24000001</v>
      </c>
      <c r="E13" s="176">
        <f>VLOOKUP($B13,Chg[#All],6,0)</f>
        <v>0</v>
      </c>
      <c r="F13" s="176">
        <f>VLOOKUP($B13,Chg[#All],5,0)</f>
        <v>0</v>
      </c>
      <c r="G13" s="176">
        <f>VLOOKUP($B13,Chg[#All],4,0)</f>
        <v>0</v>
      </c>
      <c r="H13" s="176">
        <f>VLOOKUP($B13,Chg[#All],2,0)</f>
        <v>0</v>
      </c>
      <c r="I13" s="117">
        <f t="shared" si="0"/>
        <v>84261260.24000001</v>
      </c>
    </row>
    <row r="14" spans="2:9" x14ac:dyDescent="0.25">
      <c r="B14" s="12" t="s">
        <v>232</v>
      </c>
      <c r="C14" s="13" t="s">
        <v>190</v>
      </c>
      <c r="D14" s="176">
        <f>VLOOKUP($B14,Chg[#All],3,0)</f>
        <v>82766490.659999996</v>
      </c>
      <c r="E14" s="176">
        <f>VLOOKUP($B14,Chg[#All],6,0)</f>
        <v>0</v>
      </c>
      <c r="F14" s="176">
        <f>VLOOKUP($B14,Chg[#All],5,0)</f>
        <v>0</v>
      </c>
      <c r="G14" s="176">
        <f>VLOOKUP($B14,Chg[#All],4,0)</f>
        <v>0</v>
      </c>
      <c r="H14" s="176">
        <f>VLOOKUP($B14,Chg[#All],2,0)</f>
        <v>0</v>
      </c>
      <c r="I14" s="117">
        <f t="shared" si="0"/>
        <v>82766490.659999996</v>
      </c>
    </row>
    <row r="15" spans="2:9" x14ac:dyDescent="0.25">
      <c r="B15" s="12" t="s">
        <v>233</v>
      </c>
      <c r="C15" s="13" t="s">
        <v>10</v>
      </c>
      <c r="D15" s="176">
        <f>VLOOKUP($B15,Chg[#All],3,0)</f>
        <v>0</v>
      </c>
      <c r="E15" s="176">
        <f>VLOOKUP($B15,Chg[#All],6,0)</f>
        <v>81009011.429999992</v>
      </c>
      <c r="F15" s="176">
        <f>VLOOKUP($B15,Chg[#All],5,0)</f>
        <v>8970241.9700000007</v>
      </c>
      <c r="G15" s="176">
        <f>VLOOKUP($B15,Chg[#All],4,0)</f>
        <v>6854224</v>
      </c>
      <c r="H15" s="176">
        <f>VLOOKUP($B15,Chg[#All],2,0)</f>
        <v>0</v>
      </c>
      <c r="I15" s="117">
        <f t="shared" si="0"/>
        <v>96833477.399999991</v>
      </c>
    </row>
    <row r="16" spans="2:9" x14ac:dyDescent="0.25">
      <c r="B16" s="12" t="s">
        <v>234</v>
      </c>
      <c r="C16" s="13" t="s">
        <v>191</v>
      </c>
      <c r="D16" s="176">
        <f>VLOOKUP($B16,Chg[#All],3,0)</f>
        <v>0</v>
      </c>
      <c r="E16" s="176">
        <f>VLOOKUP($B16,Chg[#All],6,0)</f>
        <v>2497426.86</v>
      </c>
      <c r="F16" s="176">
        <f>VLOOKUP($B16,Chg[#All],5,0)</f>
        <v>0</v>
      </c>
      <c r="G16" s="176">
        <f>VLOOKUP($B16,Chg[#All],4,0)</f>
        <v>0</v>
      </c>
      <c r="H16" s="176">
        <f>VLOOKUP($B16,Chg[#All],2,0)</f>
        <v>0</v>
      </c>
      <c r="I16" s="117">
        <f t="shared" si="0"/>
        <v>2497426.86</v>
      </c>
    </row>
    <row r="17" spans="2:9" x14ac:dyDescent="0.25">
      <c r="B17" s="12" t="s">
        <v>235</v>
      </c>
      <c r="C17" s="13" t="s">
        <v>192</v>
      </c>
      <c r="D17" s="176">
        <f>VLOOKUP($B17,Chg[#All],3,0)</f>
        <v>50</v>
      </c>
      <c r="E17" s="176">
        <f>VLOOKUP($B17,Chg[#All],6,0)</f>
        <v>72900.850000000006</v>
      </c>
      <c r="F17" s="176">
        <f>VLOOKUP($B17,Chg[#All],5,0)</f>
        <v>1208.48</v>
      </c>
      <c r="G17" s="176">
        <f>VLOOKUP($B17,Chg[#All],4,0)</f>
        <v>3090.57</v>
      </c>
      <c r="H17" s="176">
        <f>VLOOKUP($B17,Chg[#All],2,0)</f>
        <v>0</v>
      </c>
      <c r="I17" s="118">
        <f>SUM(D17:H17)</f>
        <v>77249.900000000009</v>
      </c>
    </row>
    <row r="18" spans="2:9" x14ac:dyDescent="0.25">
      <c r="B18" s="12" t="s">
        <v>236</v>
      </c>
      <c r="C18" s="157" t="s">
        <v>193</v>
      </c>
      <c r="D18" s="129">
        <f>SUM(D9:D17)</f>
        <v>519875044.84000003</v>
      </c>
      <c r="E18" s="129">
        <f t="shared" ref="E18:I18" si="1">SUM(E9:E17)</f>
        <v>83579339.139999986</v>
      </c>
      <c r="F18" s="129">
        <f t="shared" si="1"/>
        <v>8971450.4500000011</v>
      </c>
      <c r="G18" s="129">
        <f>SUM(G9:G17)</f>
        <v>6857314.5700000003</v>
      </c>
      <c r="H18" s="129">
        <f t="shared" si="1"/>
        <v>2453983.4599999995</v>
      </c>
      <c r="I18" s="129">
        <f t="shared" si="1"/>
        <v>621737132.46000004</v>
      </c>
    </row>
    <row r="19" spans="2:9" x14ac:dyDescent="0.25">
      <c r="D19" s="130"/>
      <c r="E19" s="130"/>
      <c r="F19" s="130"/>
      <c r="G19" s="130"/>
      <c r="H19" s="130"/>
    </row>
    <row r="20" spans="2:9" x14ac:dyDescent="0.25">
      <c r="C20" s="158" t="s">
        <v>194</v>
      </c>
      <c r="D20" s="131"/>
      <c r="E20" s="131"/>
      <c r="F20" s="131"/>
      <c r="G20" s="131"/>
      <c r="H20" s="131"/>
      <c r="I20" s="132"/>
    </row>
    <row r="21" spans="2:9" x14ac:dyDescent="0.25">
      <c r="B21" s="12" t="s">
        <v>239</v>
      </c>
      <c r="C21" s="149" t="s">
        <v>195</v>
      </c>
      <c r="D21" s="176">
        <f>VLOOKUP($B21,Chg[#All],3,0)</f>
        <v>20719157.410000004</v>
      </c>
      <c r="E21" s="176">
        <f>VLOOKUP($B21,Chg[#All],6,0)</f>
        <v>12554271.199999999</v>
      </c>
      <c r="F21" s="176">
        <f>VLOOKUP($B21,Chg[#All],5,0)</f>
        <v>836186.05999999994</v>
      </c>
      <c r="G21" s="176">
        <f>VLOOKUP($B21,Chg[#All],4,0)</f>
        <v>632618.66999999993</v>
      </c>
      <c r="H21" s="176">
        <f>VLOOKUP($B21,Chg[#All],2,0)</f>
        <v>0</v>
      </c>
      <c r="I21" s="133">
        <f>SUM(D21:H21)</f>
        <v>34742233.340000004</v>
      </c>
    </row>
    <row r="22" spans="2:9" x14ac:dyDescent="0.25">
      <c r="B22" s="12" t="s">
        <v>240</v>
      </c>
      <c r="C22" s="149" t="s">
        <v>196</v>
      </c>
      <c r="D22" s="176">
        <f>VLOOKUP($B22,Chg[#All],3,0)</f>
        <v>374422938.17999995</v>
      </c>
      <c r="E22" s="176">
        <f>VLOOKUP($B22,Chg[#All],6,0)</f>
        <v>0</v>
      </c>
      <c r="F22" s="176">
        <f>VLOOKUP($B22,Chg[#All],5,0)</f>
        <v>0</v>
      </c>
      <c r="G22" s="176">
        <f>VLOOKUP($B22,Chg[#All],4,0)</f>
        <v>0</v>
      </c>
      <c r="H22" s="176">
        <f>VLOOKUP($B22,Chg[#All],2,0)</f>
        <v>2681509.5</v>
      </c>
      <c r="I22" s="133">
        <f t="shared" ref="I22:I33" si="2">SUM(D22:H22)</f>
        <v>377104447.67999995</v>
      </c>
    </row>
    <row r="23" spans="2:9" x14ac:dyDescent="0.25">
      <c r="B23" s="12" t="s">
        <v>241</v>
      </c>
      <c r="C23" s="149" t="s">
        <v>197</v>
      </c>
      <c r="D23" s="176">
        <f>VLOOKUP($B23,Chg[#All],3,0)</f>
        <v>89774941.650000006</v>
      </c>
      <c r="E23" s="176">
        <f>VLOOKUP($B23,Chg[#All],6,0)</f>
        <v>0</v>
      </c>
      <c r="F23" s="176">
        <f>VLOOKUP($B23,Chg[#All],5,0)</f>
        <v>0</v>
      </c>
      <c r="G23" s="176">
        <f>VLOOKUP($B23,Chg[#All],4,0)</f>
        <v>0</v>
      </c>
      <c r="H23" s="176">
        <f>VLOOKUP($B23,Chg[#All],2,0)</f>
        <v>0</v>
      </c>
      <c r="I23" s="133">
        <f t="shared" si="2"/>
        <v>89774941.650000006</v>
      </c>
    </row>
    <row r="24" spans="2:9" x14ac:dyDescent="0.25">
      <c r="C24" s="149" t="s">
        <v>198</v>
      </c>
      <c r="D24" s="86"/>
      <c r="E24" s="86"/>
      <c r="F24" s="86"/>
      <c r="G24" s="86"/>
      <c r="H24" s="86"/>
      <c r="I24" s="134"/>
    </row>
    <row r="25" spans="2:9" x14ac:dyDescent="0.25">
      <c r="B25" s="12" t="s">
        <v>243</v>
      </c>
      <c r="C25" s="150" t="s">
        <v>199</v>
      </c>
      <c r="D25" s="176">
        <f>VLOOKUP($B25,Chg[#All],3,0)</f>
        <v>0</v>
      </c>
      <c r="E25" s="176">
        <f>VLOOKUP($B25,Chg[#All],6,0)</f>
        <v>26015162.850000001</v>
      </c>
      <c r="F25" s="176">
        <f>VLOOKUP($B25,Chg[#All],5,0)</f>
        <v>6996144.839999998</v>
      </c>
      <c r="G25" s="176">
        <f>VLOOKUP($B25,Chg[#All],4,0)</f>
        <v>1849166.52</v>
      </c>
      <c r="H25" s="176">
        <f>VLOOKUP($B25,Chg[#All],2,0)</f>
        <v>0</v>
      </c>
      <c r="I25" s="133">
        <f t="shared" si="2"/>
        <v>34860474.210000001</v>
      </c>
    </row>
    <row r="26" spans="2:9" x14ac:dyDescent="0.25">
      <c r="B26" s="12" t="s">
        <v>244</v>
      </c>
      <c r="C26" s="150" t="s">
        <v>200</v>
      </c>
      <c r="D26" s="176">
        <f>VLOOKUP($B26,Chg[#All],3,0)</f>
        <v>0</v>
      </c>
      <c r="E26" s="176">
        <f>VLOOKUP($B26,Chg[#All],6,0)</f>
        <v>18839311.41</v>
      </c>
      <c r="F26" s="176">
        <f>VLOOKUP($B26,Chg[#All],5,0)</f>
        <v>273726.55</v>
      </c>
      <c r="G26" s="176">
        <f>VLOOKUP($B26,Chg[#All],4,0)</f>
        <v>9055</v>
      </c>
      <c r="H26" s="176">
        <f>VLOOKUP($B26,Chg[#All],2,0)</f>
        <v>0</v>
      </c>
      <c r="I26" s="133">
        <f t="shared" si="2"/>
        <v>19122092.960000001</v>
      </c>
    </row>
    <row r="27" spans="2:9" x14ac:dyDescent="0.25">
      <c r="C27" s="149" t="s">
        <v>48</v>
      </c>
      <c r="D27" s="86"/>
      <c r="E27" s="86"/>
      <c r="F27" s="86"/>
      <c r="G27" s="86"/>
      <c r="H27" s="86"/>
      <c r="I27" s="134"/>
    </row>
    <row r="28" spans="2:9" x14ac:dyDescent="0.25">
      <c r="B28" s="12" t="s">
        <v>246</v>
      </c>
      <c r="C28" s="150" t="s">
        <v>201</v>
      </c>
      <c r="D28" s="176">
        <f>VLOOKUP($B28,Chg[#All],3,0)</f>
        <v>0</v>
      </c>
      <c r="E28" s="176">
        <f>VLOOKUP($B28,Chg[#All],6,0)</f>
        <v>37900</v>
      </c>
      <c r="F28" s="176">
        <f>VLOOKUP($B28,Chg[#All],5,0)</f>
        <v>0</v>
      </c>
      <c r="G28" s="176">
        <f>VLOOKUP($B28,Chg[#All],4,0)</f>
        <v>0</v>
      </c>
      <c r="H28" s="176">
        <f>VLOOKUP($B28,Chg[#All],2,0)</f>
        <v>0</v>
      </c>
      <c r="I28" s="133">
        <f t="shared" si="2"/>
        <v>37900</v>
      </c>
    </row>
    <row r="29" spans="2:9" x14ac:dyDescent="0.25">
      <c r="B29" s="12" t="s">
        <v>247</v>
      </c>
      <c r="C29" s="150" t="s">
        <v>202</v>
      </c>
      <c r="D29" s="176">
        <f>VLOOKUP($B29,Chg[#All],3,0)</f>
        <v>0</v>
      </c>
      <c r="E29" s="176">
        <f>VLOOKUP($B29,Chg[#All],6,0)</f>
        <v>-41561.550000000003</v>
      </c>
      <c r="F29" s="176">
        <f>VLOOKUP($B29,Chg[#All],5,0)</f>
        <v>-151788.74</v>
      </c>
      <c r="G29" s="176">
        <f>VLOOKUP($B29,Chg[#All],4,0)</f>
        <v>0</v>
      </c>
      <c r="H29" s="176">
        <f>VLOOKUP($B29,Chg[#All],2,0)</f>
        <v>0</v>
      </c>
      <c r="I29" s="133">
        <f t="shared" si="2"/>
        <v>-193350.28999999998</v>
      </c>
    </row>
    <row r="30" spans="2:9" x14ac:dyDescent="0.25">
      <c r="B30" s="12" t="s">
        <v>248</v>
      </c>
      <c r="C30" s="149" t="s">
        <v>203</v>
      </c>
      <c r="D30" s="176">
        <f>VLOOKUP($B30,Chg[#All],3,0)</f>
        <v>0</v>
      </c>
      <c r="E30" s="176">
        <f>VLOOKUP($B30,Chg[#All],6,0)</f>
        <v>1795040.71</v>
      </c>
      <c r="F30" s="176">
        <f>VLOOKUP($B30,Chg[#All],5,0)</f>
        <v>0</v>
      </c>
      <c r="G30" s="176">
        <f>VLOOKUP($B30,Chg[#All],4,0)</f>
        <v>4125187</v>
      </c>
      <c r="H30" s="176">
        <f>VLOOKUP($B30,Chg[#All],2,0)</f>
        <v>0</v>
      </c>
      <c r="I30" s="133">
        <f t="shared" si="2"/>
        <v>5920227.71</v>
      </c>
    </row>
    <row r="31" spans="2:9" x14ac:dyDescent="0.25">
      <c r="B31" s="12" t="s">
        <v>249</v>
      </c>
      <c r="C31" s="149" t="s">
        <v>204</v>
      </c>
      <c r="D31" s="176">
        <f>VLOOKUP($B31,Chg[#All],3,0)</f>
        <v>0</v>
      </c>
      <c r="E31" s="176">
        <f>VLOOKUP($B31,Chg[#All],6,0)</f>
        <v>23619627.770000003</v>
      </c>
      <c r="F31" s="176">
        <f>VLOOKUP($B31,Chg[#All],5,0)</f>
        <v>0</v>
      </c>
      <c r="G31" s="176">
        <f>VLOOKUP($B31,Chg[#All],4,0)</f>
        <v>0</v>
      </c>
      <c r="H31" s="176">
        <f>VLOOKUP($B31,Chg[#All],2,0)</f>
        <v>0</v>
      </c>
      <c r="I31" s="133">
        <f t="shared" si="2"/>
        <v>23619627.770000003</v>
      </c>
    </row>
    <row r="32" spans="2:9" x14ac:dyDescent="0.25">
      <c r="B32" s="12" t="s">
        <v>250</v>
      </c>
      <c r="C32" s="149" t="s">
        <v>205</v>
      </c>
      <c r="D32" s="176">
        <f>VLOOKUP($B32,Chg[#All],3,0)</f>
        <v>7510208.830000001</v>
      </c>
      <c r="E32" s="176">
        <f>VLOOKUP($B32,Chg[#All],6,0)</f>
        <v>297026.62</v>
      </c>
      <c r="F32" s="176">
        <f>VLOOKUP($B32,Chg[#All],5,0)</f>
        <v>0</v>
      </c>
      <c r="G32" s="176">
        <f>VLOOKUP($B32,Chg[#All],4,0)</f>
        <v>0</v>
      </c>
      <c r="H32" s="176">
        <f>VLOOKUP($B32,Chg[#All],2,0)</f>
        <v>0</v>
      </c>
      <c r="I32" s="133">
        <f t="shared" si="2"/>
        <v>7807235.4500000011</v>
      </c>
    </row>
    <row r="33" spans="2:9" x14ac:dyDescent="0.25">
      <c r="B33" s="12" t="s">
        <v>251</v>
      </c>
      <c r="C33" s="149" t="s">
        <v>206</v>
      </c>
      <c r="D33" s="176">
        <f>VLOOKUP($B33,Chg[#All],3,0)</f>
        <v>60319.38</v>
      </c>
      <c r="E33" s="176">
        <f>VLOOKUP($B33,Chg[#All],6,0)</f>
        <v>7699741.1200000001</v>
      </c>
      <c r="F33" s="176">
        <f>VLOOKUP($B33,Chg[#All],5,0)</f>
        <v>2302651.17</v>
      </c>
      <c r="G33" s="176">
        <f>VLOOKUP($B33,Chg[#All],4,0)</f>
        <v>37664.400000000001</v>
      </c>
      <c r="H33" s="176">
        <f>VLOOKUP($B33,Chg[#All],2,0)</f>
        <v>499.7</v>
      </c>
      <c r="I33" s="133">
        <f t="shared" si="2"/>
        <v>10100875.77</v>
      </c>
    </row>
    <row r="34" spans="2:9" x14ac:dyDescent="0.25">
      <c r="B34" s="12" t="s">
        <v>252</v>
      </c>
      <c r="C34" s="157" t="s">
        <v>207</v>
      </c>
      <c r="D34" s="129">
        <f>SUM(D21:D33)</f>
        <v>492487565.44999999</v>
      </c>
      <c r="E34" s="129">
        <f t="shared" ref="E34:I34" si="3">SUM(E21:E33)</f>
        <v>90816520.13000001</v>
      </c>
      <c r="F34" s="129">
        <f t="shared" si="3"/>
        <v>10256919.879999997</v>
      </c>
      <c r="G34" s="129">
        <f t="shared" si="3"/>
        <v>6653691.5899999999</v>
      </c>
      <c r="H34" s="129">
        <f t="shared" si="3"/>
        <v>2682009.2000000002</v>
      </c>
      <c r="I34" s="135">
        <f t="shared" si="3"/>
        <v>602896706.25</v>
      </c>
    </row>
    <row r="35" spans="2:9" x14ac:dyDescent="0.25">
      <c r="C35" s="150"/>
      <c r="D35" s="173"/>
      <c r="E35" s="173"/>
      <c r="F35" s="173"/>
      <c r="G35" s="173"/>
      <c r="H35" s="173"/>
    </row>
    <row r="36" spans="2:9" x14ac:dyDescent="0.25">
      <c r="B36" s="12" t="s">
        <v>254</v>
      </c>
      <c r="C36" s="157" t="s">
        <v>208</v>
      </c>
      <c r="D36" s="195">
        <f>D18-D34</f>
        <v>27387479.390000045</v>
      </c>
      <c r="E36" s="195">
        <f t="shared" ref="E36:I36" si="4">E18-E34</f>
        <v>-7237180.9900000244</v>
      </c>
      <c r="F36" s="195">
        <f t="shared" si="4"/>
        <v>-1285469.429999996</v>
      </c>
      <c r="G36" s="195">
        <f t="shared" si="4"/>
        <v>203622.98000000045</v>
      </c>
      <c r="H36" s="195">
        <f t="shared" si="4"/>
        <v>-228025.74000000069</v>
      </c>
      <c r="I36" s="195">
        <f t="shared" si="4"/>
        <v>18840426.210000038</v>
      </c>
    </row>
    <row r="37" spans="2:9" x14ac:dyDescent="0.25">
      <c r="C37" s="151"/>
      <c r="D37" s="127"/>
      <c r="E37" s="127"/>
      <c r="F37" s="127"/>
      <c r="G37" s="127"/>
      <c r="H37" s="127"/>
    </row>
    <row r="38" spans="2:9" x14ac:dyDescent="0.25">
      <c r="B38" s="12" t="s">
        <v>256</v>
      </c>
      <c r="C38" s="158" t="s">
        <v>209</v>
      </c>
      <c r="D38" s="131"/>
      <c r="E38" s="131"/>
      <c r="F38" s="131"/>
      <c r="G38" s="131"/>
      <c r="H38" s="131"/>
      <c r="I38" s="132"/>
    </row>
    <row r="39" spans="2:9" x14ac:dyDescent="0.25">
      <c r="B39" s="12" t="s">
        <v>257</v>
      </c>
      <c r="C39" s="149" t="s">
        <v>210</v>
      </c>
      <c r="D39" s="176">
        <f>VLOOKUP($B39,Chg[#All],3,0)</f>
        <v>5791394.1900000004</v>
      </c>
      <c r="E39" s="176">
        <f>VLOOKUP($B39,Chg[#All],6,0)</f>
        <v>9075712.3099999987</v>
      </c>
      <c r="F39" s="176">
        <f>VLOOKUP($B39,Chg[#All],5,0)</f>
        <v>2642112.4800000004</v>
      </c>
      <c r="G39" s="176">
        <f>VLOOKUP($B39,Chg[#All],4,0)</f>
        <v>351542.17</v>
      </c>
      <c r="H39" s="176">
        <f>VLOOKUP($B39,Chg[#All],2,0)</f>
        <v>41125.78</v>
      </c>
      <c r="I39" s="133">
        <f>SUM(D39:H39)</f>
        <v>17901886.930000003</v>
      </c>
    </row>
    <row r="40" spans="2:9" x14ac:dyDescent="0.25">
      <c r="B40" s="12" t="s">
        <v>258</v>
      </c>
      <c r="C40" s="149" t="s">
        <v>211</v>
      </c>
      <c r="D40" s="176">
        <f>VLOOKUP($B40,Chg[#All],3,0)</f>
        <v>-1089234.6700000002</v>
      </c>
      <c r="E40" s="176">
        <f>VLOOKUP($B40,Chg[#All],6,0)</f>
        <v>-12175.08</v>
      </c>
      <c r="F40" s="176">
        <f>VLOOKUP($B40,Chg[#All],5,0)</f>
        <v>0</v>
      </c>
      <c r="G40" s="176">
        <f>VLOOKUP($B40,Chg[#All],4,0)</f>
        <v>0</v>
      </c>
      <c r="H40" s="176">
        <f>VLOOKUP($B40,Chg[#All],2,0)</f>
        <v>0</v>
      </c>
      <c r="I40" s="133">
        <f t="shared" ref="I40:I46" si="5">SUM(D40:H40)</f>
        <v>-1101409.7500000002</v>
      </c>
    </row>
    <row r="41" spans="2:9" x14ac:dyDescent="0.25">
      <c r="B41" s="12" t="s">
        <v>259</v>
      </c>
      <c r="C41" s="149" t="s">
        <v>212</v>
      </c>
      <c r="D41" s="176">
        <f>VLOOKUP($B41,Chg[#All],3,0)</f>
        <v>119221.48000000001</v>
      </c>
      <c r="E41" s="176">
        <f>VLOOKUP($B41,Chg[#All],6,0)</f>
        <v>0</v>
      </c>
      <c r="F41" s="176">
        <f>VLOOKUP($B41,Chg[#All],5,0)</f>
        <v>0</v>
      </c>
      <c r="G41" s="176">
        <f>VLOOKUP($B41,Chg[#All],4,0)</f>
        <v>0</v>
      </c>
      <c r="H41" s="176">
        <f>VLOOKUP($B41,Chg[#All],2,0)</f>
        <v>0</v>
      </c>
      <c r="I41" s="133">
        <f t="shared" si="5"/>
        <v>119221.48000000001</v>
      </c>
    </row>
    <row r="42" spans="2:9" x14ac:dyDescent="0.25">
      <c r="B42" s="12" t="s">
        <v>260</v>
      </c>
      <c r="C42" s="149" t="s">
        <v>213</v>
      </c>
      <c r="D42" s="176">
        <f>VLOOKUP($B42,Chg[#All],3,0)</f>
        <v>-184724.1</v>
      </c>
      <c r="E42" s="176">
        <f>VLOOKUP($B42,Chg[#All],6,0)</f>
        <v>0</v>
      </c>
      <c r="F42" s="176">
        <f>VLOOKUP($B42,Chg[#All],5,0)</f>
        <v>0</v>
      </c>
      <c r="G42" s="176">
        <f>VLOOKUP($B42,Chg[#All],4,0)</f>
        <v>0</v>
      </c>
      <c r="H42" s="176">
        <f>VLOOKUP($B42,Chg[#All],2,0)</f>
        <v>0</v>
      </c>
      <c r="I42" s="133">
        <f t="shared" si="5"/>
        <v>-184724.1</v>
      </c>
    </row>
    <row r="43" spans="2:9" x14ac:dyDescent="0.25">
      <c r="B43" s="12" t="s">
        <v>261</v>
      </c>
      <c r="C43" s="149" t="s">
        <v>214</v>
      </c>
      <c r="D43" s="176">
        <f>VLOOKUP($B43,Chg[#All],3,0)</f>
        <v>-122094.59</v>
      </c>
      <c r="E43" s="176">
        <f>VLOOKUP($B43,Chg[#All],6,0)</f>
        <v>0</v>
      </c>
      <c r="F43" s="176">
        <f>VLOOKUP($B43,Chg[#All],5,0)</f>
        <v>0</v>
      </c>
      <c r="G43" s="176">
        <f>VLOOKUP($B43,Chg[#All],4,0)</f>
        <v>0</v>
      </c>
      <c r="H43" s="176">
        <f>VLOOKUP($B43,Chg[#All],2,0)</f>
        <v>0</v>
      </c>
      <c r="I43" s="133">
        <f t="shared" si="5"/>
        <v>-122094.59</v>
      </c>
    </row>
    <row r="44" spans="2:9" x14ac:dyDescent="0.25">
      <c r="B44" s="12" t="s">
        <v>262</v>
      </c>
      <c r="C44" s="149" t="s">
        <v>215</v>
      </c>
      <c r="D44" s="176">
        <f>VLOOKUP($B44,Chg[#All],3,0)</f>
        <v>121846.92</v>
      </c>
      <c r="E44" s="176">
        <f>VLOOKUP($B44,Chg[#All],6,0)</f>
        <v>0</v>
      </c>
      <c r="F44" s="176">
        <f>VLOOKUP($B44,Chg[#All],5,0)</f>
        <v>0</v>
      </c>
      <c r="G44" s="176">
        <f>VLOOKUP($B44,Chg[#All],4,0)</f>
        <v>0</v>
      </c>
      <c r="H44" s="176">
        <f>VLOOKUP($B44,Chg[#All],2,0)</f>
        <v>0</v>
      </c>
      <c r="I44" s="133">
        <f t="shared" si="5"/>
        <v>121846.92</v>
      </c>
    </row>
    <row r="45" spans="2:9" x14ac:dyDescent="0.25">
      <c r="B45" s="12" t="s">
        <v>263</v>
      </c>
      <c r="C45" s="149" t="s">
        <v>216</v>
      </c>
      <c r="D45" s="176">
        <f>VLOOKUP($B45,Chg[#All],3,0)</f>
        <v>78792.850000000006</v>
      </c>
      <c r="E45" s="176">
        <f>VLOOKUP($B45,Chg[#All],6,0)</f>
        <v>0</v>
      </c>
      <c r="F45" s="176">
        <f>VLOOKUP($B45,Chg[#All],5,0)</f>
        <v>0</v>
      </c>
      <c r="G45" s="176">
        <f>VLOOKUP($B45,Chg[#All],4,0)</f>
        <v>0</v>
      </c>
      <c r="H45" s="176">
        <f>VLOOKUP($B45,Chg[#All],2,0)</f>
        <v>0</v>
      </c>
      <c r="I45" s="133">
        <f t="shared" si="5"/>
        <v>78792.850000000006</v>
      </c>
    </row>
    <row r="46" spans="2:9" x14ac:dyDescent="0.25">
      <c r="B46" s="12" t="s">
        <v>264</v>
      </c>
      <c r="C46" s="149" t="s">
        <v>217</v>
      </c>
      <c r="D46" s="176">
        <f>VLOOKUP($B46,Chg[#All],3,0)</f>
        <v>80558.45</v>
      </c>
      <c r="E46" s="176">
        <f>VLOOKUP($B46,Chg[#All],6,0)</f>
        <v>0</v>
      </c>
      <c r="F46" s="176">
        <f>VLOOKUP($B46,Chg[#All],5,0)</f>
        <v>0</v>
      </c>
      <c r="G46" s="176">
        <f>VLOOKUP($B46,Chg[#All],4,0)</f>
        <v>0</v>
      </c>
      <c r="H46" s="176">
        <f>VLOOKUP($B46,Chg[#All],2,0)</f>
        <v>0</v>
      </c>
      <c r="I46" s="133">
        <f t="shared" si="5"/>
        <v>80558.45</v>
      </c>
    </row>
    <row r="47" spans="2:9" x14ac:dyDescent="0.25">
      <c r="B47" s="12" t="s">
        <v>265</v>
      </c>
      <c r="C47" s="157" t="s">
        <v>218</v>
      </c>
      <c r="D47" s="174">
        <f>SUM(D39:D46)</f>
        <v>4795760.5300000012</v>
      </c>
      <c r="E47" s="174">
        <f t="shared" ref="E47:I47" si="6">SUM(E39:E46)</f>
        <v>9063537.2299999986</v>
      </c>
      <c r="F47" s="174">
        <f t="shared" si="6"/>
        <v>2642112.4800000004</v>
      </c>
      <c r="G47" s="174">
        <f t="shared" si="6"/>
        <v>351542.17</v>
      </c>
      <c r="H47" s="174">
        <f t="shared" si="6"/>
        <v>41125.78</v>
      </c>
      <c r="I47" s="175">
        <f t="shared" si="6"/>
        <v>16894078.190000005</v>
      </c>
    </row>
    <row r="48" spans="2:9" x14ac:dyDescent="0.25">
      <c r="C48" s="151"/>
      <c r="D48" s="126"/>
      <c r="E48" s="126"/>
      <c r="F48" s="126"/>
      <c r="G48" s="126"/>
      <c r="H48" s="126"/>
    </row>
    <row r="49" spans="2:12" x14ac:dyDescent="0.25">
      <c r="B49" s="12" t="s">
        <v>267</v>
      </c>
      <c r="C49" s="157" t="s">
        <v>219</v>
      </c>
      <c r="D49" s="129">
        <f>D36+D47</f>
        <v>32183239.920000046</v>
      </c>
      <c r="E49" s="129">
        <f t="shared" ref="E49:I49" si="7">E36+E47</f>
        <v>1826356.2399999741</v>
      </c>
      <c r="F49" s="129">
        <f t="shared" si="7"/>
        <v>1356643.0500000045</v>
      </c>
      <c r="G49" s="129">
        <f t="shared" si="7"/>
        <v>555165.15000000037</v>
      </c>
      <c r="H49" s="129">
        <f t="shared" si="7"/>
        <v>-186899.96000000069</v>
      </c>
      <c r="I49" s="135">
        <f t="shared" si="7"/>
        <v>35734504.400000043</v>
      </c>
    </row>
    <row r="50" spans="2:12" x14ac:dyDescent="0.25">
      <c r="C50" s="151"/>
      <c r="D50" s="127"/>
      <c r="E50" s="127"/>
      <c r="F50" s="127"/>
      <c r="G50" s="127"/>
      <c r="H50" s="127"/>
    </row>
    <row r="51" spans="2:12" x14ac:dyDescent="0.25">
      <c r="B51" s="12" t="s">
        <v>269</v>
      </c>
      <c r="C51" s="149" t="s">
        <v>220</v>
      </c>
      <c r="D51" s="176">
        <f>VLOOKUP($B51,Chg[#All],3,0)</f>
        <v>0</v>
      </c>
      <c r="E51" s="176">
        <f>VLOOKUP($B51,Chg[#All],6,0)</f>
        <v>0</v>
      </c>
      <c r="F51" s="176">
        <f>VLOOKUP($B51,Chg[#All],5,0)</f>
        <v>0</v>
      </c>
      <c r="G51" s="176">
        <f>VLOOKUP($B51,Chg[#All],4,0)</f>
        <v>0</v>
      </c>
      <c r="H51" s="176">
        <f>VLOOKUP($B51,Chg[#All],2,0)</f>
        <v>0</v>
      </c>
      <c r="I51" s="119">
        <v>0</v>
      </c>
    </row>
    <row r="52" spans="2:12" x14ac:dyDescent="0.25">
      <c r="B52" s="12" t="s">
        <v>270</v>
      </c>
      <c r="C52" s="149" t="s">
        <v>221</v>
      </c>
      <c r="D52" s="176">
        <f>VLOOKUP($B52,Chg[#All],3,0)</f>
        <v>0</v>
      </c>
      <c r="E52" s="176">
        <f>VLOOKUP($B52,Chg[#All],6,0)</f>
        <v>0</v>
      </c>
      <c r="F52" s="176">
        <f>VLOOKUP($B52,Chg[#All],5,0)</f>
        <v>0</v>
      </c>
      <c r="G52" s="176">
        <f>VLOOKUP($B52,Chg[#All],4,0)</f>
        <v>0</v>
      </c>
      <c r="H52" s="176">
        <f>VLOOKUP($B52,Chg[#All],2,0)</f>
        <v>0</v>
      </c>
      <c r="I52" s="119">
        <v>0</v>
      </c>
    </row>
    <row r="53" spans="2:12" x14ac:dyDescent="0.25">
      <c r="B53" s="12" t="s">
        <v>271</v>
      </c>
      <c r="C53" s="157" t="s">
        <v>222</v>
      </c>
      <c r="D53" s="195">
        <f>D49-D51-D52</f>
        <v>32183239.920000046</v>
      </c>
      <c r="E53" s="195">
        <f t="shared" ref="E53:I53" si="8">E49-E51-E52</f>
        <v>1826356.2399999741</v>
      </c>
      <c r="F53" s="195">
        <f t="shared" si="8"/>
        <v>1356643.0500000045</v>
      </c>
      <c r="G53" s="195">
        <f t="shared" si="8"/>
        <v>555165.15000000037</v>
      </c>
      <c r="H53" s="195">
        <f t="shared" si="8"/>
        <v>-186899.96000000069</v>
      </c>
      <c r="I53" s="195">
        <f t="shared" si="8"/>
        <v>35734504.400000043</v>
      </c>
    </row>
    <row r="54" spans="2:12" x14ac:dyDescent="0.25">
      <c r="C54" s="151"/>
      <c r="D54" s="126"/>
      <c r="E54" s="126"/>
      <c r="F54" s="126"/>
      <c r="G54" s="126"/>
      <c r="H54" s="126"/>
      <c r="I54" s="136"/>
    </row>
    <row r="55" spans="2:12" x14ac:dyDescent="0.25">
      <c r="B55" s="12" t="s">
        <v>273</v>
      </c>
      <c r="C55" s="159" t="s">
        <v>223</v>
      </c>
      <c r="D55" s="176">
        <f>VLOOKUP($B55,Chg[#All],3,0)</f>
        <v>175947449.58000004</v>
      </c>
      <c r="E55" s="176">
        <f>VLOOKUP($B55,Chg[#All],6,0)</f>
        <v>147395791.07999998</v>
      </c>
      <c r="F55" s="176">
        <f>VLOOKUP($B55,Chg[#All],5,0)</f>
        <v>59226769.179999992</v>
      </c>
      <c r="G55" s="176">
        <f>VLOOKUP($B55,Chg[#All],4,0)</f>
        <v>4074895.51</v>
      </c>
      <c r="H55" s="176">
        <f>VLOOKUP($B55,Chg[#All],2,0)</f>
        <v>707496.68999999936</v>
      </c>
      <c r="I55" s="196">
        <f>SUM(D55:H55)</f>
        <v>387352402.04000002</v>
      </c>
    </row>
    <row r="56" spans="2:12" x14ac:dyDescent="0.25">
      <c r="B56" s="12" t="s">
        <v>274</v>
      </c>
      <c r="C56" s="160" t="s">
        <v>224</v>
      </c>
      <c r="D56" s="176">
        <f>VLOOKUP($B56,Chg[#All],3,0)</f>
        <v>-14769337.199999999</v>
      </c>
      <c r="E56" s="176">
        <f>VLOOKUP($B56,Chg[#All],6,0)</f>
        <v>-52598.35</v>
      </c>
      <c r="F56" s="176">
        <f>VLOOKUP($B56,Chg[#All],5,0)</f>
        <v>-24916.7</v>
      </c>
      <c r="G56" s="176">
        <f>VLOOKUP($B56,Chg[#All],4,0)</f>
        <v>-42545.11</v>
      </c>
      <c r="H56" s="176">
        <f>VLOOKUP($B56,Chg[#All],2,0)</f>
        <v>-25836.25</v>
      </c>
      <c r="I56" s="196">
        <f t="shared" ref="I56:I57" si="9">SUM(D56:H56)</f>
        <v>-14915233.609999998</v>
      </c>
    </row>
    <row r="57" spans="2:12" x14ac:dyDescent="0.25">
      <c r="B57" s="12" t="s">
        <v>275</v>
      </c>
      <c r="C57" s="159" t="s">
        <v>225</v>
      </c>
      <c r="D57" s="176">
        <f>VLOOKUP($B57,Chg[#All],3,0)</f>
        <v>33589978.090000026</v>
      </c>
      <c r="E57" s="176">
        <f>VLOOKUP($B57,Chg[#All],6,0)</f>
        <v>15995598.440000003</v>
      </c>
      <c r="F57" s="176">
        <f>VLOOKUP($B57,Chg[#All],5,0)</f>
        <v>12762708.210000001</v>
      </c>
      <c r="G57" s="176">
        <f>VLOOKUP($B57,Chg[#All],4,0)</f>
        <v>4032350.4</v>
      </c>
      <c r="H57" s="176">
        <f>VLOOKUP($B57,Chg[#All],2,0)</f>
        <v>681660.43999999936</v>
      </c>
      <c r="I57" s="197">
        <f t="shared" si="9"/>
        <v>67062295.580000028</v>
      </c>
    </row>
    <row r="58" spans="2:12" x14ac:dyDescent="0.25">
      <c r="B58" s="12" t="s">
        <v>277</v>
      </c>
      <c r="C58" s="157" t="s">
        <v>226</v>
      </c>
      <c r="D58" s="199">
        <f>D53+D55+D56+D57</f>
        <v>226951330.39000013</v>
      </c>
      <c r="E58" s="199">
        <f t="shared" ref="E58:I58" si="10">E53+E55+E56+E57</f>
        <v>165165147.40999997</v>
      </c>
      <c r="F58" s="199">
        <f t="shared" si="10"/>
        <v>73321203.739999995</v>
      </c>
      <c r="G58" s="199">
        <f t="shared" si="10"/>
        <v>8619865.9499999993</v>
      </c>
      <c r="H58" s="199">
        <f t="shared" si="10"/>
        <v>1176420.9199999981</v>
      </c>
      <c r="I58" s="198">
        <f t="shared" si="10"/>
        <v>475233968.41000009</v>
      </c>
      <c r="L58" s="152"/>
    </row>
    <row r="59" spans="2:12" x14ac:dyDescent="0.25">
      <c r="C59" s="158"/>
    </row>
    <row r="60" spans="2:12" x14ac:dyDescent="0.25">
      <c r="C60" s="153"/>
    </row>
  </sheetData>
  <mergeCells count="4">
    <mergeCell ref="C2:I2"/>
    <mergeCell ref="C3:I3"/>
    <mergeCell ref="C4:I4"/>
    <mergeCell ref="D5:I5"/>
  </mergeCells>
  <phoneticPr fontId="5" type="noConversion"/>
  <printOptions horizontalCentered="1"/>
  <pageMargins left="0.5" right="0.5" top="0.5" bottom="0.5" header="0.5" footer="0.25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B696-8627-4443-AC0D-62316E1C9BC6}">
  <dimension ref="A1:F43"/>
  <sheetViews>
    <sheetView topLeftCell="A2" workbookViewId="0">
      <selection activeCell="B9" sqref="B9"/>
    </sheetView>
  </sheetViews>
  <sheetFormatPr defaultRowHeight="15" x14ac:dyDescent="0.25"/>
  <cols>
    <col min="1" max="1" width="6.7109375" customWidth="1"/>
    <col min="2" max="2" width="11" customWidth="1"/>
    <col min="3" max="3" width="12.140625" customWidth="1"/>
    <col min="4" max="4" width="17.140625" customWidth="1"/>
    <col min="5" max="5" width="15.28515625" customWidth="1"/>
    <col min="6" max="6" width="15" customWidth="1"/>
  </cols>
  <sheetData>
    <row r="1" spans="1:6" x14ac:dyDescent="0.25">
      <c r="B1" s="245" t="s">
        <v>1157</v>
      </c>
      <c r="C1" s="246"/>
      <c r="D1" s="246"/>
      <c r="E1" s="246"/>
      <c r="F1" s="246"/>
    </row>
    <row r="2" spans="1:6" x14ac:dyDescent="0.25">
      <c r="A2" s="210" t="s">
        <v>97</v>
      </c>
      <c r="B2" s="211" t="s">
        <v>1162</v>
      </c>
      <c r="C2" s="211" t="s">
        <v>1158</v>
      </c>
      <c r="D2" s="211" t="s">
        <v>1161</v>
      </c>
      <c r="E2" s="211" t="s">
        <v>1160</v>
      </c>
      <c r="F2" s="211" t="s">
        <v>1159</v>
      </c>
    </row>
    <row r="3" spans="1:6" x14ac:dyDescent="0.25">
      <c r="A3" s="212" t="s">
        <v>227</v>
      </c>
      <c r="B3" s="213">
        <v>1321123.8199999998</v>
      </c>
      <c r="C3" s="213">
        <v>12839339.620000001</v>
      </c>
      <c r="D3" s="213">
        <v>0</v>
      </c>
      <c r="E3" s="213">
        <v>0</v>
      </c>
      <c r="F3" s="213">
        <v>0</v>
      </c>
    </row>
    <row r="4" spans="1:6" x14ac:dyDescent="0.25">
      <c r="A4" s="212" t="s">
        <v>228</v>
      </c>
      <c r="B4" s="213">
        <v>1062872.1599999999</v>
      </c>
      <c r="C4" s="213">
        <v>209687772.29000005</v>
      </c>
      <c r="D4" s="213">
        <v>0</v>
      </c>
      <c r="E4" s="213">
        <v>0</v>
      </c>
      <c r="F4" s="213">
        <v>0</v>
      </c>
    </row>
    <row r="5" spans="1:6" x14ac:dyDescent="0.25">
      <c r="A5" s="212" t="s">
        <v>229</v>
      </c>
      <c r="B5" s="213">
        <v>0</v>
      </c>
      <c r="C5" s="213">
        <v>11519666.27</v>
      </c>
      <c r="D5" s="213">
        <v>0</v>
      </c>
      <c r="E5" s="213">
        <v>0</v>
      </c>
      <c r="F5" s="213">
        <v>0</v>
      </c>
    </row>
    <row r="6" spans="1:6" x14ac:dyDescent="0.25">
      <c r="A6" s="212" t="s">
        <v>230</v>
      </c>
      <c r="B6" s="213">
        <v>69987.48000000001</v>
      </c>
      <c r="C6" s="213">
        <v>118800465.76000001</v>
      </c>
      <c r="D6" s="213">
        <v>0</v>
      </c>
      <c r="E6" s="213">
        <v>0</v>
      </c>
      <c r="F6" s="213">
        <v>0</v>
      </c>
    </row>
    <row r="7" spans="1:6" x14ac:dyDescent="0.25">
      <c r="A7" s="212" t="s">
        <v>231</v>
      </c>
      <c r="B7" s="213">
        <v>0</v>
      </c>
      <c r="C7" s="213">
        <v>84261260.24000001</v>
      </c>
      <c r="D7" s="213">
        <v>0</v>
      </c>
      <c r="E7" s="213">
        <v>0</v>
      </c>
      <c r="F7" s="213">
        <v>0</v>
      </c>
    </row>
    <row r="8" spans="1:6" x14ac:dyDescent="0.25">
      <c r="A8" s="212" t="s">
        <v>232</v>
      </c>
      <c r="B8" s="213">
        <v>0</v>
      </c>
      <c r="C8" s="213">
        <v>82766490.659999996</v>
      </c>
      <c r="D8" s="213">
        <v>0</v>
      </c>
      <c r="E8" s="213">
        <v>0</v>
      </c>
      <c r="F8" s="213">
        <v>0</v>
      </c>
    </row>
    <row r="9" spans="1:6" x14ac:dyDescent="0.25">
      <c r="A9" s="212" t="s">
        <v>233</v>
      </c>
      <c r="B9" s="213">
        <v>0</v>
      </c>
      <c r="C9" s="213">
        <v>0</v>
      </c>
      <c r="D9" s="213">
        <v>6854224</v>
      </c>
      <c r="E9" s="213">
        <v>8970241.9700000007</v>
      </c>
      <c r="F9" s="213">
        <v>81009011.429999992</v>
      </c>
    </row>
    <row r="10" spans="1:6" x14ac:dyDescent="0.25">
      <c r="A10" s="212" t="s">
        <v>234</v>
      </c>
      <c r="B10" s="213">
        <v>0</v>
      </c>
      <c r="C10" s="213">
        <v>0</v>
      </c>
      <c r="D10" s="213">
        <v>0</v>
      </c>
      <c r="E10" s="213">
        <v>0</v>
      </c>
      <c r="F10" s="213">
        <v>2497426.86</v>
      </c>
    </row>
    <row r="11" spans="1:6" x14ac:dyDescent="0.25">
      <c r="A11" s="212" t="s">
        <v>235</v>
      </c>
      <c r="B11" s="213">
        <v>0</v>
      </c>
      <c r="C11" s="213">
        <v>50</v>
      </c>
      <c r="D11" s="213">
        <v>3090.57</v>
      </c>
      <c r="E11" s="213">
        <v>1208.48</v>
      </c>
      <c r="F11" s="213">
        <v>72900.850000000006</v>
      </c>
    </row>
    <row r="12" spans="1:6" x14ac:dyDescent="0.25">
      <c r="A12" s="212" t="s">
        <v>236</v>
      </c>
      <c r="B12" s="213">
        <v>2453983.4599999995</v>
      </c>
      <c r="C12" s="213">
        <v>519875044.84000003</v>
      </c>
      <c r="D12" s="213">
        <v>6857314.5700000003</v>
      </c>
      <c r="E12" s="213">
        <v>8971450.4500000011</v>
      </c>
      <c r="F12" s="213">
        <v>83579339.140000001</v>
      </c>
    </row>
    <row r="13" spans="1:6" x14ac:dyDescent="0.25">
      <c r="A13" s="212" t="s">
        <v>239</v>
      </c>
      <c r="B13" s="213">
        <v>0</v>
      </c>
      <c r="C13" s="213">
        <v>20719157.410000004</v>
      </c>
      <c r="D13" s="213">
        <v>632618.66999999993</v>
      </c>
      <c r="E13" s="213">
        <v>836186.05999999994</v>
      </c>
      <c r="F13" s="213">
        <v>12554271.199999999</v>
      </c>
    </row>
    <row r="14" spans="1:6" x14ac:dyDescent="0.25">
      <c r="A14" s="212" t="s">
        <v>240</v>
      </c>
      <c r="B14" s="213">
        <v>2681509.5</v>
      </c>
      <c r="C14" s="213">
        <v>374422938.17999995</v>
      </c>
      <c r="D14" s="213">
        <v>0</v>
      </c>
      <c r="E14" s="213">
        <v>0</v>
      </c>
      <c r="F14" s="213">
        <v>0</v>
      </c>
    </row>
    <row r="15" spans="1:6" x14ac:dyDescent="0.25">
      <c r="A15" s="212" t="s">
        <v>241</v>
      </c>
      <c r="B15" s="213">
        <v>0</v>
      </c>
      <c r="C15" s="213">
        <v>89774941.650000006</v>
      </c>
      <c r="D15" s="213">
        <v>0</v>
      </c>
      <c r="E15" s="213">
        <v>0</v>
      </c>
      <c r="F15" s="213">
        <v>0</v>
      </c>
    </row>
    <row r="16" spans="1:6" x14ac:dyDescent="0.25">
      <c r="A16" s="212" t="s">
        <v>243</v>
      </c>
      <c r="B16" s="213">
        <v>0</v>
      </c>
      <c r="C16" s="213">
        <v>0</v>
      </c>
      <c r="D16" s="213">
        <v>1849166.52</v>
      </c>
      <c r="E16" s="213">
        <v>6996144.839999998</v>
      </c>
      <c r="F16" s="213">
        <v>26015162.850000001</v>
      </c>
    </row>
    <row r="17" spans="1:6" x14ac:dyDescent="0.25">
      <c r="A17" s="212" t="s">
        <v>244</v>
      </c>
      <c r="B17" s="213">
        <v>0</v>
      </c>
      <c r="C17" s="213">
        <v>0</v>
      </c>
      <c r="D17" s="213">
        <v>9055</v>
      </c>
      <c r="E17" s="213">
        <v>273726.55</v>
      </c>
      <c r="F17" s="213">
        <v>18839311.41</v>
      </c>
    </row>
    <row r="18" spans="1:6" x14ac:dyDescent="0.25">
      <c r="A18" s="212" t="s">
        <v>246</v>
      </c>
      <c r="B18" s="213">
        <v>0</v>
      </c>
      <c r="C18" s="213">
        <v>0</v>
      </c>
      <c r="D18" s="213">
        <v>0</v>
      </c>
      <c r="E18" s="213">
        <v>0</v>
      </c>
      <c r="F18" s="213">
        <v>37900</v>
      </c>
    </row>
    <row r="19" spans="1:6" x14ac:dyDescent="0.25">
      <c r="A19" s="212" t="s">
        <v>247</v>
      </c>
      <c r="B19" s="213">
        <v>0</v>
      </c>
      <c r="C19" s="213">
        <v>0</v>
      </c>
      <c r="D19" s="213">
        <v>0</v>
      </c>
      <c r="E19" s="213">
        <v>-151788.74</v>
      </c>
      <c r="F19" s="213">
        <v>-41561.550000000003</v>
      </c>
    </row>
    <row r="20" spans="1:6" x14ac:dyDescent="0.25">
      <c r="A20" s="212" t="s">
        <v>248</v>
      </c>
      <c r="B20" s="213">
        <v>0</v>
      </c>
      <c r="C20" s="213">
        <v>0</v>
      </c>
      <c r="D20" s="213">
        <v>4125187</v>
      </c>
      <c r="E20" s="213">
        <v>0</v>
      </c>
      <c r="F20" s="213">
        <v>1795040.71</v>
      </c>
    </row>
    <row r="21" spans="1:6" x14ac:dyDescent="0.25">
      <c r="A21" s="212" t="s">
        <v>249</v>
      </c>
      <c r="B21" s="213">
        <v>0</v>
      </c>
      <c r="C21" s="213">
        <v>0</v>
      </c>
      <c r="D21" s="213">
        <v>0</v>
      </c>
      <c r="E21" s="213">
        <v>0</v>
      </c>
      <c r="F21" s="213">
        <v>23619627.770000003</v>
      </c>
    </row>
    <row r="22" spans="1:6" x14ac:dyDescent="0.25">
      <c r="A22" s="212" t="s">
        <v>250</v>
      </c>
      <c r="B22" s="213">
        <v>0</v>
      </c>
      <c r="C22" s="213">
        <v>7510208.830000001</v>
      </c>
      <c r="D22" s="213">
        <v>0</v>
      </c>
      <c r="E22" s="213">
        <v>0</v>
      </c>
      <c r="F22" s="213">
        <v>297026.62</v>
      </c>
    </row>
    <row r="23" spans="1:6" x14ac:dyDescent="0.25">
      <c r="A23" s="212" t="s">
        <v>251</v>
      </c>
      <c r="B23" s="213">
        <v>499.7</v>
      </c>
      <c r="C23" s="213">
        <v>60319.38</v>
      </c>
      <c r="D23" s="213">
        <v>37664.400000000001</v>
      </c>
      <c r="E23" s="213">
        <v>2302651.17</v>
      </c>
      <c r="F23" s="213">
        <v>7699741.1200000001</v>
      </c>
    </row>
    <row r="24" spans="1:6" x14ac:dyDescent="0.25">
      <c r="A24" s="212" t="s">
        <v>252</v>
      </c>
      <c r="B24" s="213">
        <v>2682009.2000000002</v>
      </c>
      <c r="C24" s="213">
        <v>492487565.45000005</v>
      </c>
      <c r="D24" s="213">
        <v>6653691.5899999999</v>
      </c>
      <c r="E24" s="213">
        <v>10256919.879999999</v>
      </c>
      <c r="F24" s="213">
        <v>90816520.129999995</v>
      </c>
    </row>
    <row r="25" spans="1:6" x14ac:dyDescent="0.25">
      <c r="A25" s="212" t="s">
        <v>254</v>
      </c>
      <c r="B25" s="213">
        <v>-228025.74000000069</v>
      </c>
      <c r="C25" s="213">
        <v>27387479.389999982</v>
      </c>
      <c r="D25" s="213">
        <v>203622.98000000045</v>
      </c>
      <c r="E25" s="213">
        <v>-1285469.4299999997</v>
      </c>
      <c r="F25" s="213">
        <v>-7237180.9899999928</v>
      </c>
    </row>
    <row r="26" spans="1:6" x14ac:dyDescent="0.25">
      <c r="A26" s="212" t="s">
        <v>256</v>
      </c>
      <c r="B26" s="213">
        <v>0</v>
      </c>
      <c r="C26" s="213">
        <v>0</v>
      </c>
      <c r="D26" s="213">
        <v>0</v>
      </c>
      <c r="E26" s="213">
        <v>0</v>
      </c>
      <c r="F26" s="213">
        <v>0</v>
      </c>
    </row>
    <row r="27" spans="1:6" x14ac:dyDescent="0.25">
      <c r="A27" s="212" t="s">
        <v>257</v>
      </c>
      <c r="B27" s="213">
        <v>41125.78</v>
      </c>
      <c r="C27" s="213">
        <v>5791394.1900000004</v>
      </c>
      <c r="D27" s="213">
        <v>351542.17</v>
      </c>
      <c r="E27" s="213">
        <v>2642112.4800000004</v>
      </c>
      <c r="F27" s="213">
        <v>9075712.3099999987</v>
      </c>
    </row>
    <row r="28" spans="1:6" x14ac:dyDescent="0.25">
      <c r="A28" s="212" t="s">
        <v>258</v>
      </c>
      <c r="B28" s="213">
        <v>0</v>
      </c>
      <c r="C28" s="213">
        <v>-1089234.6700000002</v>
      </c>
      <c r="D28" s="213">
        <v>0</v>
      </c>
      <c r="E28" s="213">
        <v>0</v>
      </c>
      <c r="F28" s="213">
        <v>-12175.08</v>
      </c>
    </row>
    <row r="29" spans="1:6" x14ac:dyDescent="0.25">
      <c r="A29" s="212" t="s">
        <v>259</v>
      </c>
      <c r="B29" s="213">
        <v>0</v>
      </c>
      <c r="C29" s="213">
        <v>119221.48000000001</v>
      </c>
      <c r="D29" s="213">
        <v>0</v>
      </c>
      <c r="E29" s="213">
        <v>0</v>
      </c>
      <c r="F29" s="213">
        <v>0</v>
      </c>
    </row>
    <row r="30" spans="1:6" x14ac:dyDescent="0.25">
      <c r="A30" s="212" t="s">
        <v>260</v>
      </c>
      <c r="B30" s="213">
        <v>0</v>
      </c>
      <c r="C30" s="213">
        <v>-184724.1</v>
      </c>
      <c r="D30" s="213">
        <v>0</v>
      </c>
      <c r="E30" s="213">
        <v>0</v>
      </c>
      <c r="F30" s="213">
        <v>0</v>
      </c>
    </row>
    <row r="31" spans="1:6" x14ac:dyDescent="0.25">
      <c r="A31" s="212" t="s">
        <v>261</v>
      </c>
      <c r="B31" s="213">
        <v>0</v>
      </c>
      <c r="C31" s="213">
        <v>-122094.59</v>
      </c>
      <c r="D31" s="213">
        <v>0</v>
      </c>
      <c r="E31" s="213">
        <v>0</v>
      </c>
      <c r="F31" s="213">
        <v>0</v>
      </c>
    </row>
    <row r="32" spans="1:6" x14ac:dyDescent="0.25">
      <c r="A32" s="212" t="s">
        <v>262</v>
      </c>
      <c r="B32" s="213">
        <v>0</v>
      </c>
      <c r="C32" s="213">
        <v>121846.92</v>
      </c>
      <c r="D32" s="213">
        <v>0</v>
      </c>
      <c r="E32" s="213">
        <v>0</v>
      </c>
      <c r="F32" s="213">
        <v>0</v>
      </c>
    </row>
    <row r="33" spans="1:6" x14ac:dyDescent="0.25">
      <c r="A33" s="212" t="s">
        <v>263</v>
      </c>
      <c r="B33" s="213">
        <v>0</v>
      </c>
      <c r="C33" s="213">
        <v>78792.850000000006</v>
      </c>
      <c r="D33" s="213">
        <v>0</v>
      </c>
      <c r="E33" s="213">
        <v>0</v>
      </c>
      <c r="F33" s="213">
        <v>0</v>
      </c>
    </row>
    <row r="34" spans="1:6" x14ac:dyDescent="0.25">
      <c r="A34" s="212" t="s">
        <v>264</v>
      </c>
      <c r="B34" s="213">
        <v>0</v>
      </c>
      <c r="C34" s="213">
        <v>80558.45</v>
      </c>
      <c r="D34" s="213">
        <v>0</v>
      </c>
      <c r="E34" s="213">
        <v>0</v>
      </c>
      <c r="F34" s="213">
        <v>0</v>
      </c>
    </row>
    <row r="35" spans="1:6" x14ac:dyDescent="0.25">
      <c r="A35" s="212" t="s">
        <v>265</v>
      </c>
      <c r="B35" s="213">
        <v>41125.78</v>
      </c>
      <c r="C35" s="213">
        <v>4795760.53</v>
      </c>
      <c r="D35" s="213">
        <v>351542.17</v>
      </c>
      <c r="E35" s="213">
        <v>2642112.4800000004</v>
      </c>
      <c r="F35" s="213">
        <v>9063537.2299999986</v>
      </c>
    </row>
    <row r="36" spans="1:6" x14ac:dyDescent="0.25">
      <c r="A36" s="212" t="s">
        <v>267</v>
      </c>
      <c r="B36" s="213">
        <v>-186899.96000000069</v>
      </c>
      <c r="C36" s="213">
        <v>32183239.919999979</v>
      </c>
      <c r="D36" s="213">
        <v>555165.15000000037</v>
      </c>
      <c r="E36" s="213">
        <v>1356643.0500000003</v>
      </c>
      <c r="F36" s="213">
        <v>1826356.2400000077</v>
      </c>
    </row>
    <row r="37" spans="1:6" x14ac:dyDescent="0.25">
      <c r="A37" s="212" t="s">
        <v>269</v>
      </c>
      <c r="B37" s="213">
        <v>0</v>
      </c>
      <c r="C37" s="213">
        <v>0</v>
      </c>
      <c r="D37" s="213">
        <v>0</v>
      </c>
      <c r="E37" s="213">
        <v>0</v>
      </c>
      <c r="F37" s="213">
        <v>0</v>
      </c>
    </row>
    <row r="38" spans="1:6" x14ac:dyDescent="0.25">
      <c r="A38" s="212" t="s">
        <v>270</v>
      </c>
      <c r="B38" s="213">
        <v>0</v>
      </c>
      <c r="C38" s="213">
        <v>0</v>
      </c>
      <c r="D38" s="213">
        <v>0</v>
      </c>
      <c r="E38" s="213">
        <v>0</v>
      </c>
      <c r="F38" s="213">
        <v>0</v>
      </c>
    </row>
    <row r="39" spans="1:6" x14ac:dyDescent="0.25">
      <c r="A39" s="212" t="s">
        <v>271</v>
      </c>
      <c r="B39" s="213">
        <v>-186899.96000000069</v>
      </c>
      <c r="C39" s="213">
        <v>32183239.919999979</v>
      </c>
      <c r="D39" s="213">
        <v>555165.15000000037</v>
      </c>
      <c r="E39" s="213">
        <v>1356643.0500000003</v>
      </c>
      <c r="F39" s="213">
        <v>1826356.2400000077</v>
      </c>
    </row>
    <row r="40" spans="1:6" x14ac:dyDescent="0.25">
      <c r="A40" s="212" t="s">
        <v>273</v>
      </c>
      <c r="B40" s="213">
        <v>707496.68999999936</v>
      </c>
      <c r="C40" s="213">
        <v>175947449.58000004</v>
      </c>
      <c r="D40" s="213">
        <v>4074895.51</v>
      </c>
      <c r="E40" s="213">
        <v>59226769.179999992</v>
      </c>
      <c r="F40" s="213">
        <v>147395791.07999998</v>
      </c>
    </row>
    <row r="41" spans="1:6" x14ac:dyDescent="0.25">
      <c r="A41" s="212" t="s">
        <v>274</v>
      </c>
      <c r="B41" s="213">
        <v>-25836.25</v>
      </c>
      <c r="C41" s="213">
        <v>-14769337.199999999</v>
      </c>
      <c r="D41" s="213">
        <v>-42545.11</v>
      </c>
      <c r="E41" s="213">
        <v>-24916.7</v>
      </c>
      <c r="F41" s="213">
        <v>-52598.35</v>
      </c>
    </row>
    <row r="42" spans="1:6" x14ac:dyDescent="0.25">
      <c r="A42" s="212" t="s">
        <v>275</v>
      </c>
      <c r="B42" s="213">
        <v>681660.43999999936</v>
      </c>
      <c r="C42" s="213">
        <v>33589978.090000026</v>
      </c>
      <c r="D42" s="213">
        <v>4032350.4</v>
      </c>
      <c r="E42" s="213">
        <v>12762708.210000001</v>
      </c>
      <c r="F42" s="213">
        <v>15995598.440000003</v>
      </c>
    </row>
    <row r="43" spans="1:6" x14ac:dyDescent="0.25">
      <c r="A43" s="212" t="s">
        <v>277</v>
      </c>
      <c r="B43" s="213">
        <v>494760.4799999987</v>
      </c>
      <c r="C43" s="213">
        <v>193361352.30000001</v>
      </c>
      <c r="D43" s="213">
        <v>4587515.5500000007</v>
      </c>
      <c r="E43" s="213">
        <v>60558495.530000001</v>
      </c>
      <c r="F43" s="213">
        <v>149169548.97000003</v>
      </c>
    </row>
  </sheetData>
  <mergeCells count="1">
    <mergeCell ref="B1:F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B64E-1C07-4DEB-AAEF-0814F1B54550}">
  <sheetPr>
    <tabColor theme="9" tint="0.79998168889431442"/>
  </sheetPr>
  <dimension ref="B2:S86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" x14ac:dyDescent="0.25"/>
  <cols>
    <col min="1" max="1" width="8.85546875" style="44"/>
    <col min="2" max="2" width="0" style="73" hidden="1" customWidth="1"/>
    <col min="3" max="3" width="90.7109375" style="44" bestFit="1" customWidth="1"/>
    <col min="4" max="8" width="16.7109375" style="48" customWidth="1"/>
    <col min="9" max="9" width="16.7109375" style="191" customWidth="1"/>
    <col min="10" max="10" width="8.85546875" style="44"/>
    <col min="11" max="11" width="11.42578125" bestFit="1" customWidth="1"/>
    <col min="12" max="12" width="14.5703125" bestFit="1" customWidth="1"/>
    <col min="13" max="14" width="16.42578125" bestFit="1" customWidth="1"/>
    <col min="15" max="15" width="15.42578125" bestFit="1" customWidth="1"/>
    <col min="16" max="16" width="14.42578125" bestFit="1" customWidth="1"/>
    <col min="17" max="17" width="13.7109375" bestFit="1" customWidth="1"/>
    <col min="18" max="18" width="17.28515625" bestFit="1" customWidth="1"/>
    <col min="20" max="16384" width="8.85546875" style="44"/>
  </cols>
  <sheetData>
    <row r="2" spans="2:19" x14ac:dyDescent="0.25">
      <c r="C2" s="247" t="s">
        <v>1163</v>
      </c>
      <c r="D2" s="247"/>
      <c r="E2" s="247"/>
      <c r="F2" s="247"/>
      <c r="G2" s="247"/>
      <c r="H2" s="247"/>
      <c r="I2" s="247"/>
    </row>
    <row r="3" spans="2:19" x14ac:dyDescent="0.25">
      <c r="C3" s="248" t="s">
        <v>340</v>
      </c>
      <c r="D3" s="248"/>
      <c r="E3" s="248"/>
      <c r="F3" s="248"/>
      <c r="G3" s="248"/>
      <c r="H3" s="248"/>
      <c r="I3" s="248"/>
    </row>
    <row r="4" spans="2:19" x14ac:dyDescent="0.25">
      <c r="C4" s="249" t="s">
        <v>1278</v>
      </c>
      <c r="D4" s="249"/>
      <c r="E4" s="249"/>
      <c r="F4" s="249"/>
      <c r="G4" s="249"/>
      <c r="H4" s="249"/>
      <c r="I4" s="249"/>
    </row>
    <row r="5" spans="2:19" x14ac:dyDescent="0.25">
      <c r="C5" s="45"/>
      <c r="D5" s="46"/>
      <c r="E5" s="46"/>
      <c r="F5" s="46"/>
      <c r="G5" s="46"/>
      <c r="H5" s="46"/>
      <c r="I5" s="46"/>
    </row>
    <row r="6" spans="2:19" s="36" customFormat="1" ht="30" x14ac:dyDescent="0.25">
      <c r="B6" s="74" t="s">
        <v>97</v>
      </c>
      <c r="C6" s="76" t="s">
        <v>182</v>
      </c>
      <c r="D6" s="26" t="s">
        <v>1</v>
      </c>
      <c r="E6" s="26" t="s">
        <v>65</v>
      </c>
      <c r="F6" s="26" t="s">
        <v>1152</v>
      </c>
      <c r="G6" s="26" t="s">
        <v>1153</v>
      </c>
      <c r="H6" s="28" t="s">
        <v>1154</v>
      </c>
      <c r="I6" s="26" t="s">
        <v>2</v>
      </c>
      <c r="K6"/>
      <c r="L6"/>
      <c r="M6"/>
      <c r="N6"/>
      <c r="O6"/>
      <c r="P6"/>
      <c r="Q6"/>
      <c r="R6"/>
      <c r="S6"/>
    </row>
    <row r="7" spans="2:19" s="36" customFormat="1" x14ac:dyDescent="0.25">
      <c r="B7" s="80"/>
      <c r="C7" s="81"/>
      <c r="D7" s="79"/>
      <c r="E7" s="79"/>
      <c r="F7" s="79"/>
      <c r="G7" s="79"/>
      <c r="H7" s="79"/>
      <c r="I7" s="79"/>
      <c r="K7"/>
      <c r="L7"/>
      <c r="M7"/>
      <c r="N7"/>
      <c r="O7"/>
      <c r="P7"/>
      <c r="Q7"/>
      <c r="R7"/>
      <c r="S7"/>
    </row>
    <row r="8" spans="2:19" s="36" customFormat="1" x14ac:dyDescent="0.25">
      <c r="B8" s="75"/>
      <c r="C8" s="77" t="s">
        <v>341</v>
      </c>
      <c r="D8" s="78"/>
      <c r="E8" s="78"/>
      <c r="F8" s="78"/>
      <c r="G8" s="78"/>
      <c r="H8" s="78"/>
      <c r="I8" s="177"/>
      <c r="K8"/>
      <c r="L8"/>
      <c r="M8"/>
      <c r="N8"/>
      <c r="O8"/>
      <c r="P8"/>
      <c r="Q8"/>
      <c r="R8"/>
      <c r="S8"/>
    </row>
    <row r="9" spans="2:19" s="36" customFormat="1" x14ac:dyDescent="0.25">
      <c r="B9" s="75" t="s">
        <v>405</v>
      </c>
      <c r="C9" s="34" t="s">
        <v>342</v>
      </c>
      <c r="D9" s="166">
        <f>VLOOKUP($B9,Flow[#All],3,0)</f>
        <v>163837082.89999998</v>
      </c>
      <c r="E9" s="166">
        <f>VLOOKUP($B9,Flow[#All],6,0)</f>
        <v>163837082.89999998</v>
      </c>
      <c r="F9" s="166">
        <f>VLOOKUP($B9,Flow[#All],5,0)</f>
        <v>364059.09</v>
      </c>
      <c r="G9" s="166">
        <f>VLOOKUP($B9,Flow[#All],4,0)</f>
        <v>0</v>
      </c>
      <c r="H9" s="166">
        <f>VLOOKUP($B9,Flow[#All],2,0)</f>
        <v>2743802.04</v>
      </c>
      <c r="I9" s="178">
        <f>SUM(D9:H9)</f>
        <v>330782026.92999995</v>
      </c>
      <c r="K9"/>
      <c r="L9"/>
      <c r="M9"/>
      <c r="N9"/>
      <c r="O9"/>
      <c r="P9"/>
      <c r="Q9"/>
      <c r="R9"/>
      <c r="S9"/>
    </row>
    <row r="10" spans="2:19" s="36" customFormat="1" x14ac:dyDescent="0.25">
      <c r="B10" s="75" t="s">
        <v>407</v>
      </c>
      <c r="C10" s="34" t="s">
        <v>343</v>
      </c>
      <c r="D10" s="166">
        <f>VLOOKUP($B10,Flow[#All],3,0)</f>
        <v>337361462.96999991</v>
      </c>
      <c r="E10" s="166">
        <f>VLOOKUP($B10,Flow[#All],6,0)</f>
        <v>0</v>
      </c>
      <c r="F10" s="166">
        <f>VLOOKUP($B10,Flow[#All],5,0)</f>
        <v>0</v>
      </c>
      <c r="G10" s="166">
        <f>VLOOKUP($B10,Flow[#All],4,0)</f>
        <v>0</v>
      </c>
      <c r="H10" s="166">
        <f>VLOOKUP($B10,Flow[#All],2,0)</f>
        <v>1393738.71</v>
      </c>
      <c r="I10" s="178">
        <f t="shared" ref="I10:I22" si="0">SUM(D10:H10)</f>
        <v>338755201.67999989</v>
      </c>
      <c r="K10"/>
      <c r="L10"/>
      <c r="M10"/>
      <c r="N10"/>
      <c r="O10"/>
      <c r="P10"/>
      <c r="Q10"/>
      <c r="R10"/>
      <c r="S10"/>
    </row>
    <row r="11" spans="2:19" s="36" customFormat="1" x14ac:dyDescent="0.25">
      <c r="B11" s="75" t="s">
        <v>408</v>
      </c>
      <c r="C11" s="34" t="s">
        <v>344</v>
      </c>
      <c r="D11" s="166">
        <f>VLOOKUP($B11,Flow[#All],3,0)</f>
        <v>18667360.52</v>
      </c>
      <c r="E11" s="166">
        <f>VLOOKUP($B11,Flow[#All],6,0)</f>
        <v>75444939.469999999</v>
      </c>
      <c r="F11" s="166">
        <f>VLOOKUP($B11,Flow[#All],5,0)</f>
        <v>8734312.4699999988</v>
      </c>
      <c r="G11" s="166">
        <f>VLOOKUP($B11,Flow[#All],4,0)</f>
        <v>6507699</v>
      </c>
      <c r="H11" s="166">
        <f>VLOOKUP($B11,Flow[#All],2,0)</f>
        <v>0</v>
      </c>
      <c r="I11" s="178">
        <f t="shared" si="0"/>
        <v>109354311.45999999</v>
      </c>
      <c r="K11"/>
      <c r="L11"/>
      <c r="M11"/>
      <c r="N11"/>
      <c r="O11"/>
      <c r="P11"/>
      <c r="Q11"/>
      <c r="R11"/>
      <c r="S11"/>
    </row>
    <row r="12" spans="2:19" s="36" customFormat="1" x14ac:dyDescent="0.25">
      <c r="B12" s="75" t="s">
        <v>409</v>
      </c>
      <c r="C12" s="34" t="s">
        <v>345</v>
      </c>
      <c r="D12" s="166">
        <f>VLOOKUP($B12,Flow[#All],3,0)</f>
        <v>-176057063.49000004</v>
      </c>
      <c r="E12" s="166">
        <f>VLOOKUP($B12,Flow[#All],6,0)</f>
        <v>-10335515.279999999</v>
      </c>
      <c r="F12" s="166">
        <f>VLOOKUP($B12,Flow[#All],5,0)</f>
        <v>-460813.32000000024</v>
      </c>
      <c r="G12" s="166">
        <f>VLOOKUP($B12,Flow[#All],4,0)</f>
        <v>-112393.62999999999</v>
      </c>
      <c r="H12" s="166">
        <f>VLOOKUP($B12,Flow[#All],2,0)</f>
        <v>-1976612.99</v>
      </c>
      <c r="I12" s="178">
        <f t="shared" si="0"/>
        <v>-188942398.71000004</v>
      </c>
      <c r="K12"/>
      <c r="L12"/>
      <c r="M12"/>
      <c r="N12"/>
      <c r="O12"/>
      <c r="P12"/>
      <c r="Q12"/>
      <c r="R12"/>
      <c r="S12"/>
    </row>
    <row r="13" spans="2:19" s="36" customFormat="1" x14ac:dyDescent="0.25">
      <c r="B13" s="75" t="s">
        <v>410</v>
      </c>
      <c r="C13" s="34" t="s">
        <v>346</v>
      </c>
      <c r="D13" s="166">
        <f>VLOOKUP($B13,Flow[#All],3,0)</f>
        <v>-286838997.69423515</v>
      </c>
      <c r="E13" s="166">
        <f>VLOOKUP($B13,Flow[#All],6,0)</f>
        <v>-1127206.44</v>
      </c>
      <c r="F13" s="166">
        <f>VLOOKUP($B13,Flow[#All],5,0)</f>
        <v>-42106.63</v>
      </c>
      <c r="G13" s="166">
        <f>VLOOKUP($B13,Flow[#All],4,0)</f>
        <v>0</v>
      </c>
      <c r="H13" s="166">
        <f>VLOOKUP($B13,Flow[#All],2,0)</f>
        <v>0</v>
      </c>
      <c r="I13" s="178">
        <f t="shared" si="0"/>
        <v>-288008310.76423514</v>
      </c>
      <c r="K13"/>
      <c r="L13"/>
      <c r="M13"/>
      <c r="N13"/>
      <c r="O13"/>
      <c r="P13"/>
      <c r="Q13"/>
      <c r="R13"/>
      <c r="S13"/>
    </row>
    <row r="14" spans="2:19" s="36" customFormat="1" x14ac:dyDescent="0.25">
      <c r="B14" s="75" t="s">
        <v>411</v>
      </c>
      <c r="C14" s="34" t="s">
        <v>347</v>
      </c>
      <c r="D14" s="166">
        <f>VLOOKUP($B14,Flow[#All],3,0)</f>
        <v>0</v>
      </c>
      <c r="E14" s="166">
        <f>VLOOKUP($B14,Flow[#All],6,0)</f>
        <v>-1758976.19</v>
      </c>
      <c r="F14" s="166">
        <f>VLOOKUP($B14,Flow[#All],5,0)</f>
        <v>-1082746.6499999999</v>
      </c>
      <c r="G14" s="166">
        <f>VLOOKUP($B14,Flow[#All],4,0)</f>
        <v>0</v>
      </c>
      <c r="H14" s="166">
        <f>VLOOKUP($B14,Flow[#All],2,0)</f>
        <v>0</v>
      </c>
      <c r="I14" s="178">
        <f t="shared" si="0"/>
        <v>-2841722.84</v>
      </c>
      <c r="K14"/>
      <c r="L14"/>
      <c r="M14"/>
      <c r="N14"/>
      <c r="O14"/>
      <c r="P14"/>
      <c r="Q14"/>
      <c r="R14"/>
      <c r="S14"/>
    </row>
    <row r="15" spans="2:19" s="36" customFormat="1" x14ac:dyDescent="0.25">
      <c r="B15" s="75" t="s">
        <v>412</v>
      </c>
      <c r="C15" s="34" t="s">
        <v>348</v>
      </c>
      <c r="D15" s="166">
        <f>VLOOKUP($B15,Flow[#All],3,0)</f>
        <v>-30033648.759999998</v>
      </c>
      <c r="E15" s="166">
        <f>VLOOKUP($B15,Flow[#All],6,0)</f>
        <v>-37271557.860000007</v>
      </c>
      <c r="F15" s="166">
        <f>VLOOKUP($B15,Flow[#All],5,0)</f>
        <v>-7118976.7600000016</v>
      </c>
      <c r="G15" s="166">
        <f>VLOOKUP($B15,Flow[#All],4,0)</f>
        <v>-1849833.1400000001</v>
      </c>
      <c r="H15" s="166">
        <f>VLOOKUP($B15,Flow[#All],2,0)</f>
        <v>0</v>
      </c>
      <c r="I15" s="178">
        <f t="shared" si="0"/>
        <v>-76274016.520000011</v>
      </c>
      <c r="K15"/>
      <c r="L15"/>
      <c r="M15"/>
      <c r="N15"/>
      <c r="O15"/>
      <c r="P15"/>
      <c r="Q15"/>
      <c r="R15"/>
      <c r="S15"/>
    </row>
    <row r="16" spans="2:19" s="36" customFormat="1" x14ac:dyDescent="0.25">
      <c r="B16" s="75" t="s">
        <v>413</v>
      </c>
      <c r="C16" s="34" t="s">
        <v>349</v>
      </c>
      <c r="D16" s="166">
        <f>VLOOKUP($B16,Flow[#All],3,0)</f>
        <v>3141300.9399999995</v>
      </c>
      <c r="E16" s="166">
        <f>VLOOKUP($B16,Flow[#All],6,0)</f>
        <v>18874.819999999996</v>
      </c>
      <c r="F16" s="166">
        <f>VLOOKUP($B16,Flow[#All],5,0)</f>
        <v>2481.9699999999993</v>
      </c>
      <c r="G16" s="166">
        <f>VLOOKUP($B16,Flow[#All],4,0)</f>
        <v>14786.900000000001</v>
      </c>
      <c r="H16" s="166">
        <f>VLOOKUP($B16,Flow[#All],2,0)</f>
        <v>-1640747.72</v>
      </c>
      <c r="I16" s="178">
        <f t="shared" si="0"/>
        <v>1536696.9099999995</v>
      </c>
      <c r="K16"/>
      <c r="L16"/>
      <c r="M16"/>
      <c r="N16"/>
      <c r="O16"/>
      <c r="P16"/>
      <c r="Q16"/>
      <c r="R16"/>
      <c r="S16"/>
    </row>
    <row r="17" spans="2:19" s="36" customFormat="1" x14ac:dyDescent="0.25">
      <c r="B17" s="75" t="s">
        <v>414</v>
      </c>
      <c r="C17" s="34" t="s">
        <v>350</v>
      </c>
      <c r="D17" s="166">
        <f>VLOOKUP($B17,Flow[#All],3,0)</f>
        <v>-682722.1</v>
      </c>
      <c r="E17" s="166">
        <f>VLOOKUP($B17,Flow[#All],6,0)</f>
        <v>23536.040000000045</v>
      </c>
      <c r="F17" s="166">
        <f>VLOOKUP($B17,Flow[#All],5,0)</f>
        <v>-98622.090000000026</v>
      </c>
      <c r="G17" s="166">
        <f>VLOOKUP($B17,Flow[#All],4,0)</f>
        <v>-120279.27999999998</v>
      </c>
      <c r="H17" s="166">
        <f>VLOOKUP($B17,Flow[#All],2,0)</f>
        <v>-620315.06999999995</v>
      </c>
      <c r="I17" s="178">
        <f t="shared" si="0"/>
        <v>-1498402.5</v>
      </c>
      <c r="K17"/>
      <c r="L17"/>
      <c r="M17"/>
      <c r="N17"/>
      <c r="O17"/>
      <c r="P17"/>
      <c r="Q17"/>
      <c r="R17"/>
      <c r="S17"/>
    </row>
    <row r="18" spans="2:19" s="36" customFormat="1" x14ac:dyDescent="0.25">
      <c r="B18" s="75" t="s">
        <v>415</v>
      </c>
      <c r="C18" s="34" t="s">
        <v>351</v>
      </c>
      <c r="D18" s="166">
        <f>VLOOKUP($B18,Flow[#All],3,0)</f>
        <v>0</v>
      </c>
      <c r="E18" s="166">
        <f>VLOOKUP($B18,Flow[#All],6,0)</f>
        <v>-2072129.1099999999</v>
      </c>
      <c r="F18" s="166">
        <f>VLOOKUP($B18,Flow[#All],5,0)</f>
        <v>0</v>
      </c>
      <c r="G18" s="166">
        <f>VLOOKUP($B18,Flow[#All],4,0)</f>
        <v>-4125187</v>
      </c>
      <c r="H18" s="166">
        <f>VLOOKUP($B18,Flow[#All],2,0)</f>
        <v>0</v>
      </c>
      <c r="I18" s="178">
        <f t="shared" si="0"/>
        <v>-6197316.1099999994</v>
      </c>
      <c r="K18"/>
      <c r="L18"/>
      <c r="M18"/>
      <c r="N18"/>
      <c r="O18"/>
      <c r="P18"/>
      <c r="Q18"/>
      <c r="R18"/>
      <c r="S18"/>
    </row>
    <row r="19" spans="2:19" s="36" customFormat="1" x14ac:dyDescent="0.25">
      <c r="B19" s="75" t="s">
        <v>416</v>
      </c>
      <c r="C19" s="34" t="s">
        <v>352</v>
      </c>
      <c r="D19" s="166">
        <f>VLOOKUP($B19,Flow[#All],3,0)</f>
        <v>0</v>
      </c>
      <c r="E19" s="166">
        <f>VLOOKUP($B19,Flow[#All],6,0)</f>
        <v>-3792592.14</v>
      </c>
      <c r="F19" s="166">
        <f>VLOOKUP($B19,Flow[#All],5,0)</f>
        <v>0</v>
      </c>
      <c r="G19" s="166">
        <f>VLOOKUP($B19,Flow[#All],4,0)</f>
        <v>0</v>
      </c>
      <c r="H19" s="166">
        <f>VLOOKUP($B19,Flow[#All],2,0)</f>
        <v>0</v>
      </c>
      <c r="I19" s="178">
        <f t="shared" si="0"/>
        <v>-3792592.14</v>
      </c>
      <c r="K19"/>
      <c r="L19"/>
      <c r="M19"/>
      <c r="N19"/>
      <c r="O19"/>
      <c r="P19"/>
      <c r="Q19"/>
      <c r="R19"/>
      <c r="S19"/>
    </row>
    <row r="20" spans="2:19" s="36" customFormat="1" x14ac:dyDescent="0.25">
      <c r="B20" s="75" t="s">
        <v>417</v>
      </c>
      <c r="C20" s="34" t="s">
        <v>353</v>
      </c>
      <c r="D20" s="166">
        <f>VLOOKUP($B20,Flow[#All],3,0)</f>
        <v>0</v>
      </c>
      <c r="E20" s="166">
        <f>VLOOKUP($B20,Flow[#All],6,0)</f>
        <v>-22255544.309999999</v>
      </c>
      <c r="F20" s="166">
        <f>VLOOKUP($B20,Flow[#All],5,0)</f>
        <v>0</v>
      </c>
      <c r="G20" s="166">
        <f>VLOOKUP($B20,Flow[#All],4,0)</f>
        <v>0</v>
      </c>
      <c r="H20" s="166">
        <f>VLOOKUP($B20,Flow[#All],2,0)</f>
        <v>0</v>
      </c>
      <c r="I20" s="178">
        <f t="shared" si="0"/>
        <v>-22255544.309999999</v>
      </c>
      <c r="K20"/>
      <c r="L20"/>
      <c r="M20"/>
      <c r="N20"/>
      <c r="O20"/>
      <c r="P20"/>
      <c r="Q20"/>
      <c r="R20"/>
      <c r="S20"/>
    </row>
    <row r="21" spans="2:19" s="36" customFormat="1" x14ac:dyDescent="0.25">
      <c r="B21" s="75" t="s">
        <v>418</v>
      </c>
      <c r="C21" s="35" t="s">
        <v>354</v>
      </c>
      <c r="D21" s="166">
        <f>VLOOKUP($B21,Flow[#All],3,0)</f>
        <v>-933914.27</v>
      </c>
      <c r="E21" s="166">
        <f>VLOOKUP($B21,Flow[#All],6,0)</f>
        <v>-3542816.87</v>
      </c>
      <c r="F21" s="166">
        <f>VLOOKUP($B21,Flow[#All],5,0)</f>
        <v>-1351636.7599999998</v>
      </c>
      <c r="G21" s="166">
        <f>VLOOKUP($B21,Flow[#All],4,0)</f>
        <v>-37664.400000000001</v>
      </c>
      <c r="H21" s="166">
        <f>VLOOKUP($B21,Flow[#All],2,0)</f>
        <v>-499.7</v>
      </c>
      <c r="I21" s="178">
        <f t="shared" si="0"/>
        <v>-5866532.0000000009</v>
      </c>
      <c r="K21"/>
      <c r="L21"/>
      <c r="M21"/>
      <c r="N21"/>
      <c r="O21"/>
      <c r="P21"/>
      <c r="Q21"/>
      <c r="R21"/>
      <c r="S21"/>
    </row>
    <row r="22" spans="2:19" s="36" customFormat="1" x14ac:dyDescent="0.25">
      <c r="B22" s="75" t="s">
        <v>419</v>
      </c>
      <c r="C22" s="34" t="s">
        <v>355</v>
      </c>
      <c r="D22" s="166">
        <f>VLOOKUP($B22,Flow[#All],3,0)</f>
        <v>768407</v>
      </c>
      <c r="E22" s="166">
        <f>VLOOKUP($B22,Flow[#All],6,0)</f>
        <v>0</v>
      </c>
      <c r="F22" s="166">
        <f>VLOOKUP($B22,Flow[#All],5,0)</f>
        <v>1208.48</v>
      </c>
      <c r="G22" s="166">
        <f>VLOOKUP($B22,Flow[#All],4,0)</f>
        <v>3090.57</v>
      </c>
      <c r="H22" s="166">
        <f>VLOOKUP($B22,Flow[#All],2,0)</f>
        <v>0</v>
      </c>
      <c r="I22" s="178">
        <f t="shared" si="0"/>
        <v>772706.04999999993</v>
      </c>
      <c r="K22"/>
      <c r="L22"/>
      <c r="M22"/>
      <c r="N22"/>
      <c r="O22"/>
      <c r="P22"/>
      <c r="Q22"/>
      <c r="R22"/>
      <c r="S22"/>
    </row>
    <row r="23" spans="2:19" s="40" customFormat="1" x14ac:dyDescent="0.25">
      <c r="B23" s="192" t="s">
        <v>420</v>
      </c>
      <c r="C23" s="40" t="s">
        <v>356</v>
      </c>
      <c r="D23" s="185">
        <f t="shared" ref="D23:I23" si="1">SUM(D9:D22)</f>
        <v>29229268.01576471</v>
      </c>
      <c r="E23" s="185">
        <f t="shared" si="1"/>
        <v>157168095.02999994</v>
      </c>
      <c r="F23" s="185">
        <f t="shared" si="1"/>
        <v>-1052840.2000000044</v>
      </c>
      <c r="G23" s="185">
        <f t="shared" si="1"/>
        <v>280219.02000000054</v>
      </c>
      <c r="H23" s="185">
        <f t="shared" si="1"/>
        <v>-100634.73000000014</v>
      </c>
      <c r="I23" s="179">
        <f t="shared" si="1"/>
        <v>185524107.13576478</v>
      </c>
      <c r="K23" s="18"/>
      <c r="L23" s="18"/>
      <c r="M23" s="18"/>
      <c r="N23" s="18"/>
      <c r="O23" s="18"/>
      <c r="P23" s="18"/>
      <c r="Q23" s="18"/>
      <c r="R23" s="18"/>
      <c r="S23" s="18"/>
    </row>
    <row r="24" spans="2:19" s="36" customFormat="1" x14ac:dyDescent="0.25">
      <c r="B24" s="75"/>
      <c r="C24" s="35"/>
      <c r="D24" s="166"/>
      <c r="E24" s="166"/>
      <c r="F24" s="166"/>
      <c r="G24" s="166"/>
      <c r="H24" s="166"/>
      <c r="I24" s="180"/>
      <c r="K24"/>
      <c r="L24"/>
      <c r="M24"/>
      <c r="N24"/>
      <c r="O24"/>
      <c r="P24"/>
      <c r="Q24"/>
      <c r="R24"/>
      <c r="S24"/>
    </row>
    <row r="25" spans="2:19" s="36" customFormat="1" x14ac:dyDescent="0.25">
      <c r="B25" s="75"/>
      <c r="C25" s="37" t="s">
        <v>357</v>
      </c>
      <c r="D25" s="167"/>
      <c r="E25" s="167"/>
      <c r="F25" s="167"/>
      <c r="G25" s="167"/>
      <c r="H25" s="167"/>
      <c r="I25" s="181"/>
      <c r="K25"/>
      <c r="L25"/>
      <c r="M25"/>
      <c r="N25"/>
      <c r="O25"/>
      <c r="P25"/>
      <c r="Q25"/>
      <c r="R25"/>
      <c r="S25"/>
    </row>
    <row r="26" spans="2:19" s="36" customFormat="1" x14ac:dyDescent="0.25">
      <c r="B26" s="75" t="s">
        <v>423</v>
      </c>
      <c r="C26" s="35" t="s">
        <v>358</v>
      </c>
      <c r="D26" s="166">
        <f>VLOOKUP($B26,Flow[#All],3,0)</f>
        <v>0</v>
      </c>
      <c r="E26" s="166">
        <f>VLOOKUP($B26,Flow[#All],6,0)</f>
        <v>0</v>
      </c>
      <c r="F26" s="166">
        <f>VLOOKUP($B26,Flow[#All],5,0)</f>
        <v>0</v>
      </c>
      <c r="G26" s="166">
        <f>VLOOKUP($B26,Flow[#All],4,0)</f>
        <v>0</v>
      </c>
      <c r="H26" s="166">
        <f>VLOOKUP($B26,Flow[#All],2,0)</f>
        <v>0</v>
      </c>
      <c r="I26" s="178">
        <f>SUM(D26:H26)</f>
        <v>0</v>
      </c>
      <c r="K26"/>
      <c r="L26"/>
      <c r="M26"/>
      <c r="N26"/>
      <c r="O26"/>
      <c r="P26"/>
      <c r="Q26"/>
      <c r="R26"/>
      <c r="S26"/>
    </row>
    <row r="27" spans="2:19" s="36" customFormat="1" x14ac:dyDescent="0.25">
      <c r="B27" s="75" t="s">
        <v>424</v>
      </c>
      <c r="C27" s="35" t="s">
        <v>359</v>
      </c>
      <c r="D27" s="166">
        <f>VLOOKUP($B27,Flow[#All],3,0)</f>
        <v>0</v>
      </c>
      <c r="E27" s="166">
        <f>VLOOKUP($B27,Flow[#All],6,0)</f>
        <v>0</v>
      </c>
      <c r="F27" s="166">
        <f>VLOOKUP($B27,Flow[#All],5,0)</f>
        <v>0</v>
      </c>
      <c r="G27" s="166">
        <f>VLOOKUP($B27,Flow[#All],4,0)</f>
        <v>0</v>
      </c>
      <c r="H27" s="166">
        <f>VLOOKUP($B27,Flow[#All],2,0)</f>
        <v>0</v>
      </c>
      <c r="I27" s="178">
        <f t="shared" ref="I27:I30" si="2">SUM(D27:H27)</f>
        <v>0</v>
      </c>
      <c r="K27"/>
      <c r="L27"/>
      <c r="M27"/>
      <c r="N27"/>
      <c r="O27"/>
      <c r="P27"/>
      <c r="Q27"/>
      <c r="R27"/>
      <c r="S27"/>
    </row>
    <row r="28" spans="2:19" s="36" customFormat="1" x14ac:dyDescent="0.25">
      <c r="B28" s="75" t="s">
        <v>425</v>
      </c>
      <c r="C28" s="35" t="s">
        <v>360</v>
      </c>
      <c r="D28" s="166">
        <f>VLOOKUP($B28,Flow[#All],3,0)</f>
        <v>0</v>
      </c>
      <c r="E28" s="166">
        <f>VLOOKUP($B28,Flow[#All],6,0)</f>
        <v>0</v>
      </c>
      <c r="F28" s="166">
        <f>VLOOKUP($B28,Flow[#All],5,0)</f>
        <v>0</v>
      </c>
      <c r="G28" s="166">
        <f>VLOOKUP($B28,Flow[#All],4,0)</f>
        <v>0</v>
      </c>
      <c r="H28" s="166">
        <f>VLOOKUP($B28,Flow[#All],2,0)</f>
        <v>0</v>
      </c>
      <c r="I28" s="178">
        <f t="shared" si="2"/>
        <v>0</v>
      </c>
      <c r="K28"/>
      <c r="L28"/>
      <c r="M28"/>
      <c r="N28"/>
      <c r="O28"/>
      <c r="P28"/>
      <c r="Q28"/>
      <c r="R28"/>
      <c r="S28"/>
    </row>
    <row r="29" spans="2:19" s="36" customFormat="1" x14ac:dyDescent="0.25">
      <c r="B29" s="75" t="s">
        <v>426</v>
      </c>
      <c r="C29" s="35" t="s">
        <v>361</v>
      </c>
      <c r="D29" s="166">
        <f>VLOOKUP($B29,Flow[#All],3,0)</f>
        <v>-81153.87</v>
      </c>
      <c r="E29" s="166">
        <f>VLOOKUP($B29,Flow[#All],6,0)</f>
        <v>0</v>
      </c>
      <c r="F29" s="166">
        <f>VLOOKUP($B29,Flow[#All],5,0)</f>
        <v>0</v>
      </c>
      <c r="G29" s="166">
        <f>VLOOKUP($B29,Flow[#All],4,0)</f>
        <v>0</v>
      </c>
      <c r="H29" s="166">
        <f>VLOOKUP($B29,Flow[#All],2,0)</f>
        <v>0</v>
      </c>
      <c r="I29" s="178">
        <f t="shared" si="2"/>
        <v>-81153.87</v>
      </c>
      <c r="K29"/>
      <c r="L29"/>
      <c r="M29"/>
      <c r="N29"/>
      <c r="O29"/>
      <c r="P29"/>
      <c r="Q29"/>
      <c r="R29"/>
      <c r="S29"/>
    </row>
    <row r="30" spans="2:19" s="36" customFormat="1" x14ac:dyDescent="0.25">
      <c r="B30" s="75" t="s">
        <v>427</v>
      </c>
      <c r="C30" s="34" t="s">
        <v>362</v>
      </c>
      <c r="D30" s="166">
        <f>VLOOKUP($B30,Flow[#All],3,0)</f>
        <v>0</v>
      </c>
      <c r="E30" s="166">
        <f>VLOOKUP($B30,Flow[#All],6,0)</f>
        <v>0</v>
      </c>
      <c r="F30" s="166">
        <f>VLOOKUP($B30,Flow[#All],5,0)</f>
        <v>0</v>
      </c>
      <c r="G30" s="166">
        <f>VLOOKUP($B30,Flow[#All],4,0)</f>
        <v>0</v>
      </c>
      <c r="H30" s="166">
        <f>VLOOKUP($B30,Flow[#All],2,0)</f>
        <v>0</v>
      </c>
      <c r="I30" s="178">
        <f t="shared" si="2"/>
        <v>0</v>
      </c>
      <c r="K30"/>
      <c r="L30"/>
      <c r="M30"/>
      <c r="N30"/>
      <c r="O30"/>
      <c r="P30"/>
      <c r="Q30"/>
      <c r="R30"/>
      <c r="S30"/>
    </row>
    <row r="31" spans="2:19" s="40" customFormat="1" x14ac:dyDescent="0.25">
      <c r="B31" s="192" t="s">
        <v>428</v>
      </c>
      <c r="C31" s="41" t="s">
        <v>363</v>
      </c>
      <c r="D31" s="185">
        <f>SUM(D26:D30)</f>
        <v>-81153.87</v>
      </c>
      <c r="E31" s="185">
        <f t="shared" ref="E31:I31" si="3">SUM(E26:E30)</f>
        <v>0</v>
      </c>
      <c r="F31" s="185">
        <f t="shared" si="3"/>
        <v>0</v>
      </c>
      <c r="G31" s="185">
        <f t="shared" si="3"/>
        <v>0</v>
      </c>
      <c r="H31" s="185">
        <f t="shared" si="3"/>
        <v>0</v>
      </c>
      <c r="I31" s="179">
        <f t="shared" si="3"/>
        <v>-81153.87</v>
      </c>
      <c r="K31" s="18"/>
      <c r="L31" s="18"/>
      <c r="M31" s="18"/>
      <c r="N31" s="18"/>
      <c r="O31" s="18"/>
      <c r="P31" s="18"/>
      <c r="Q31" s="18"/>
      <c r="R31" s="18"/>
      <c r="S31" s="18"/>
    </row>
    <row r="32" spans="2:19" s="36" customFormat="1" x14ac:dyDescent="0.25">
      <c r="B32" s="75"/>
      <c r="C32" s="35"/>
      <c r="D32" s="166"/>
      <c r="E32" s="166"/>
      <c r="F32" s="166"/>
      <c r="G32" s="166"/>
      <c r="H32" s="166"/>
      <c r="I32" s="180"/>
      <c r="K32"/>
      <c r="L32"/>
      <c r="M32"/>
      <c r="N32"/>
      <c r="O32"/>
      <c r="P32"/>
      <c r="Q32"/>
      <c r="R32"/>
      <c r="S32"/>
    </row>
    <row r="33" spans="2:19" s="36" customFormat="1" x14ac:dyDescent="0.25">
      <c r="B33" s="75"/>
      <c r="C33" s="37" t="s">
        <v>364</v>
      </c>
      <c r="D33" s="167"/>
      <c r="E33" s="167"/>
      <c r="F33" s="167"/>
      <c r="G33" s="167"/>
      <c r="H33" s="167"/>
      <c r="I33" s="181"/>
      <c r="K33"/>
      <c r="L33"/>
      <c r="M33"/>
      <c r="N33"/>
      <c r="O33"/>
      <c r="P33"/>
      <c r="Q33"/>
      <c r="R33"/>
      <c r="S33"/>
    </row>
    <row r="34" spans="2:19" s="36" customFormat="1" x14ac:dyDescent="0.25">
      <c r="B34" s="75" t="s">
        <v>431</v>
      </c>
      <c r="C34" s="35" t="s">
        <v>365</v>
      </c>
      <c r="D34" s="166">
        <f>VLOOKUP($B34,Flow[#All],3,0)</f>
        <v>-2304971.7599999998</v>
      </c>
      <c r="E34" s="166">
        <f>VLOOKUP($B34,Flow[#All],6,0)</f>
        <v>0</v>
      </c>
      <c r="F34" s="166">
        <f>VLOOKUP($B34,Flow[#All],5,0)</f>
        <v>0</v>
      </c>
      <c r="G34" s="166">
        <f>VLOOKUP($B34,Flow[#All],4,0)</f>
        <v>0</v>
      </c>
      <c r="H34" s="166">
        <f>VLOOKUP($B34,Flow[#All],2,0)</f>
        <v>0</v>
      </c>
      <c r="I34" s="178">
        <f>SUM(D34:H34)</f>
        <v>-2304971.7599999998</v>
      </c>
      <c r="K34"/>
      <c r="L34"/>
      <c r="M34"/>
      <c r="N34"/>
      <c r="O34"/>
      <c r="P34"/>
      <c r="Q34"/>
      <c r="R34"/>
      <c r="S34"/>
    </row>
    <row r="35" spans="2:19" s="36" customFormat="1" x14ac:dyDescent="0.25">
      <c r="B35" s="75" t="s">
        <v>432</v>
      </c>
      <c r="C35" s="35" t="s">
        <v>366</v>
      </c>
      <c r="D35" s="166">
        <f>VLOOKUP($B35,Flow[#All],3,0)</f>
        <v>903830.42</v>
      </c>
      <c r="E35" s="166">
        <f>VLOOKUP($B35,Flow[#All],6,0)</f>
        <v>0</v>
      </c>
      <c r="F35" s="166">
        <f>VLOOKUP($B35,Flow[#All],5,0)</f>
        <v>0</v>
      </c>
      <c r="G35" s="166">
        <f>VLOOKUP($B35,Flow[#All],4,0)</f>
        <v>0</v>
      </c>
      <c r="H35" s="166">
        <f>VLOOKUP($B35,Flow[#All],2,0)</f>
        <v>0</v>
      </c>
      <c r="I35" s="178">
        <f t="shared" ref="I35:I40" si="4">SUM(D35:H35)</f>
        <v>903830.42</v>
      </c>
      <c r="K35"/>
      <c r="L35"/>
      <c r="M35"/>
      <c r="N35"/>
      <c r="O35"/>
      <c r="P35"/>
      <c r="Q35"/>
      <c r="R35"/>
      <c r="S35"/>
    </row>
    <row r="36" spans="2:19" s="36" customFormat="1" x14ac:dyDescent="0.25">
      <c r="B36" s="75" t="s">
        <v>433</v>
      </c>
      <c r="C36" s="35" t="s">
        <v>367</v>
      </c>
      <c r="D36" s="166">
        <f>VLOOKUP($B36,Flow[#All],3,0)</f>
        <v>-3728453.4099999992</v>
      </c>
      <c r="E36" s="166">
        <f>VLOOKUP($B36,Flow[#All],6,0)</f>
        <v>0</v>
      </c>
      <c r="F36" s="166">
        <f>VLOOKUP($B36,Flow[#All],5,0)</f>
        <v>0</v>
      </c>
      <c r="G36" s="166">
        <f>VLOOKUP($B36,Flow[#All],4,0)</f>
        <v>0</v>
      </c>
      <c r="H36" s="166">
        <f>VLOOKUP($B36,Flow[#All],2,0)</f>
        <v>0</v>
      </c>
      <c r="I36" s="178">
        <f t="shared" si="4"/>
        <v>-3728453.4099999992</v>
      </c>
      <c r="K36"/>
      <c r="L36"/>
      <c r="M36"/>
      <c r="N36"/>
      <c r="O36"/>
      <c r="P36"/>
      <c r="Q36"/>
      <c r="R36"/>
      <c r="S36"/>
    </row>
    <row r="37" spans="2:19" s="36" customFormat="1" x14ac:dyDescent="0.25">
      <c r="B37" s="75" t="s">
        <v>434</v>
      </c>
      <c r="C37" s="35" t="s">
        <v>368</v>
      </c>
      <c r="D37" s="166">
        <f>VLOOKUP($B37,Flow[#All],3,0)</f>
        <v>0</v>
      </c>
      <c r="E37" s="166">
        <f>VLOOKUP($B37,Flow[#All],6,0)</f>
        <v>0</v>
      </c>
      <c r="F37" s="166">
        <f>VLOOKUP($B37,Flow[#All],5,0)</f>
        <v>0</v>
      </c>
      <c r="G37" s="166">
        <f>VLOOKUP($B37,Flow[#All],4,0)</f>
        <v>0</v>
      </c>
      <c r="H37" s="166">
        <f>VLOOKUP($B37,Flow[#All],2,0)</f>
        <v>0</v>
      </c>
      <c r="I37" s="178">
        <f t="shared" si="4"/>
        <v>0</v>
      </c>
      <c r="K37"/>
      <c r="L37"/>
      <c r="M37"/>
      <c r="N37"/>
      <c r="O37"/>
      <c r="P37"/>
      <c r="Q37"/>
      <c r="R37"/>
      <c r="S37"/>
    </row>
    <row r="38" spans="2:19" s="36" customFormat="1" x14ac:dyDescent="0.25">
      <c r="B38" s="75" t="s">
        <v>435</v>
      </c>
      <c r="C38" s="35" t="s">
        <v>369</v>
      </c>
      <c r="D38" s="166">
        <f>VLOOKUP($B38,Flow[#All],3,0)</f>
        <v>-3117709.4</v>
      </c>
      <c r="E38" s="166">
        <f>VLOOKUP($B38,Flow[#All],6,0)</f>
        <v>-320405</v>
      </c>
      <c r="F38" s="166">
        <f>VLOOKUP($B38,Flow[#All],5,0)</f>
        <v>0</v>
      </c>
      <c r="G38" s="166">
        <f>VLOOKUP($B38,Flow[#All],4,0)</f>
        <v>0</v>
      </c>
      <c r="H38" s="166">
        <f>VLOOKUP($B38,Flow[#All],2,0)</f>
        <v>0</v>
      </c>
      <c r="I38" s="178">
        <f t="shared" si="4"/>
        <v>-3438114.4</v>
      </c>
      <c r="K38"/>
      <c r="L38"/>
      <c r="M38"/>
      <c r="N38"/>
      <c r="O38"/>
      <c r="P38"/>
      <c r="Q38"/>
      <c r="R38"/>
      <c r="S38"/>
    </row>
    <row r="39" spans="2:19" s="36" customFormat="1" x14ac:dyDescent="0.25">
      <c r="B39" s="75" t="s">
        <v>436</v>
      </c>
      <c r="C39" s="35" t="s">
        <v>212</v>
      </c>
      <c r="D39" s="166">
        <f>VLOOKUP($B39,Flow[#All],3,0)</f>
        <v>123635.07</v>
      </c>
      <c r="E39" s="166">
        <f>VLOOKUP($B39,Flow[#All],6,0)</f>
        <v>0</v>
      </c>
      <c r="F39" s="166">
        <f>VLOOKUP($B39,Flow[#All],5,0)</f>
        <v>0</v>
      </c>
      <c r="G39" s="166">
        <f>VLOOKUP($B39,Flow[#All],4,0)</f>
        <v>0</v>
      </c>
      <c r="H39" s="166">
        <f>VLOOKUP($B39,Flow[#All],2,0)</f>
        <v>0</v>
      </c>
      <c r="I39" s="178">
        <f t="shared" si="4"/>
        <v>123635.07</v>
      </c>
      <c r="K39"/>
      <c r="L39"/>
      <c r="M39"/>
      <c r="N39"/>
      <c r="O39"/>
      <c r="P39"/>
      <c r="Q39"/>
      <c r="R39"/>
      <c r="S39"/>
    </row>
    <row r="40" spans="2:19" s="36" customFormat="1" x14ac:dyDescent="0.25">
      <c r="B40" s="75" t="s">
        <v>437</v>
      </c>
      <c r="C40" s="35" t="s">
        <v>370</v>
      </c>
      <c r="D40" s="166">
        <f>VLOOKUP($B40,Flow[#All],3,0)</f>
        <v>0</v>
      </c>
      <c r="E40" s="166">
        <f>VLOOKUP($B40,Flow[#All],6,0)</f>
        <v>0</v>
      </c>
      <c r="F40" s="166">
        <f>VLOOKUP($B40,Flow[#All],5,0)</f>
        <v>0</v>
      </c>
      <c r="G40" s="166">
        <f>VLOOKUP($B40,Flow[#All],4,0)</f>
        <v>0</v>
      </c>
      <c r="H40" s="166">
        <f>VLOOKUP($B40,Flow[#All],2,0)</f>
        <v>0</v>
      </c>
      <c r="I40" s="182">
        <f t="shared" si="4"/>
        <v>0</v>
      </c>
      <c r="K40"/>
      <c r="L40"/>
      <c r="M40"/>
      <c r="N40"/>
      <c r="O40"/>
      <c r="P40"/>
      <c r="Q40"/>
      <c r="R40"/>
      <c r="S40"/>
    </row>
    <row r="41" spans="2:19" s="40" customFormat="1" x14ac:dyDescent="0.25">
      <c r="B41" s="192" t="s">
        <v>438</v>
      </c>
      <c r="C41" s="41" t="s">
        <v>371</v>
      </c>
      <c r="D41" s="185">
        <f>SUM(D34:D40)</f>
        <v>-8123669.0799999982</v>
      </c>
      <c r="E41" s="185">
        <f t="shared" ref="E41:I41" si="5">SUM(E34:E40)</f>
        <v>-320405</v>
      </c>
      <c r="F41" s="185">
        <f t="shared" si="5"/>
        <v>0</v>
      </c>
      <c r="G41" s="185">
        <f t="shared" si="5"/>
        <v>0</v>
      </c>
      <c r="H41" s="185">
        <f t="shared" si="5"/>
        <v>0</v>
      </c>
      <c r="I41" s="179">
        <f t="shared" si="5"/>
        <v>-8444074.0799999982</v>
      </c>
      <c r="K41" s="18"/>
      <c r="L41" s="18"/>
      <c r="M41" s="18"/>
      <c r="N41" s="18"/>
      <c r="O41" s="18"/>
      <c r="P41" s="18"/>
      <c r="Q41" s="18"/>
      <c r="R41" s="18"/>
      <c r="S41" s="18"/>
    </row>
    <row r="42" spans="2:19" s="36" customFormat="1" x14ac:dyDescent="0.25">
      <c r="B42" s="75"/>
      <c r="C42" s="41"/>
      <c r="D42" s="168"/>
      <c r="E42" s="168"/>
      <c r="F42" s="168"/>
      <c r="G42" s="168"/>
      <c r="H42" s="168"/>
      <c r="I42" s="183"/>
      <c r="K42"/>
      <c r="L42"/>
      <c r="M42"/>
      <c r="N42"/>
      <c r="O42"/>
      <c r="P42"/>
      <c r="Q42"/>
      <c r="R42"/>
      <c r="S42"/>
    </row>
    <row r="43" spans="2:19" s="36" customFormat="1" x14ac:dyDescent="0.25">
      <c r="B43" s="75"/>
      <c r="C43" s="37" t="s">
        <v>372</v>
      </c>
      <c r="D43" s="169"/>
      <c r="E43" s="169"/>
      <c r="F43" s="169"/>
      <c r="G43" s="169"/>
      <c r="H43" s="169"/>
      <c r="I43" s="184"/>
      <c r="K43"/>
      <c r="L43"/>
      <c r="M43"/>
      <c r="N43"/>
      <c r="O43"/>
      <c r="P43"/>
      <c r="Q43"/>
      <c r="R43"/>
      <c r="S43"/>
    </row>
    <row r="44" spans="2:19" s="36" customFormat="1" x14ac:dyDescent="0.25">
      <c r="B44" s="75" t="s">
        <v>441</v>
      </c>
      <c r="C44" s="35" t="s">
        <v>373</v>
      </c>
      <c r="D44" s="166">
        <f>VLOOKUP($B44,Flow[#All],3,0)</f>
        <v>0</v>
      </c>
      <c r="E44" s="166">
        <f>VLOOKUP($B44,Flow[#All],6,0)</f>
        <v>0</v>
      </c>
      <c r="F44" s="166">
        <f>VLOOKUP($B44,Flow[#All],5,0)</f>
        <v>0</v>
      </c>
      <c r="G44" s="166">
        <f>VLOOKUP($B44,Flow[#All],4,0)</f>
        <v>0</v>
      </c>
      <c r="H44" s="166">
        <f>VLOOKUP($B44,Flow[#All],2,0)</f>
        <v>0</v>
      </c>
      <c r="I44" s="178">
        <f>SUM(D44:H44)</f>
        <v>0</v>
      </c>
      <c r="K44"/>
      <c r="L44"/>
      <c r="M44"/>
      <c r="N44"/>
      <c r="O44"/>
      <c r="P44"/>
      <c r="Q44"/>
      <c r="R44"/>
      <c r="S44"/>
    </row>
    <row r="45" spans="2:19" s="36" customFormat="1" x14ac:dyDescent="0.25">
      <c r="B45" s="75" t="s">
        <v>442</v>
      </c>
      <c r="C45" s="35" t="s">
        <v>374</v>
      </c>
      <c r="D45" s="166">
        <f>VLOOKUP($B45,Flow[#All],3,0)</f>
        <v>0</v>
      </c>
      <c r="E45" s="166">
        <f>VLOOKUP($B45,Flow[#All],6,0)</f>
        <v>0</v>
      </c>
      <c r="F45" s="166">
        <f>VLOOKUP($B45,Flow[#All],5,0)</f>
        <v>0</v>
      </c>
      <c r="G45" s="166">
        <f>VLOOKUP($B45,Flow[#All],4,0)</f>
        <v>0</v>
      </c>
      <c r="H45" s="166">
        <f>VLOOKUP($B45,Flow[#All],2,0)</f>
        <v>0</v>
      </c>
      <c r="I45" s="178">
        <f t="shared" ref="I45:I46" si="6">SUM(D45:H45)</f>
        <v>0</v>
      </c>
      <c r="K45"/>
      <c r="L45"/>
      <c r="M45"/>
      <c r="N45"/>
      <c r="O45"/>
      <c r="P45"/>
      <c r="Q45"/>
      <c r="R45"/>
      <c r="S45"/>
    </row>
    <row r="46" spans="2:19" s="36" customFormat="1" x14ac:dyDescent="0.25">
      <c r="B46" s="75" t="s">
        <v>443</v>
      </c>
      <c r="C46" s="38" t="s">
        <v>375</v>
      </c>
      <c r="D46" s="166">
        <f>VLOOKUP($B46,Flow[#All],3,0)</f>
        <v>5739713.79</v>
      </c>
      <c r="E46" s="166">
        <f>VLOOKUP($B46,Flow[#All],6,0)</f>
        <v>9055799.1799999997</v>
      </c>
      <c r="F46" s="166">
        <f>VLOOKUP($B46,Flow[#All],5,0)</f>
        <v>2640092.4900000002</v>
      </c>
      <c r="G46" s="166">
        <f>VLOOKUP($B46,Flow[#All],4,0)</f>
        <v>351542.17</v>
      </c>
      <c r="H46" s="166">
        <f>VLOOKUP($B46,Flow[#All],2,0)</f>
        <v>41125.78</v>
      </c>
      <c r="I46" s="178">
        <f t="shared" si="6"/>
        <v>17828273.410000004</v>
      </c>
      <c r="K46"/>
      <c r="L46"/>
      <c r="M46"/>
      <c r="N46"/>
      <c r="O46"/>
      <c r="P46"/>
      <c r="Q46"/>
      <c r="R46"/>
      <c r="S46"/>
    </row>
    <row r="47" spans="2:19" s="40" customFormat="1" x14ac:dyDescent="0.25">
      <c r="B47" s="192" t="s">
        <v>444</v>
      </c>
      <c r="C47" s="39" t="s">
        <v>376</v>
      </c>
      <c r="D47" s="185">
        <f>SUM(D44:D46)</f>
        <v>5739713.79</v>
      </c>
      <c r="E47" s="185">
        <f t="shared" ref="E47:I47" si="7">SUM(E44:E46)</f>
        <v>9055799.1799999997</v>
      </c>
      <c r="F47" s="185">
        <f t="shared" si="7"/>
        <v>2640092.4900000002</v>
      </c>
      <c r="G47" s="185">
        <f t="shared" si="7"/>
        <v>351542.17</v>
      </c>
      <c r="H47" s="185">
        <f t="shared" si="7"/>
        <v>41125.78</v>
      </c>
      <c r="I47" s="179">
        <f t="shared" si="7"/>
        <v>17828273.410000004</v>
      </c>
      <c r="K47" s="18"/>
      <c r="L47" s="18"/>
      <c r="M47" s="18"/>
      <c r="N47" s="18"/>
      <c r="O47" s="18"/>
      <c r="P47" s="18"/>
      <c r="Q47" s="18"/>
      <c r="R47" s="18"/>
      <c r="S47" s="18"/>
    </row>
    <row r="48" spans="2:19" s="36" customFormat="1" x14ac:dyDescent="0.25">
      <c r="B48" s="75"/>
      <c r="C48" s="39"/>
      <c r="D48" s="168"/>
      <c r="E48" s="168"/>
      <c r="F48" s="168"/>
      <c r="G48" s="168"/>
      <c r="H48" s="168"/>
      <c r="I48" s="183"/>
      <c r="K48"/>
      <c r="L48"/>
      <c r="M48"/>
      <c r="N48"/>
      <c r="O48"/>
      <c r="P48"/>
      <c r="Q48"/>
      <c r="R48"/>
      <c r="S48"/>
    </row>
    <row r="49" spans="2:19" s="40" customFormat="1" x14ac:dyDescent="0.25">
      <c r="B49" s="192" t="s">
        <v>446</v>
      </c>
      <c r="C49" s="40" t="s">
        <v>377</v>
      </c>
      <c r="D49" s="185">
        <f>D47+D41+D31+D23</f>
        <v>26764158.855764709</v>
      </c>
      <c r="E49" s="185">
        <f t="shared" ref="E49:I49" si="8">E47+E41+E31+E23</f>
        <v>165903489.20999995</v>
      </c>
      <c r="F49" s="185">
        <f t="shared" si="8"/>
        <v>1587252.2899999958</v>
      </c>
      <c r="G49" s="185">
        <f t="shared" si="8"/>
        <v>631761.19000000053</v>
      </c>
      <c r="H49" s="185">
        <f t="shared" si="8"/>
        <v>-59508.950000000143</v>
      </c>
      <c r="I49" s="185">
        <f t="shared" si="8"/>
        <v>194827152.59576479</v>
      </c>
      <c r="K49" s="18"/>
      <c r="L49" s="18"/>
      <c r="M49" s="18"/>
      <c r="N49" s="18"/>
      <c r="O49" s="18"/>
      <c r="P49" s="18"/>
      <c r="Q49" s="18"/>
      <c r="R49" s="18"/>
      <c r="S49" s="18"/>
    </row>
    <row r="50" spans="2:19" s="36" customFormat="1" x14ac:dyDescent="0.25">
      <c r="B50" s="75"/>
      <c r="C50" s="40"/>
      <c r="D50" s="170"/>
      <c r="E50" s="170"/>
      <c r="F50" s="170"/>
      <c r="G50" s="170"/>
      <c r="H50" s="170"/>
      <c r="I50" s="186"/>
      <c r="K50"/>
      <c r="L50"/>
      <c r="M50"/>
      <c r="N50"/>
      <c r="O50"/>
      <c r="P50"/>
      <c r="Q50"/>
      <c r="R50"/>
      <c r="S50"/>
    </row>
    <row r="51" spans="2:19" s="36" customFormat="1" x14ac:dyDescent="0.25">
      <c r="B51" s="75" t="s">
        <v>448</v>
      </c>
      <c r="C51" s="35" t="s">
        <v>378</v>
      </c>
      <c r="D51" s="166">
        <f>VLOOKUP($B51,Flow[#All],3,0)</f>
        <v>133515589.55866246</v>
      </c>
      <c r="E51" s="166">
        <f>VLOOKUP($B51,Flow[#All],6,0)</f>
        <v>198021083.81999996</v>
      </c>
      <c r="F51" s="166">
        <f>VLOOKUP($B51,Flow[#All],5,0)</f>
        <v>59545334.739999995</v>
      </c>
      <c r="G51" s="166">
        <f>VLOOKUP($B51,Flow[#All],4,0)</f>
        <v>7648602.0999999996</v>
      </c>
      <c r="H51" s="166">
        <f>VLOOKUP($B51,Flow[#All],2,0)</f>
        <v>789851.52</v>
      </c>
      <c r="I51" s="178">
        <f>SUM(D51:H51)</f>
        <v>399520461.73866242</v>
      </c>
      <c r="K51"/>
      <c r="L51"/>
      <c r="M51"/>
      <c r="N51"/>
      <c r="O51"/>
      <c r="P51"/>
      <c r="Q51"/>
      <c r="R51"/>
      <c r="S51"/>
    </row>
    <row r="52" spans="2:19" s="36" customFormat="1" x14ac:dyDescent="0.25">
      <c r="B52" s="75" t="s">
        <v>449</v>
      </c>
      <c r="C52" s="36" t="s">
        <v>225</v>
      </c>
      <c r="D52" s="166">
        <f>VLOOKUP($B52,Flow[#All],3,0)</f>
        <v>0</v>
      </c>
      <c r="E52" s="166">
        <f>VLOOKUP($B52,Flow[#All],6,0)</f>
        <v>0</v>
      </c>
      <c r="F52" s="166">
        <f>VLOOKUP($B52,Flow[#All],5,0)</f>
        <v>0</v>
      </c>
      <c r="G52" s="166">
        <f>VLOOKUP($B52,Flow[#All],4,0)</f>
        <v>0</v>
      </c>
      <c r="H52" s="166">
        <f>VLOOKUP($B52,Flow[#All],2,0)</f>
        <v>0</v>
      </c>
      <c r="I52" s="178">
        <f>SUM(D52:H52)</f>
        <v>0</v>
      </c>
      <c r="K52"/>
      <c r="L52"/>
      <c r="M52"/>
      <c r="N52"/>
      <c r="O52"/>
      <c r="P52"/>
      <c r="Q52"/>
      <c r="R52"/>
      <c r="S52"/>
    </row>
    <row r="53" spans="2:19" s="40" customFormat="1" x14ac:dyDescent="0.25">
      <c r="B53" s="192" t="s">
        <v>450</v>
      </c>
      <c r="C53" s="41" t="s">
        <v>379</v>
      </c>
      <c r="D53" s="185">
        <f t="shared" ref="D53:I53" si="9">D49+D51+D52</f>
        <v>160279748.41442716</v>
      </c>
      <c r="E53" s="185">
        <f t="shared" si="9"/>
        <v>363924573.02999991</v>
      </c>
      <c r="F53" s="185">
        <f t="shared" si="9"/>
        <v>61132587.029999994</v>
      </c>
      <c r="G53" s="185">
        <f t="shared" si="9"/>
        <v>8280363.29</v>
      </c>
      <c r="H53" s="185">
        <f t="shared" si="9"/>
        <v>730342.56999999983</v>
      </c>
      <c r="I53" s="179">
        <f t="shared" si="9"/>
        <v>594347614.33442724</v>
      </c>
      <c r="K53" s="18"/>
      <c r="L53" s="18"/>
      <c r="M53" s="18"/>
      <c r="N53" s="18"/>
      <c r="O53" s="18"/>
      <c r="P53" s="18"/>
      <c r="Q53" s="18"/>
      <c r="R53" s="18"/>
      <c r="S53" s="18"/>
    </row>
    <row r="54" spans="2:19" s="36" customFormat="1" x14ac:dyDescent="0.25">
      <c r="B54" s="75"/>
      <c r="C54" s="42"/>
      <c r="D54" s="168"/>
      <c r="E54" s="168"/>
      <c r="F54" s="168"/>
      <c r="G54" s="168"/>
      <c r="H54" s="168"/>
      <c r="I54" s="183"/>
      <c r="K54"/>
      <c r="L54"/>
      <c r="M54"/>
      <c r="N54"/>
      <c r="O54"/>
      <c r="P54"/>
      <c r="Q54"/>
      <c r="R54"/>
      <c r="S54"/>
    </row>
    <row r="55" spans="2:19" s="36" customFormat="1" x14ac:dyDescent="0.25">
      <c r="B55" s="75"/>
      <c r="C55" s="42" t="s">
        <v>380</v>
      </c>
      <c r="D55" s="169"/>
      <c r="E55" s="169"/>
      <c r="F55" s="169"/>
      <c r="G55" s="169"/>
      <c r="H55" s="169"/>
      <c r="I55" s="184"/>
      <c r="K55"/>
      <c r="L55"/>
      <c r="M55"/>
      <c r="N55"/>
      <c r="O55"/>
      <c r="P55"/>
      <c r="Q55"/>
      <c r="R55"/>
      <c r="S55"/>
    </row>
    <row r="56" spans="2:19" s="36" customFormat="1" x14ac:dyDescent="0.25">
      <c r="B56" s="75" t="s">
        <v>456</v>
      </c>
      <c r="C56" s="138" t="s">
        <v>381</v>
      </c>
      <c r="D56" s="166">
        <f>VLOOKUP($B56,Flow[#All],3,0)</f>
        <v>27387479.390000019</v>
      </c>
      <c r="E56" s="166">
        <f>VLOOKUP($B56,Flow[#All],6,0)</f>
        <v>-7237180.98999999</v>
      </c>
      <c r="F56" s="166">
        <f>VLOOKUP($B56,Flow[#All],5,0)</f>
        <v>-1285469.4299999997</v>
      </c>
      <c r="G56" s="166">
        <f>VLOOKUP($B56,Flow[#All],4,0)</f>
        <v>203622.98000000045</v>
      </c>
      <c r="H56" s="166">
        <f>VLOOKUP($B56,Flow[#All],2,0)</f>
        <v>-228025.74000000069</v>
      </c>
      <c r="I56" s="187">
        <f>SUM(D56:H56)</f>
        <v>18840426.210000027</v>
      </c>
      <c r="K56"/>
      <c r="L56"/>
      <c r="M56"/>
      <c r="N56"/>
      <c r="O56"/>
      <c r="P56"/>
      <c r="Q56"/>
      <c r="R56"/>
      <c r="S56"/>
    </row>
    <row r="57" spans="2:19" s="36" customFormat="1" x14ac:dyDescent="0.25">
      <c r="B57" s="75" t="s">
        <v>457</v>
      </c>
      <c r="C57" s="138" t="s">
        <v>485</v>
      </c>
      <c r="D57" s="166">
        <f>VLOOKUP($B57,Flow[#All],3,0)</f>
        <v>0</v>
      </c>
      <c r="E57" s="166">
        <f>VLOOKUP($B57,Flow[#All],6,0)</f>
        <v>0</v>
      </c>
      <c r="F57" s="166">
        <f>VLOOKUP($B57,Flow[#All],5,0)</f>
        <v>0</v>
      </c>
      <c r="G57" s="166">
        <f>VLOOKUP($B57,Flow[#All],4,0)</f>
        <v>0</v>
      </c>
      <c r="H57" s="166">
        <f>VLOOKUP($B57,Flow[#All],2,0)</f>
        <v>0</v>
      </c>
      <c r="I57" s="187">
        <f t="shared" ref="I57:I83" si="10">SUM(D57:H57)</f>
        <v>0</v>
      </c>
      <c r="K57"/>
      <c r="L57"/>
      <c r="M57"/>
      <c r="N57"/>
      <c r="O57"/>
      <c r="P57"/>
      <c r="Q57"/>
      <c r="R57"/>
      <c r="S57"/>
    </row>
    <row r="58" spans="2:19" s="36" customFormat="1" x14ac:dyDescent="0.25">
      <c r="B58" s="75" t="s">
        <v>458</v>
      </c>
      <c r="C58" s="43" t="s">
        <v>382</v>
      </c>
      <c r="D58" s="166">
        <f>VLOOKUP($B58,Flow[#All],3,0)</f>
        <v>7510208.8600000013</v>
      </c>
      <c r="E58" s="166">
        <f>VLOOKUP($B58,Flow[#All],6,0)</f>
        <v>297026.62</v>
      </c>
      <c r="F58" s="166">
        <f>VLOOKUP($B58,Flow[#All],5,0)</f>
        <v>0</v>
      </c>
      <c r="G58" s="166">
        <f>VLOOKUP($B58,Flow[#All],4,0)</f>
        <v>0</v>
      </c>
      <c r="H58" s="166">
        <f>VLOOKUP($B58,Flow[#All],2,0)</f>
        <v>0</v>
      </c>
      <c r="I58" s="187">
        <f t="shared" si="10"/>
        <v>7807235.4800000014</v>
      </c>
      <c r="K58"/>
      <c r="L58"/>
      <c r="M58"/>
      <c r="N58"/>
      <c r="O58"/>
      <c r="P58"/>
      <c r="Q58"/>
      <c r="R58"/>
      <c r="S58"/>
    </row>
    <row r="59" spans="2:19" s="36" customFormat="1" x14ac:dyDescent="0.25">
      <c r="B59" s="75" t="s">
        <v>459</v>
      </c>
      <c r="C59" s="138" t="s">
        <v>383</v>
      </c>
      <c r="D59" s="166">
        <f>VLOOKUP($B59,Flow[#All],3,0)</f>
        <v>516522</v>
      </c>
      <c r="E59" s="166">
        <f>VLOOKUP($B59,Flow[#All],6,0)</f>
        <v>0</v>
      </c>
      <c r="F59" s="166">
        <f>VLOOKUP($B59,Flow[#All],5,0)</f>
        <v>0</v>
      </c>
      <c r="G59" s="166">
        <f>VLOOKUP($B59,Flow[#All],4,0)</f>
        <v>0</v>
      </c>
      <c r="H59" s="166">
        <f>VLOOKUP($B59,Flow[#All],2,0)</f>
        <v>0</v>
      </c>
      <c r="I59" s="187">
        <f t="shared" si="10"/>
        <v>516522</v>
      </c>
      <c r="K59"/>
      <c r="L59"/>
      <c r="M59"/>
      <c r="N59"/>
      <c r="O59"/>
      <c r="P59"/>
      <c r="Q59"/>
      <c r="R59"/>
      <c r="S59"/>
    </row>
    <row r="60" spans="2:19" s="36" customFormat="1" x14ac:dyDescent="0.25">
      <c r="B60" s="75" t="s">
        <v>460</v>
      </c>
      <c r="C60" s="43" t="s">
        <v>384</v>
      </c>
      <c r="D60" s="166">
        <f>VLOOKUP($B60,Flow[#All],3,0)</f>
        <v>3797072.6099999975</v>
      </c>
      <c r="E60" s="166">
        <f>VLOOKUP($B60,Flow[#All],6,0)</f>
        <v>-1059770.77</v>
      </c>
      <c r="F60" s="166">
        <f>VLOOKUP($B60,Flow[#All],5,0)</f>
        <v>209240.95999999976</v>
      </c>
      <c r="G60" s="166">
        <f>VLOOKUP($B60,Flow[#All],4,0)</f>
        <v>0</v>
      </c>
      <c r="H60" s="166">
        <f>VLOOKUP($B60,Flow[#All],2,0)</f>
        <v>368631.31</v>
      </c>
      <c r="I60" s="187">
        <f t="shared" si="10"/>
        <v>3315174.1099999975</v>
      </c>
      <c r="K60"/>
      <c r="L60"/>
      <c r="M60"/>
      <c r="N60"/>
      <c r="O60"/>
      <c r="P60"/>
      <c r="Q60"/>
      <c r="R60"/>
      <c r="S60"/>
    </row>
    <row r="61" spans="2:19" s="36" customFormat="1" x14ac:dyDescent="0.25">
      <c r="B61" s="75" t="s">
        <v>461</v>
      </c>
      <c r="C61" s="43" t="s">
        <v>15</v>
      </c>
      <c r="D61" s="166">
        <f>VLOOKUP($B61,Flow[#All],3,0)</f>
        <v>514055.43999999994</v>
      </c>
      <c r="E61" s="166">
        <f>VLOOKUP($B61,Flow[#All],6,0)</f>
        <v>-486231.81000000006</v>
      </c>
      <c r="F61" s="166">
        <f>VLOOKUP($B61,Flow[#All],5,0)</f>
        <v>0</v>
      </c>
      <c r="G61" s="166">
        <f>VLOOKUP($B61,Flow[#All],4,0)</f>
        <v>-12824.2</v>
      </c>
      <c r="H61" s="166">
        <f>VLOOKUP($B61,Flow[#All],2,0)</f>
        <v>165.35</v>
      </c>
      <c r="I61" s="187">
        <f t="shared" si="10"/>
        <v>15164.779999999888</v>
      </c>
      <c r="K61"/>
      <c r="L61"/>
      <c r="M61"/>
      <c r="N61"/>
      <c r="O61"/>
      <c r="P61"/>
      <c r="Q61"/>
      <c r="R61"/>
      <c r="S61"/>
    </row>
    <row r="62" spans="2:19" s="36" customFormat="1" x14ac:dyDescent="0.25">
      <c r="B62" s="75" t="s">
        <v>462</v>
      </c>
      <c r="C62" s="43" t="s">
        <v>385</v>
      </c>
      <c r="D62" s="166">
        <f>VLOOKUP($B62,Flow[#All],3,0)</f>
        <v>-628402.96000000008</v>
      </c>
      <c r="E62" s="166">
        <f>VLOOKUP($B62,Flow[#All],6,0)</f>
        <v>0</v>
      </c>
      <c r="F62" s="166">
        <f>VLOOKUP($B62,Flow[#All],5,0)</f>
        <v>0</v>
      </c>
      <c r="G62" s="166">
        <f>VLOOKUP($B62,Flow[#All],4,0)</f>
        <v>0</v>
      </c>
      <c r="H62" s="166">
        <f>VLOOKUP($B62,Flow[#All],2,0)</f>
        <v>0</v>
      </c>
      <c r="I62" s="187">
        <f t="shared" si="10"/>
        <v>-628402.96000000008</v>
      </c>
      <c r="K62"/>
      <c r="L62"/>
      <c r="M62"/>
      <c r="N62"/>
      <c r="O62"/>
      <c r="P62"/>
      <c r="Q62"/>
      <c r="R62"/>
      <c r="S62"/>
    </row>
    <row r="63" spans="2:19" s="36" customFormat="1" x14ac:dyDescent="0.25">
      <c r="B63" s="75" t="s">
        <v>463</v>
      </c>
      <c r="C63" s="43" t="s">
        <v>386</v>
      </c>
      <c r="D63" s="166">
        <f>VLOOKUP($B63,Flow[#All],3,0)</f>
        <v>6825851.0799999991</v>
      </c>
      <c r="E63" s="166">
        <f>VLOOKUP($B63,Flow[#All],6,0)</f>
        <v>300064.12823387602</v>
      </c>
      <c r="F63" s="166">
        <f>VLOOKUP($B63,Flow[#All],5,0)</f>
        <v>-56769.49169369867</v>
      </c>
      <c r="G63" s="166">
        <f>VLOOKUP($B63,Flow[#All],4,0)</f>
        <v>62887.061687674417</v>
      </c>
      <c r="H63" s="166">
        <f>VLOOKUP($B63,Flow[#All],2,0)</f>
        <v>-212457.94</v>
      </c>
      <c r="I63" s="187">
        <f t="shared" si="10"/>
        <v>6919574.8382278504</v>
      </c>
      <c r="K63"/>
      <c r="L63"/>
      <c r="M63"/>
      <c r="N63"/>
      <c r="O63"/>
      <c r="P63"/>
      <c r="Q63"/>
      <c r="R63"/>
      <c r="S63"/>
    </row>
    <row r="64" spans="2:19" s="36" customFormat="1" x14ac:dyDescent="0.25">
      <c r="B64" s="75" t="s">
        <v>464</v>
      </c>
      <c r="C64" s="43" t="s">
        <v>387</v>
      </c>
      <c r="D64" s="166">
        <f>VLOOKUP($B64,Flow[#All],3,0)</f>
        <v>-325702.63</v>
      </c>
      <c r="E64" s="166">
        <f>VLOOKUP($B64,Flow[#All],6,0)</f>
        <v>-26229.81</v>
      </c>
      <c r="F64" s="166">
        <f>VLOOKUP($B64,Flow[#All],5,0)</f>
        <v>2071.4</v>
      </c>
      <c r="G64" s="166">
        <f>VLOOKUP($B64,Flow[#All],4,0)</f>
        <v>0</v>
      </c>
      <c r="H64" s="166">
        <f>VLOOKUP($B64,Flow[#All],2,0)</f>
        <v>0</v>
      </c>
      <c r="I64" s="187">
        <f t="shared" si="10"/>
        <v>-349861.04</v>
      </c>
      <c r="K64"/>
      <c r="L64"/>
      <c r="M64"/>
      <c r="N64"/>
      <c r="O64"/>
      <c r="P64"/>
      <c r="Q64"/>
      <c r="R64"/>
      <c r="S64"/>
    </row>
    <row r="65" spans="2:19" s="36" customFormat="1" x14ac:dyDescent="0.25">
      <c r="B65" s="75" t="s">
        <v>465</v>
      </c>
      <c r="C65" s="43" t="s">
        <v>51</v>
      </c>
      <c r="D65" s="166">
        <f>VLOOKUP($B65,Flow[#All],3,0)</f>
        <v>535623.83000000007</v>
      </c>
      <c r="E65" s="166">
        <f>VLOOKUP($B65,Flow[#All],6,0)</f>
        <v>0</v>
      </c>
      <c r="F65" s="166">
        <f>VLOOKUP($B65,Flow[#All],5,0)</f>
        <v>-80707</v>
      </c>
      <c r="G65" s="166">
        <f>VLOOKUP($B65,Flow[#All],4,0)</f>
        <v>0</v>
      </c>
      <c r="H65" s="166">
        <f>VLOOKUP($B65,Flow[#All],2,0)</f>
        <v>-77531.75</v>
      </c>
      <c r="I65" s="187">
        <f t="shared" si="10"/>
        <v>377385.08000000007</v>
      </c>
      <c r="K65"/>
      <c r="L65"/>
      <c r="M65"/>
      <c r="N65"/>
      <c r="O65"/>
      <c r="P65"/>
      <c r="Q65"/>
      <c r="R65"/>
      <c r="S65"/>
    </row>
    <row r="66" spans="2:19" s="36" customFormat="1" x14ac:dyDescent="0.25">
      <c r="B66" s="75" t="s">
        <v>466</v>
      </c>
      <c r="C66" s="43" t="s">
        <v>388</v>
      </c>
      <c r="D66" s="166">
        <f>VLOOKUP($B66,Flow[#All],3,0)</f>
        <v>0</v>
      </c>
      <c r="E66" s="166">
        <f>VLOOKUP($B66,Flow[#All],6,0)</f>
        <v>0</v>
      </c>
      <c r="F66" s="166">
        <f>VLOOKUP($B66,Flow[#All],5,0)</f>
        <v>0</v>
      </c>
      <c r="G66" s="166">
        <f>VLOOKUP($B66,Flow[#All],4,0)</f>
        <v>0</v>
      </c>
      <c r="H66" s="166">
        <f>VLOOKUP($B66,Flow[#All],2,0)</f>
        <v>0</v>
      </c>
      <c r="I66" s="187">
        <f t="shared" si="10"/>
        <v>0</v>
      </c>
      <c r="K66"/>
      <c r="L66"/>
      <c r="M66"/>
      <c r="N66"/>
      <c r="O66"/>
      <c r="P66"/>
      <c r="Q66"/>
      <c r="R66"/>
      <c r="S66"/>
    </row>
    <row r="67" spans="2:19" s="36" customFormat="1" x14ac:dyDescent="0.25">
      <c r="B67" s="75" t="s">
        <v>467</v>
      </c>
      <c r="C67" s="43" t="s">
        <v>389</v>
      </c>
      <c r="D67" s="166">
        <f>VLOOKUP($B67,Flow[#All],3,0)</f>
        <v>-446486.43999999994</v>
      </c>
      <c r="E67" s="166">
        <f>VLOOKUP($B67,Flow[#All],6,0)</f>
        <v>-2152.4599999999919</v>
      </c>
      <c r="F67" s="166">
        <f>VLOOKUP($B67,Flow[#All],5,0)</f>
        <v>66.530000000002474</v>
      </c>
      <c r="G67" s="166">
        <f>VLOOKUP($B67,Flow[#All],4,0)</f>
        <v>-2814.510000000002</v>
      </c>
      <c r="H67" s="166">
        <f>VLOOKUP($B67,Flow[#All],2,0)</f>
        <v>7556.3999999999942</v>
      </c>
      <c r="I67" s="187">
        <f t="shared" si="10"/>
        <v>-443830.47999999986</v>
      </c>
      <c r="K67"/>
      <c r="L67"/>
      <c r="M67"/>
      <c r="N67"/>
      <c r="O67"/>
      <c r="P67"/>
      <c r="Q67"/>
      <c r="R67"/>
      <c r="S67"/>
    </row>
    <row r="68" spans="2:19" s="36" customFormat="1" x14ac:dyDescent="0.25">
      <c r="B68" s="75" t="s">
        <v>468</v>
      </c>
      <c r="C68" s="43" t="s">
        <v>390</v>
      </c>
      <c r="D68" s="166">
        <f>VLOOKUP($B68,Flow[#All],3,0)</f>
        <v>-986922.97000000009</v>
      </c>
      <c r="E68" s="166">
        <f>VLOOKUP($B68,Flow[#All],6,0)</f>
        <v>-795.80999999999767</v>
      </c>
      <c r="F68" s="166">
        <f>VLOOKUP($B68,Flow[#All],5,0)</f>
        <v>-438.8100000000004</v>
      </c>
      <c r="G68" s="166">
        <f>VLOOKUP($B68,Flow[#All],4,0)</f>
        <v>-241.25</v>
      </c>
      <c r="H68" s="166">
        <f>VLOOKUP($B68,Flow[#All],2,0)</f>
        <v>-3093.1399999999994</v>
      </c>
      <c r="I68" s="187">
        <f t="shared" si="10"/>
        <v>-991491.9800000001</v>
      </c>
      <c r="K68"/>
      <c r="L68"/>
      <c r="M68"/>
      <c r="N68"/>
      <c r="O68"/>
      <c r="P68"/>
      <c r="Q68"/>
      <c r="R68"/>
      <c r="S68"/>
    </row>
    <row r="69" spans="2:19" s="36" customFormat="1" x14ac:dyDescent="0.25">
      <c r="B69" s="75" t="s">
        <v>469</v>
      </c>
      <c r="C69" s="43" t="s">
        <v>391</v>
      </c>
      <c r="D69" s="166">
        <f>VLOOKUP($B69,Flow[#All],3,0)</f>
        <v>-17379651.41</v>
      </c>
      <c r="E69" s="166">
        <f>VLOOKUP($B69,Flow[#All],6,0)</f>
        <v>-36415.22</v>
      </c>
      <c r="F69" s="166">
        <f>VLOOKUP($B69,Flow[#All],5,0)</f>
        <v>-11905.970000000001</v>
      </c>
      <c r="G69" s="166">
        <f>VLOOKUP($B69,Flow[#All],4,0)</f>
        <v>-25262.010000000002</v>
      </c>
      <c r="H69" s="166">
        <f>VLOOKUP($B69,Flow[#All],2,0)</f>
        <v>-37395.67</v>
      </c>
      <c r="I69" s="187">
        <f t="shared" si="10"/>
        <v>-17490630.280000001</v>
      </c>
      <c r="K69"/>
      <c r="L69"/>
      <c r="M69"/>
      <c r="N69"/>
      <c r="O69"/>
      <c r="P69"/>
      <c r="Q69"/>
      <c r="R69"/>
      <c r="S69"/>
    </row>
    <row r="70" spans="2:19" s="36" customFormat="1" x14ac:dyDescent="0.25">
      <c r="B70" s="75" t="s">
        <v>470</v>
      </c>
      <c r="C70" s="43" t="s">
        <v>392</v>
      </c>
      <c r="D70" s="166">
        <f>VLOOKUP($B70,Flow[#All],3,0)</f>
        <v>0</v>
      </c>
      <c r="E70" s="166">
        <f>VLOOKUP($B70,Flow[#All],6,0)</f>
        <v>0</v>
      </c>
      <c r="F70" s="166">
        <f>VLOOKUP($B70,Flow[#All],5,0)</f>
        <v>0</v>
      </c>
      <c r="G70" s="166">
        <f>VLOOKUP($B70,Flow[#All],4,0)</f>
        <v>0</v>
      </c>
      <c r="H70" s="166">
        <f>VLOOKUP($B70,Flow[#All],2,0)</f>
        <v>0</v>
      </c>
      <c r="I70" s="187">
        <f t="shared" si="10"/>
        <v>0</v>
      </c>
      <c r="K70"/>
      <c r="L70"/>
      <c r="M70"/>
      <c r="N70"/>
      <c r="O70"/>
      <c r="P70"/>
      <c r="Q70"/>
      <c r="R70"/>
      <c r="S70"/>
    </row>
    <row r="71" spans="2:19" s="36" customFormat="1" x14ac:dyDescent="0.25">
      <c r="B71" s="75" t="s">
        <v>471</v>
      </c>
      <c r="C71" s="138" t="s">
        <v>393</v>
      </c>
      <c r="D71" s="166">
        <f>VLOOKUP($B71,Flow[#All],3,0)</f>
        <v>3920694.11</v>
      </c>
      <c r="E71" s="166">
        <f>VLOOKUP($B71,Flow[#All],6,0)</f>
        <v>-10517.280000000002</v>
      </c>
      <c r="F71" s="166">
        <f>VLOOKUP($B71,Flow[#All],5,0)</f>
        <v>-2658.49</v>
      </c>
      <c r="G71" s="166">
        <f>VLOOKUP($B71,Flow[#All],4,0)</f>
        <v>-7256.78</v>
      </c>
      <c r="H71" s="166">
        <f>VLOOKUP($B71,Flow[#All],2,0)</f>
        <v>-11978.879999999997</v>
      </c>
      <c r="I71" s="187">
        <f t="shared" si="10"/>
        <v>3888282.68</v>
      </c>
      <c r="K71"/>
      <c r="L71"/>
      <c r="M71"/>
      <c r="N71"/>
      <c r="O71"/>
      <c r="P71"/>
      <c r="Q71"/>
      <c r="R71"/>
      <c r="S71"/>
    </row>
    <row r="72" spans="2:19" s="36" customFormat="1" x14ac:dyDescent="0.25">
      <c r="B72" s="75" t="s">
        <v>472</v>
      </c>
      <c r="C72" s="138" t="s">
        <v>394</v>
      </c>
      <c r="D72" s="166">
        <f>VLOOKUP($B72,Flow[#All],3,0)</f>
        <v>5352639.91</v>
      </c>
      <c r="E72" s="166">
        <f>VLOOKUP($B72,Flow[#All],6,0)</f>
        <v>47587.1</v>
      </c>
      <c r="F72" s="166">
        <f>VLOOKUP($B72,Flow[#All],5,0)</f>
        <v>9974</v>
      </c>
      <c r="G72" s="166">
        <f>VLOOKUP($B72,Flow[#All],4,0)</f>
        <v>29361.26</v>
      </c>
      <c r="H72" s="166">
        <f>VLOOKUP($B72,Flow[#All],2,0)</f>
        <v>53410.04</v>
      </c>
      <c r="I72" s="187">
        <f t="shared" si="10"/>
        <v>5492972.3099999996</v>
      </c>
      <c r="K72"/>
      <c r="L72"/>
      <c r="M72"/>
      <c r="N72"/>
      <c r="O72"/>
      <c r="P72"/>
      <c r="Q72"/>
      <c r="R72"/>
      <c r="S72"/>
    </row>
    <row r="73" spans="2:19" s="36" customFormat="1" x14ac:dyDescent="0.25">
      <c r="B73" s="75" t="s">
        <v>473</v>
      </c>
      <c r="C73" s="138" t="s">
        <v>395</v>
      </c>
      <c r="D73" s="166">
        <f>VLOOKUP($B73,Flow[#All],3,0)</f>
        <v>-7363712.7999999998</v>
      </c>
      <c r="E73" s="166">
        <f>VLOOKUP($B73,Flow[#All],6,0)</f>
        <v>35331.494832303135</v>
      </c>
      <c r="F73" s="166">
        <f>VLOOKUP($B73,Flow[#All],5,0)</f>
        <v>8524.5510853146861</v>
      </c>
      <c r="G73" s="166">
        <f>VLOOKUP($B73,Flow[#All],4,0)</f>
        <v>23691.466094563471</v>
      </c>
      <c r="H73" s="166">
        <f>VLOOKUP($B73,Flow[#All],2,0)</f>
        <v>40085.29</v>
      </c>
      <c r="I73" s="187">
        <f t="shared" si="10"/>
        <v>-7256079.997987818</v>
      </c>
      <c r="K73"/>
      <c r="L73"/>
      <c r="M73"/>
      <c r="N73"/>
      <c r="O73"/>
      <c r="P73"/>
      <c r="Q73"/>
      <c r="R73"/>
      <c r="S73"/>
    </row>
    <row r="74" spans="2:19" s="36" customFormat="1" x14ac:dyDescent="0.25">
      <c r="B74" s="75" t="s">
        <v>474</v>
      </c>
      <c r="C74" s="138" t="s">
        <v>396</v>
      </c>
      <c r="D74" s="166">
        <f>VLOOKUP($B74,Flow[#All],3,0)</f>
        <v>0</v>
      </c>
      <c r="E74" s="166">
        <f>VLOOKUP($B74,Flow[#All],6,0)</f>
        <v>0</v>
      </c>
      <c r="F74" s="166">
        <f>VLOOKUP($B74,Flow[#All],5,0)</f>
        <v>0</v>
      </c>
      <c r="G74" s="166">
        <f>VLOOKUP($B74,Flow[#All],4,0)</f>
        <v>0</v>
      </c>
      <c r="H74" s="166">
        <f>VLOOKUP($B74,Flow[#All],2,0)</f>
        <v>0</v>
      </c>
      <c r="I74" s="187">
        <f t="shared" si="10"/>
        <v>0</v>
      </c>
      <c r="K74"/>
      <c r="L74"/>
      <c r="M74"/>
      <c r="N74"/>
      <c r="O74"/>
      <c r="P74"/>
      <c r="Q74"/>
      <c r="R74"/>
      <c r="S74"/>
    </row>
    <row r="75" spans="2:19" s="36" customFormat="1" x14ac:dyDescent="0.25">
      <c r="B75" s="75" t="s">
        <v>475</v>
      </c>
      <c r="C75" s="138" t="s">
        <v>397</v>
      </c>
      <c r="D75" s="166">
        <f>VLOOKUP($B75,Flow[#All],3,0)</f>
        <v>0</v>
      </c>
      <c r="E75" s="166">
        <f>VLOOKUP($B75,Flow[#All],6,0)</f>
        <v>-565017</v>
      </c>
      <c r="F75" s="166">
        <f>VLOOKUP($B75,Flow[#All],5,0)</f>
        <v>120067.68</v>
      </c>
      <c r="G75" s="166">
        <f>VLOOKUP($B75,Flow[#All],4,0)</f>
        <v>31359</v>
      </c>
      <c r="H75" s="166">
        <f>VLOOKUP($B75,Flow[#All],2,0)</f>
        <v>0</v>
      </c>
      <c r="I75" s="187">
        <f t="shared" si="10"/>
        <v>-413590.32</v>
      </c>
      <c r="K75"/>
      <c r="L75"/>
      <c r="M75"/>
      <c r="N75"/>
      <c r="O75"/>
      <c r="P75"/>
      <c r="Q75"/>
      <c r="R75"/>
      <c r="S75"/>
    </row>
    <row r="76" spans="2:19" s="36" customFormat="1" x14ac:dyDescent="0.25">
      <c r="B76" s="75" t="s">
        <v>476</v>
      </c>
      <c r="C76" s="138" t="s">
        <v>398</v>
      </c>
      <c r="D76" s="166">
        <f>VLOOKUP($B76,Flow[#All],3,0)</f>
        <v>0</v>
      </c>
      <c r="E76" s="166">
        <f>VLOOKUP($B76,Flow[#All],6,0)</f>
        <v>879342</v>
      </c>
      <c r="F76" s="166">
        <f>VLOOKUP($B76,Flow[#All],5,0)</f>
        <v>882</v>
      </c>
      <c r="G76" s="166">
        <f>VLOOKUP($B76,Flow[#All],4,0)</f>
        <v>-493791</v>
      </c>
      <c r="H76" s="166">
        <f>VLOOKUP($B76,Flow[#All],2,0)</f>
        <v>0</v>
      </c>
      <c r="I76" s="187">
        <f t="shared" si="10"/>
        <v>386433</v>
      </c>
      <c r="K76"/>
      <c r="L76"/>
      <c r="M76"/>
      <c r="N76"/>
      <c r="O76"/>
      <c r="P76"/>
      <c r="Q76"/>
      <c r="R76"/>
      <c r="S76"/>
    </row>
    <row r="77" spans="2:19" s="36" customFormat="1" x14ac:dyDescent="0.25">
      <c r="B77" s="75" t="s">
        <v>477</v>
      </c>
      <c r="C77" s="138" t="s">
        <v>399</v>
      </c>
      <c r="D77" s="166">
        <f>VLOOKUP($B77,Flow[#All],3,0)</f>
        <v>0</v>
      </c>
      <c r="E77" s="166">
        <f>VLOOKUP($B77,Flow[#All],6,0)</f>
        <v>296077</v>
      </c>
      <c r="F77" s="166">
        <f>VLOOKUP($B77,Flow[#All],5,0)</f>
        <v>-49904</v>
      </c>
      <c r="G77" s="166">
        <f>VLOOKUP($B77,Flow[#All],4,0)</f>
        <v>158057</v>
      </c>
      <c r="H77" s="166">
        <f>VLOOKUP($B77,Flow[#All],2,0)</f>
        <v>0</v>
      </c>
      <c r="I77" s="187">
        <f t="shared" si="10"/>
        <v>404230</v>
      </c>
      <c r="K77"/>
      <c r="L77"/>
      <c r="M77"/>
      <c r="N77"/>
      <c r="O77"/>
      <c r="P77"/>
      <c r="Q77"/>
      <c r="R77"/>
      <c r="S77"/>
    </row>
    <row r="78" spans="2:19" s="36" customFormat="1" x14ac:dyDescent="0.25">
      <c r="B78" s="75" t="s">
        <v>478</v>
      </c>
      <c r="C78" s="138" t="s">
        <v>400</v>
      </c>
      <c r="D78" s="166">
        <f>VLOOKUP($B78,Flow[#All],3,0)</f>
        <v>0</v>
      </c>
      <c r="E78" s="166">
        <f>VLOOKUP($B78,Flow[#All],6,0)</f>
        <v>927404</v>
      </c>
      <c r="F78" s="166">
        <f>VLOOKUP($B78,Flow[#All],5,0)</f>
        <v>-52706.96</v>
      </c>
      <c r="G78" s="166">
        <f>VLOOKUP($B78,Flow[#All],4,0)</f>
        <v>313430</v>
      </c>
      <c r="H78" s="166">
        <f>VLOOKUP($B78,Flow[#All],2,0)</f>
        <v>0</v>
      </c>
      <c r="I78" s="187">
        <f t="shared" si="10"/>
        <v>1188127.04</v>
      </c>
      <c r="K78"/>
      <c r="L78"/>
      <c r="M78"/>
      <c r="N78"/>
      <c r="O78"/>
      <c r="P78"/>
      <c r="Q78"/>
      <c r="R78"/>
      <c r="S78"/>
    </row>
    <row r="79" spans="2:19" s="36" customFormat="1" x14ac:dyDescent="0.25">
      <c r="B79" s="75" t="s">
        <v>479</v>
      </c>
      <c r="C79" s="138" t="s">
        <v>49</v>
      </c>
      <c r="D79" s="166">
        <f>VLOOKUP($B79,Flow[#All],3,0)</f>
        <v>0</v>
      </c>
      <c r="E79" s="166">
        <f>VLOOKUP($B79,Flow[#All],6,0)</f>
        <v>219509</v>
      </c>
      <c r="F79" s="166">
        <f>VLOOKUP($B79,Flow[#All],5,0)</f>
        <v>0</v>
      </c>
      <c r="G79" s="166">
        <f>VLOOKUP($B79,Flow[#All],4,0)</f>
        <v>0</v>
      </c>
      <c r="H79" s="166">
        <f>VLOOKUP($B79,Flow[#All],2,0)</f>
        <v>0</v>
      </c>
      <c r="I79" s="187">
        <f t="shared" si="10"/>
        <v>219509</v>
      </c>
      <c r="K79"/>
      <c r="L79"/>
      <c r="M79"/>
      <c r="N79"/>
      <c r="O79"/>
      <c r="P79"/>
      <c r="Q79"/>
      <c r="R79"/>
      <c r="S79"/>
    </row>
    <row r="80" spans="2:19" s="36" customFormat="1" x14ac:dyDescent="0.25">
      <c r="B80" s="75" t="s">
        <v>480</v>
      </c>
      <c r="C80" s="138" t="s">
        <v>401</v>
      </c>
      <c r="D80" s="166">
        <f>VLOOKUP($B80,Flow[#All],3,0)</f>
        <v>0</v>
      </c>
      <c r="E80" s="166">
        <f>VLOOKUP($B80,Flow[#All],6,0)</f>
        <v>436040.44</v>
      </c>
      <c r="F80" s="166">
        <f>VLOOKUP($B80,Flow[#All],5,0)</f>
        <v>17193.21</v>
      </c>
      <c r="G80" s="166">
        <f>VLOOKUP($B80,Flow[#All],4,0)</f>
        <v>0</v>
      </c>
      <c r="H80" s="166">
        <f>VLOOKUP($B80,Flow[#All],2,0)</f>
        <v>0</v>
      </c>
      <c r="I80" s="187">
        <f t="shared" si="10"/>
        <v>453233.65</v>
      </c>
      <c r="K80"/>
      <c r="L80"/>
      <c r="M80"/>
      <c r="N80"/>
      <c r="O80"/>
      <c r="P80"/>
      <c r="Q80"/>
      <c r="R80"/>
      <c r="S80"/>
    </row>
    <row r="81" spans="2:19" s="36" customFormat="1" x14ac:dyDescent="0.25">
      <c r="B81" s="75" t="s">
        <v>481</v>
      </c>
      <c r="C81" s="138" t="s">
        <v>402</v>
      </c>
      <c r="D81" s="166">
        <f>VLOOKUP($B81,Flow[#All],3,0)</f>
        <v>0</v>
      </c>
      <c r="E81" s="166">
        <f>VLOOKUP($B81,Flow[#All],6,0)</f>
        <v>0</v>
      </c>
      <c r="F81" s="166">
        <f>VLOOKUP($B81,Flow[#All],5,0)</f>
        <v>80707</v>
      </c>
      <c r="G81" s="166">
        <f>VLOOKUP($B81,Flow[#All],4,0)</f>
        <v>0</v>
      </c>
      <c r="H81" s="166">
        <f>VLOOKUP($B81,Flow[#All],2,0)</f>
        <v>0</v>
      </c>
      <c r="I81" s="187">
        <f t="shared" si="10"/>
        <v>80707</v>
      </c>
      <c r="K81"/>
      <c r="L81"/>
      <c r="M81"/>
      <c r="N81"/>
      <c r="O81"/>
      <c r="P81"/>
      <c r="Q81"/>
      <c r="R81"/>
      <c r="S81"/>
    </row>
    <row r="82" spans="2:19" s="36" customFormat="1" x14ac:dyDescent="0.25">
      <c r="B82" s="75" t="s">
        <v>482</v>
      </c>
      <c r="C82" s="138" t="s">
        <v>403</v>
      </c>
      <c r="D82" s="166">
        <f>VLOOKUP($B82,Flow[#All],3,0)</f>
        <v>0</v>
      </c>
      <c r="E82" s="166">
        <f>VLOOKUP($B82,Flow[#All],6,0)</f>
        <v>20766.79999999993</v>
      </c>
      <c r="F82" s="166">
        <f>VLOOKUP($B82,Flow[#All],5,0)</f>
        <v>0</v>
      </c>
      <c r="G82" s="166">
        <f>VLOOKUP($B82,Flow[#All],4,0)</f>
        <v>0</v>
      </c>
      <c r="H82" s="166">
        <f>VLOOKUP($B82,Flow[#All],2,0)</f>
        <v>0</v>
      </c>
      <c r="I82" s="187">
        <f t="shared" si="10"/>
        <v>20766.79999999993</v>
      </c>
      <c r="K82"/>
      <c r="L82"/>
      <c r="M82"/>
      <c r="N82"/>
      <c r="O82"/>
      <c r="P82"/>
      <c r="Q82"/>
      <c r="R82"/>
      <c r="S82"/>
    </row>
    <row r="83" spans="2:19" s="36" customFormat="1" x14ac:dyDescent="0.25">
      <c r="B83" s="75" t="s">
        <v>483</v>
      </c>
      <c r="C83" s="36" t="s">
        <v>45</v>
      </c>
      <c r="D83" s="166">
        <f>VLOOKUP($B83,Flow[#All],3,0)</f>
        <v>0</v>
      </c>
      <c r="E83" s="166">
        <f>VLOOKUP($B83,Flow[#All],6,0)</f>
        <v>5214557.7199999988</v>
      </c>
      <c r="F83" s="166">
        <f>VLOOKUP($B83,Flow[#All],5,0)</f>
        <v>39993.279999999679</v>
      </c>
      <c r="G83" s="166">
        <f>VLOOKUP($B83,Flow[#All],4,0)</f>
        <v>0</v>
      </c>
      <c r="H83" s="166">
        <f>VLOOKUP($B83,Flow[#All],2,0)</f>
        <v>0</v>
      </c>
      <c r="I83" s="188">
        <f t="shared" si="10"/>
        <v>5254550.9999999981</v>
      </c>
      <c r="K83"/>
      <c r="L83"/>
      <c r="M83"/>
      <c r="N83"/>
      <c r="O83"/>
      <c r="P83"/>
      <c r="Q83"/>
      <c r="R83"/>
      <c r="S83"/>
    </row>
    <row r="84" spans="2:19" s="36" customFormat="1" x14ac:dyDescent="0.25">
      <c r="B84" s="75" t="s">
        <v>484</v>
      </c>
      <c r="C84" s="36" t="s">
        <v>404</v>
      </c>
      <c r="D84" s="171">
        <f>SUM(D56:D83)</f>
        <v>29229268.020000014</v>
      </c>
      <c r="E84" s="171">
        <f t="shared" ref="E84:I84" si="11">SUM(E56:E83)</f>
        <v>-750604.84693381004</v>
      </c>
      <c r="F84" s="171">
        <f t="shared" si="11"/>
        <v>-1051839.5406083842</v>
      </c>
      <c r="G84" s="171">
        <f t="shared" si="11"/>
        <v>280219.01778223831</v>
      </c>
      <c r="H84" s="171">
        <f t="shared" si="11"/>
        <v>-100634.73000000068</v>
      </c>
      <c r="I84" s="189">
        <f t="shared" si="11"/>
        <v>27606407.920240059</v>
      </c>
      <c r="K84"/>
      <c r="L84"/>
      <c r="M84"/>
      <c r="N84"/>
      <c r="O84"/>
      <c r="P84"/>
      <c r="Q84"/>
      <c r="R84"/>
      <c r="S84"/>
    </row>
    <row r="85" spans="2:19" s="36" customFormat="1" x14ac:dyDescent="0.25">
      <c r="B85" s="75"/>
      <c r="D85" s="47"/>
      <c r="E85" s="47"/>
      <c r="F85" s="47"/>
      <c r="G85" s="47"/>
      <c r="H85" s="47"/>
      <c r="I85" s="190"/>
      <c r="K85"/>
      <c r="L85"/>
      <c r="M85"/>
      <c r="N85"/>
      <c r="O85"/>
      <c r="P85"/>
      <c r="Q85"/>
      <c r="R85"/>
      <c r="S85"/>
    </row>
    <row r="86" spans="2:19" s="36" customFormat="1" x14ac:dyDescent="0.25">
      <c r="B86" s="75"/>
      <c r="C86" s="44"/>
      <c r="D86" s="48"/>
      <c r="E86" s="48"/>
      <c r="F86" s="48"/>
      <c r="G86" s="48"/>
      <c r="H86" s="48"/>
      <c r="I86" s="191"/>
      <c r="K86"/>
      <c r="L86"/>
      <c r="M86"/>
      <c r="N86"/>
      <c r="O86"/>
      <c r="P86"/>
      <c r="Q86"/>
      <c r="R86"/>
      <c r="S86"/>
    </row>
  </sheetData>
  <mergeCells count="3">
    <mergeCell ref="C2:I2"/>
    <mergeCell ref="C3:I3"/>
    <mergeCell ref="C4:I4"/>
  </mergeCells>
  <phoneticPr fontId="5" type="noConversion"/>
  <printOptions horizontalCentered="1"/>
  <pageMargins left="0.5" right="0.5" top="0.5" bottom="0.5" header="0.25" footer="0"/>
  <pageSetup scale="79" orientation="landscape" r:id="rId1"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6CC8D-DAE6-495B-9BF8-ACB583BCE9A0}">
  <dimension ref="A1:F68"/>
  <sheetViews>
    <sheetView topLeftCell="A27" workbookViewId="0">
      <selection activeCell="A2" sqref="A2:F68"/>
    </sheetView>
  </sheetViews>
  <sheetFormatPr defaultRowHeight="15" x14ac:dyDescent="0.25"/>
  <cols>
    <col min="1" max="1" width="6.7109375" customWidth="1"/>
    <col min="2" max="2" width="11" customWidth="1"/>
    <col min="3" max="3" width="12.140625" customWidth="1"/>
    <col min="4" max="4" width="17.140625" customWidth="1"/>
    <col min="5" max="5" width="15.28515625" customWidth="1"/>
    <col min="6" max="6" width="15" customWidth="1"/>
  </cols>
  <sheetData>
    <row r="1" spans="1:6" x14ac:dyDescent="0.25">
      <c r="B1" s="245" t="s">
        <v>1157</v>
      </c>
      <c r="C1" s="246"/>
      <c r="D1" s="246"/>
      <c r="E1" s="246"/>
      <c r="F1" s="246"/>
    </row>
    <row r="2" spans="1:6" x14ac:dyDescent="0.25">
      <c r="A2" s="210" t="s">
        <v>97</v>
      </c>
      <c r="B2" s="211" t="s">
        <v>1162</v>
      </c>
      <c r="C2" s="211" t="s">
        <v>1158</v>
      </c>
      <c r="D2" s="211" t="s">
        <v>1161</v>
      </c>
      <c r="E2" s="211" t="s">
        <v>1160</v>
      </c>
      <c r="F2" s="211" t="s">
        <v>1159</v>
      </c>
    </row>
    <row r="3" spans="1:6" x14ac:dyDescent="0.25">
      <c r="A3" s="212" t="s">
        <v>405</v>
      </c>
      <c r="B3" s="213">
        <v>2743802.04</v>
      </c>
      <c r="C3" s="213">
        <v>163837082.89999998</v>
      </c>
      <c r="D3" s="213">
        <v>0</v>
      </c>
      <c r="E3" s="213">
        <v>364059.09</v>
      </c>
      <c r="F3" s="213">
        <v>163837082.89999998</v>
      </c>
    </row>
    <row r="4" spans="1:6" x14ac:dyDescent="0.25">
      <c r="A4" s="212" t="s">
        <v>407</v>
      </c>
      <c r="B4" s="213">
        <v>1393738.71</v>
      </c>
      <c r="C4" s="213">
        <v>337361462.96999991</v>
      </c>
      <c r="D4" s="213">
        <v>0</v>
      </c>
      <c r="E4" s="213">
        <v>0</v>
      </c>
      <c r="F4" s="213">
        <v>0</v>
      </c>
    </row>
    <row r="5" spans="1:6" x14ac:dyDescent="0.25">
      <c r="A5" s="212" t="s">
        <v>408</v>
      </c>
      <c r="B5" s="213">
        <v>0</v>
      </c>
      <c r="C5" s="213">
        <v>18667360.52</v>
      </c>
      <c r="D5" s="213">
        <v>6507699</v>
      </c>
      <c r="E5" s="213">
        <v>8734312.4699999988</v>
      </c>
      <c r="F5" s="213">
        <v>75444939.469999999</v>
      </c>
    </row>
    <row r="6" spans="1:6" x14ac:dyDescent="0.25">
      <c r="A6" s="212" t="s">
        <v>409</v>
      </c>
      <c r="B6" s="213">
        <v>-1976612.99</v>
      </c>
      <c r="C6" s="213">
        <v>-176057063.49000004</v>
      </c>
      <c r="D6" s="213">
        <v>-112393.62999999999</v>
      </c>
      <c r="E6" s="213">
        <v>-460813.32000000024</v>
      </c>
      <c r="F6" s="213">
        <v>-10335515.279999999</v>
      </c>
    </row>
    <row r="7" spans="1:6" x14ac:dyDescent="0.25">
      <c r="A7" s="212" t="s">
        <v>410</v>
      </c>
      <c r="B7" s="213">
        <v>0</v>
      </c>
      <c r="C7" s="213">
        <v>-286838997.69423515</v>
      </c>
      <c r="D7" s="213">
        <v>0</v>
      </c>
      <c r="E7" s="213">
        <v>-42106.63</v>
      </c>
      <c r="F7" s="213">
        <v>-1127206.44</v>
      </c>
    </row>
    <row r="8" spans="1:6" x14ac:dyDescent="0.25">
      <c r="A8" s="212" t="s">
        <v>411</v>
      </c>
      <c r="B8" s="213">
        <v>0</v>
      </c>
      <c r="C8" s="213">
        <v>0</v>
      </c>
      <c r="D8" s="213">
        <v>0</v>
      </c>
      <c r="E8" s="213">
        <v>-1082746.6499999999</v>
      </c>
      <c r="F8" s="213">
        <v>-1758976.19</v>
      </c>
    </row>
    <row r="9" spans="1:6" x14ac:dyDescent="0.25">
      <c r="A9" s="212" t="s">
        <v>412</v>
      </c>
      <c r="B9" s="213">
        <v>0</v>
      </c>
      <c r="C9" s="213">
        <v>-30033648.759999998</v>
      </c>
      <c r="D9" s="213">
        <v>-1849833.1400000001</v>
      </c>
      <c r="E9" s="213">
        <v>-7118976.7600000016</v>
      </c>
      <c r="F9" s="213">
        <v>-37271557.860000007</v>
      </c>
    </row>
    <row r="10" spans="1:6" x14ac:dyDescent="0.25">
      <c r="A10" s="212" t="s">
        <v>413</v>
      </c>
      <c r="B10" s="213">
        <v>-1640747.72</v>
      </c>
      <c r="C10" s="213">
        <v>3141300.9399999995</v>
      </c>
      <c r="D10" s="213">
        <v>14786.900000000001</v>
      </c>
      <c r="E10" s="213">
        <v>2481.9699999999993</v>
      </c>
      <c r="F10" s="213">
        <v>18874.819999999996</v>
      </c>
    </row>
    <row r="11" spans="1:6" x14ac:dyDescent="0.25">
      <c r="A11" s="212" t="s">
        <v>414</v>
      </c>
      <c r="B11" s="213">
        <v>-620315.06999999995</v>
      </c>
      <c r="C11" s="213">
        <v>-682722.1</v>
      </c>
      <c r="D11" s="213">
        <v>-120279.27999999998</v>
      </c>
      <c r="E11" s="213">
        <v>-98622.090000000026</v>
      </c>
      <c r="F11" s="213">
        <v>23536.040000000045</v>
      </c>
    </row>
    <row r="12" spans="1:6" x14ac:dyDescent="0.25">
      <c r="A12" s="212" t="s">
        <v>415</v>
      </c>
      <c r="B12" s="213">
        <v>0</v>
      </c>
      <c r="C12" s="213">
        <v>0</v>
      </c>
      <c r="D12" s="213">
        <v>-4125187</v>
      </c>
      <c r="E12" s="213">
        <v>0</v>
      </c>
      <c r="F12" s="213">
        <v>-2072129.1099999999</v>
      </c>
    </row>
    <row r="13" spans="1:6" x14ac:dyDescent="0.25">
      <c r="A13" s="212" t="s">
        <v>416</v>
      </c>
      <c r="B13" s="213">
        <v>0</v>
      </c>
      <c r="C13" s="213">
        <v>0</v>
      </c>
      <c r="D13" s="213">
        <v>0</v>
      </c>
      <c r="E13" s="213">
        <v>0</v>
      </c>
      <c r="F13" s="213">
        <v>-3792592.14</v>
      </c>
    </row>
    <row r="14" spans="1:6" x14ac:dyDescent="0.25">
      <c r="A14" s="212" t="s">
        <v>417</v>
      </c>
      <c r="B14" s="213">
        <v>0</v>
      </c>
      <c r="C14" s="213">
        <v>0</v>
      </c>
      <c r="D14" s="213">
        <v>0</v>
      </c>
      <c r="E14" s="213">
        <v>0</v>
      </c>
      <c r="F14" s="213">
        <v>-22255544.309999999</v>
      </c>
    </row>
    <row r="15" spans="1:6" x14ac:dyDescent="0.25">
      <c r="A15" s="212" t="s">
        <v>418</v>
      </c>
      <c r="B15" s="213">
        <v>-499.7</v>
      </c>
      <c r="C15" s="213">
        <v>-933914.27</v>
      </c>
      <c r="D15" s="213">
        <v>-37664.400000000001</v>
      </c>
      <c r="E15" s="213">
        <v>-1351636.7599999998</v>
      </c>
      <c r="F15" s="213">
        <v>-3542816.87</v>
      </c>
    </row>
    <row r="16" spans="1:6" x14ac:dyDescent="0.25">
      <c r="A16" s="212" t="s">
        <v>419</v>
      </c>
      <c r="B16" s="213">
        <v>0</v>
      </c>
      <c r="C16" s="213">
        <v>768407</v>
      </c>
      <c r="D16" s="213">
        <v>3090.57</v>
      </c>
      <c r="E16" s="213">
        <v>1208.48</v>
      </c>
      <c r="F16" s="213">
        <v>0</v>
      </c>
    </row>
    <row r="17" spans="1:6" x14ac:dyDescent="0.25">
      <c r="A17" s="212" t="s">
        <v>420</v>
      </c>
      <c r="B17" s="213">
        <v>-100634.73000000014</v>
      </c>
      <c r="C17" s="213">
        <v>29229268.015764836</v>
      </c>
      <c r="D17" s="213">
        <v>280219.02000000054</v>
      </c>
      <c r="E17" s="213">
        <v>-1052840.2000000009</v>
      </c>
      <c r="F17" s="213">
        <v>-750604.38999999966</v>
      </c>
    </row>
    <row r="18" spans="1:6" x14ac:dyDescent="0.25">
      <c r="A18" s="212" t="s">
        <v>423</v>
      </c>
      <c r="B18" s="213">
        <v>0</v>
      </c>
      <c r="C18" s="213">
        <v>0</v>
      </c>
      <c r="D18" s="213">
        <v>0</v>
      </c>
      <c r="E18" s="213">
        <v>0</v>
      </c>
      <c r="F18" s="213">
        <v>0</v>
      </c>
    </row>
    <row r="19" spans="1:6" x14ac:dyDescent="0.25">
      <c r="A19" s="212" t="s">
        <v>424</v>
      </c>
      <c r="B19" s="213">
        <v>0</v>
      </c>
      <c r="C19" s="213">
        <v>0</v>
      </c>
      <c r="D19" s="213">
        <v>0</v>
      </c>
      <c r="E19" s="213">
        <v>0</v>
      </c>
      <c r="F19" s="213">
        <v>0</v>
      </c>
    </row>
    <row r="20" spans="1:6" x14ac:dyDescent="0.25">
      <c r="A20" s="212" t="s">
        <v>425</v>
      </c>
      <c r="B20" s="213">
        <v>0</v>
      </c>
      <c r="C20" s="213">
        <v>0</v>
      </c>
      <c r="D20" s="213">
        <v>0</v>
      </c>
      <c r="E20" s="213">
        <v>0</v>
      </c>
      <c r="F20" s="213">
        <v>0</v>
      </c>
    </row>
    <row r="21" spans="1:6" x14ac:dyDescent="0.25">
      <c r="A21" s="212" t="s">
        <v>426</v>
      </c>
      <c r="B21" s="213">
        <v>0</v>
      </c>
      <c r="C21" s="213">
        <v>-81153.87</v>
      </c>
      <c r="D21" s="213">
        <v>0</v>
      </c>
      <c r="E21" s="213">
        <v>0</v>
      </c>
      <c r="F21" s="213">
        <v>0</v>
      </c>
    </row>
    <row r="22" spans="1:6" x14ac:dyDescent="0.25">
      <c r="A22" s="212" t="s">
        <v>427</v>
      </c>
      <c r="B22" s="213">
        <v>0</v>
      </c>
      <c r="C22" s="213">
        <v>0</v>
      </c>
      <c r="D22" s="213">
        <v>0</v>
      </c>
      <c r="E22" s="213">
        <v>0</v>
      </c>
      <c r="F22" s="213">
        <v>0</v>
      </c>
    </row>
    <row r="23" spans="1:6" x14ac:dyDescent="0.25">
      <c r="A23" s="212" t="s">
        <v>428</v>
      </c>
      <c r="B23" s="213">
        <v>0</v>
      </c>
      <c r="C23" s="213">
        <v>-81153.87</v>
      </c>
      <c r="D23" s="213">
        <v>0</v>
      </c>
      <c r="E23" s="213">
        <v>0</v>
      </c>
      <c r="F23" s="213">
        <v>0</v>
      </c>
    </row>
    <row r="24" spans="1:6" x14ac:dyDescent="0.25">
      <c r="A24" s="212" t="s">
        <v>431</v>
      </c>
      <c r="B24" s="213">
        <v>0</v>
      </c>
      <c r="C24" s="213">
        <v>-2304971.7599999998</v>
      </c>
      <c r="D24" s="213">
        <v>0</v>
      </c>
      <c r="E24" s="213">
        <v>0</v>
      </c>
      <c r="F24" s="213">
        <v>0</v>
      </c>
    </row>
    <row r="25" spans="1:6" x14ac:dyDescent="0.25">
      <c r="A25" s="212" t="s">
        <v>432</v>
      </c>
      <c r="B25" s="213">
        <v>0</v>
      </c>
      <c r="C25" s="213">
        <v>903830.42</v>
      </c>
      <c r="D25" s="213">
        <v>0</v>
      </c>
      <c r="E25" s="213">
        <v>0</v>
      </c>
      <c r="F25" s="213">
        <v>0</v>
      </c>
    </row>
    <row r="26" spans="1:6" x14ac:dyDescent="0.25">
      <c r="A26" s="212" t="s">
        <v>433</v>
      </c>
      <c r="B26" s="213">
        <v>0</v>
      </c>
      <c r="C26" s="213">
        <v>-3728453.4099999992</v>
      </c>
      <c r="D26" s="213">
        <v>0</v>
      </c>
      <c r="E26" s="213">
        <v>0</v>
      </c>
      <c r="F26" s="213">
        <v>0</v>
      </c>
    </row>
    <row r="27" spans="1:6" x14ac:dyDescent="0.25">
      <c r="A27" s="212" t="s">
        <v>434</v>
      </c>
      <c r="B27" s="213">
        <v>0</v>
      </c>
      <c r="C27" s="213">
        <v>0</v>
      </c>
      <c r="D27" s="213">
        <v>0</v>
      </c>
      <c r="E27" s="213">
        <v>0</v>
      </c>
      <c r="F27" s="213">
        <v>0</v>
      </c>
    </row>
    <row r="28" spans="1:6" x14ac:dyDescent="0.25">
      <c r="A28" s="212" t="s">
        <v>435</v>
      </c>
      <c r="B28" s="213">
        <v>0</v>
      </c>
      <c r="C28" s="213">
        <v>-3117709.4</v>
      </c>
      <c r="D28" s="213">
        <v>0</v>
      </c>
      <c r="E28" s="213">
        <v>0</v>
      </c>
      <c r="F28" s="213">
        <v>-320405</v>
      </c>
    </row>
    <row r="29" spans="1:6" x14ac:dyDescent="0.25">
      <c r="A29" s="212" t="s">
        <v>436</v>
      </c>
      <c r="B29" s="213">
        <v>0</v>
      </c>
      <c r="C29" s="213">
        <v>123635.07</v>
      </c>
      <c r="D29" s="213">
        <v>0</v>
      </c>
      <c r="E29" s="213">
        <v>0</v>
      </c>
      <c r="F29" s="213">
        <v>0</v>
      </c>
    </row>
    <row r="30" spans="1:6" x14ac:dyDescent="0.25">
      <c r="A30" s="212" t="s">
        <v>437</v>
      </c>
      <c r="B30" s="213">
        <v>0</v>
      </c>
      <c r="C30" s="213">
        <v>0</v>
      </c>
      <c r="D30" s="213">
        <v>0</v>
      </c>
      <c r="E30" s="213">
        <v>0</v>
      </c>
      <c r="F30" s="213">
        <v>0</v>
      </c>
    </row>
    <row r="31" spans="1:6" x14ac:dyDescent="0.25">
      <c r="A31" s="212" t="s">
        <v>438</v>
      </c>
      <c r="B31" s="213">
        <v>0</v>
      </c>
      <c r="C31" s="213">
        <v>-8123669.0799999991</v>
      </c>
      <c r="D31" s="213">
        <v>0</v>
      </c>
      <c r="E31" s="213">
        <v>0</v>
      </c>
      <c r="F31" s="213">
        <v>-320405</v>
      </c>
    </row>
    <row r="32" spans="1:6" x14ac:dyDescent="0.25">
      <c r="A32" s="212" t="s">
        <v>441</v>
      </c>
      <c r="B32" s="213">
        <v>0</v>
      </c>
      <c r="C32" s="213">
        <v>0</v>
      </c>
      <c r="D32" s="213">
        <v>0</v>
      </c>
      <c r="E32" s="213">
        <v>0</v>
      </c>
      <c r="F32" s="213">
        <v>0</v>
      </c>
    </row>
    <row r="33" spans="1:6" x14ac:dyDescent="0.25">
      <c r="A33" s="212" t="s">
        <v>442</v>
      </c>
      <c r="B33" s="213">
        <v>0</v>
      </c>
      <c r="C33" s="213">
        <v>0</v>
      </c>
      <c r="D33" s="213">
        <v>0</v>
      </c>
      <c r="E33" s="213">
        <v>0</v>
      </c>
      <c r="F33" s="213">
        <v>0</v>
      </c>
    </row>
    <row r="34" spans="1:6" x14ac:dyDescent="0.25">
      <c r="A34" s="212" t="s">
        <v>443</v>
      </c>
      <c r="B34" s="213">
        <v>41125.78</v>
      </c>
      <c r="C34" s="213">
        <v>5739713.79</v>
      </c>
      <c r="D34" s="213">
        <v>351542.17</v>
      </c>
      <c r="E34" s="213">
        <v>2640092.4900000002</v>
      </c>
      <c r="F34" s="213">
        <v>9055799.1799999997</v>
      </c>
    </row>
    <row r="35" spans="1:6" x14ac:dyDescent="0.25">
      <c r="A35" s="212" t="s">
        <v>444</v>
      </c>
      <c r="B35" s="213">
        <v>41125.78</v>
      </c>
      <c r="C35" s="213">
        <v>5739713.79</v>
      </c>
      <c r="D35" s="213">
        <v>351542.17</v>
      </c>
      <c r="E35" s="213">
        <v>2640092.4900000002</v>
      </c>
      <c r="F35" s="213">
        <v>9055799.1799999997</v>
      </c>
    </row>
    <row r="36" spans="1:6" x14ac:dyDescent="0.25">
      <c r="A36" s="212" t="s">
        <v>446</v>
      </c>
      <c r="B36" s="213">
        <v>-59508.950000000143</v>
      </c>
      <c r="C36" s="213">
        <v>26764158.855764836</v>
      </c>
      <c r="D36" s="213">
        <v>631761.19000000053</v>
      </c>
      <c r="E36" s="213">
        <v>1587252.2899999991</v>
      </c>
      <c r="F36" s="213">
        <v>7984789.79</v>
      </c>
    </row>
    <row r="37" spans="1:6" x14ac:dyDescent="0.25">
      <c r="A37" s="212" t="s">
        <v>448</v>
      </c>
      <c r="B37" s="213">
        <v>789851.52</v>
      </c>
      <c r="C37" s="213">
        <v>133515589.55866246</v>
      </c>
      <c r="D37" s="213">
        <v>7648602.0999999996</v>
      </c>
      <c r="E37" s="213">
        <v>59545334.739999995</v>
      </c>
      <c r="F37" s="213">
        <v>198021083.81999996</v>
      </c>
    </row>
    <row r="38" spans="1:6" x14ac:dyDescent="0.25">
      <c r="A38" s="212" t="s">
        <v>449</v>
      </c>
      <c r="B38" s="213">
        <v>0</v>
      </c>
      <c r="C38" s="213">
        <v>0</v>
      </c>
      <c r="D38" s="213">
        <v>0</v>
      </c>
      <c r="E38" s="213">
        <v>0</v>
      </c>
      <c r="F38" s="213">
        <v>0</v>
      </c>
    </row>
    <row r="39" spans="1:6" x14ac:dyDescent="0.25">
      <c r="A39" s="212" t="s">
        <v>450</v>
      </c>
      <c r="B39" s="213">
        <v>730342.56999999983</v>
      </c>
      <c r="C39" s="213">
        <v>160279748.41442728</v>
      </c>
      <c r="D39" s="213">
        <v>8280363.29</v>
      </c>
      <c r="E39" s="213">
        <v>61132587.029999986</v>
      </c>
      <c r="F39" s="213">
        <v>206005873.60999998</v>
      </c>
    </row>
    <row r="40" spans="1:6" x14ac:dyDescent="0.25">
      <c r="A40" s="212" t="s">
        <v>456</v>
      </c>
      <c r="B40" s="213">
        <v>-228025.74000000069</v>
      </c>
      <c r="C40" s="213">
        <v>27387479.390000019</v>
      </c>
      <c r="D40" s="213">
        <v>203622.98000000045</v>
      </c>
      <c r="E40" s="213">
        <v>-1285469.4299999997</v>
      </c>
      <c r="F40" s="213">
        <v>-7237180.98999999</v>
      </c>
    </row>
    <row r="41" spans="1:6" x14ac:dyDescent="0.25">
      <c r="A41" s="212" t="s">
        <v>457</v>
      </c>
      <c r="B41" s="213">
        <v>0</v>
      </c>
      <c r="C41" s="213">
        <v>0</v>
      </c>
      <c r="D41" s="213">
        <v>0</v>
      </c>
      <c r="E41" s="213">
        <v>0</v>
      </c>
      <c r="F41" s="213">
        <v>0</v>
      </c>
    </row>
    <row r="42" spans="1:6" x14ac:dyDescent="0.25">
      <c r="A42" s="212" t="s">
        <v>458</v>
      </c>
      <c r="B42" s="213">
        <v>0</v>
      </c>
      <c r="C42" s="213">
        <v>7510208.8600000013</v>
      </c>
      <c r="D42" s="213">
        <v>0</v>
      </c>
      <c r="E42" s="213">
        <v>0</v>
      </c>
      <c r="F42" s="213">
        <v>297026.62</v>
      </c>
    </row>
    <row r="43" spans="1:6" x14ac:dyDescent="0.25">
      <c r="A43" s="212" t="s">
        <v>459</v>
      </c>
      <c r="B43" s="213">
        <v>0</v>
      </c>
      <c r="C43" s="213">
        <v>516522</v>
      </c>
      <c r="D43" s="213">
        <v>0</v>
      </c>
      <c r="E43" s="213">
        <v>0</v>
      </c>
      <c r="F43" s="213">
        <v>0</v>
      </c>
    </row>
    <row r="44" spans="1:6" x14ac:dyDescent="0.25">
      <c r="A44" s="212" t="s">
        <v>460</v>
      </c>
      <c r="B44" s="213">
        <v>368631.31</v>
      </c>
      <c r="C44" s="213">
        <v>3797072.6099999975</v>
      </c>
      <c r="D44" s="213">
        <v>0</v>
      </c>
      <c r="E44" s="213">
        <v>209240.95999999976</v>
      </c>
      <c r="F44" s="213">
        <v>-1059770.77</v>
      </c>
    </row>
    <row r="45" spans="1:6" x14ac:dyDescent="0.25">
      <c r="A45" s="212" t="s">
        <v>461</v>
      </c>
      <c r="B45" s="213">
        <v>165.35</v>
      </c>
      <c r="C45" s="213">
        <v>514055.43999999994</v>
      </c>
      <c r="D45" s="213">
        <v>-12824.2</v>
      </c>
      <c r="E45" s="213">
        <v>0</v>
      </c>
      <c r="F45" s="213">
        <v>-486231.81000000006</v>
      </c>
    </row>
    <row r="46" spans="1:6" x14ac:dyDescent="0.25">
      <c r="A46" s="212" t="s">
        <v>462</v>
      </c>
      <c r="B46" s="213">
        <v>0</v>
      </c>
      <c r="C46" s="213">
        <v>-628402.96000000008</v>
      </c>
      <c r="D46" s="213">
        <v>0</v>
      </c>
      <c r="E46" s="213">
        <v>0</v>
      </c>
      <c r="F46" s="213">
        <v>0</v>
      </c>
    </row>
    <row r="47" spans="1:6" x14ac:dyDescent="0.25">
      <c r="A47" s="212" t="s">
        <v>463</v>
      </c>
      <c r="B47" s="213">
        <v>-212457.94</v>
      </c>
      <c r="C47" s="213">
        <v>6825851.0799999991</v>
      </c>
      <c r="D47" s="213">
        <v>62887.061687674417</v>
      </c>
      <c r="E47" s="213">
        <v>-56769.49169369867</v>
      </c>
      <c r="F47" s="213">
        <v>300064.12823387602</v>
      </c>
    </row>
    <row r="48" spans="1:6" x14ac:dyDescent="0.25">
      <c r="A48" s="212" t="s">
        <v>464</v>
      </c>
      <c r="B48" s="213">
        <v>0</v>
      </c>
      <c r="C48" s="213">
        <v>-325702.63</v>
      </c>
      <c r="D48" s="213">
        <v>0</v>
      </c>
      <c r="E48" s="213">
        <v>2071.4</v>
      </c>
      <c r="F48" s="213">
        <v>-26229.81</v>
      </c>
    </row>
    <row r="49" spans="1:6" x14ac:dyDescent="0.25">
      <c r="A49" s="212" t="s">
        <v>465</v>
      </c>
      <c r="B49" s="213">
        <v>-77531.75</v>
      </c>
      <c r="C49" s="213">
        <v>535623.83000000007</v>
      </c>
      <c r="D49" s="213">
        <v>0</v>
      </c>
      <c r="E49" s="213">
        <v>-80707</v>
      </c>
      <c r="F49" s="213">
        <v>0</v>
      </c>
    </row>
    <row r="50" spans="1:6" x14ac:dyDescent="0.25">
      <c r="A50" s="212" t="s">
        <v>466</v>
      </c>
      <c r="B50" s="213">
        <v>0</v>
      </c>
      <c r="C50" s="213">
        <v>0</v>
      </c>
      <c r="D50" s="213">
        <v>0</v>
      </c>
      <c r="E50" s="213">
        <v>0</v>
      </c>
      <c r="F50" s="213">
        <v>0</v>
      </c>
    </row>
    <row r="51" spans="1:6" x14ac:dyDescent="0.25">
      <c r="A51" s="212" t="s">
        <v>467</v>
      </c>
      <c r="B51" s="213">
        <v>7556.3999999999942</v>
      </c>
      <c r="C51" s="213">
        <v>-446486.43999999994</v>
      </c>
      <c r="D51" s="213">
        <v>-2814.510000000002</v>
      </c>
      <c r="E51" s="213">
        <v>66.530000000002474</v>
      </c>
      <c r="F51" s="213">
        <v>-2152.4599999999919</v>
      </c>
    </row>
    <row r="52" spans="1:6" x14ac:dyDescent="0.25">
      <c r="A52" s="212" t="s">
        <v>468</v>
      </c>
      <c r="B52" s="213">
        <v>-3093.1399999999994</v>
      </c>
      <c r="C52" s="213">
        <v>-986922.97000000009</v>
      </c>
      <c r="D52" s="213">
        <v>-241.25</v>
      </c>
      <c r="E52" s="213">
        <v>-438.8100000000004</v>
      </c>
      <c r="F52" s="213">
        <v>-795.80999999999767</v>
      </c>
    </row>
    <row r="53" spans="1:6" x14ac:dyDescent="0.25">
      <c r="A53" s="212" t="s">
        <v>469</v>
      </c>
      <c r="B53" s="213">
        <v>-37395.67</v>
      </c>
      <c r="C53" s="213">
        <v>-17379651.41</v>
      </c>
      <c r="D53" s="213">
        <v>-25262.010000000002</v>
      </c>
      <c r="E53" s="213">
        <v>-11905.970000000001</v>
      </c>
      <c r="F53" s="213">
        <v>-36415.22</v>
      </c>
    </row>
    <row r="54" spans="1:6" x14ac:dyDescent="0.25">
      <c r="A54" s="212" t="s">
        <v>470</v>
      </c>
      <c r="B54" s="213">
        <v>0</v>
      </c>
      <c r="C54" s="213">
        <v>0</v>
      </c>
      <c r="D54" s="213">
        <v>0</v>
      </c>
      <c r="E54" s="213">
        <v>0</v>
      </c>
      <c r="F54" s="213">
        <v>0</v>
      </c>
    </row>
    <row r="55" spans="1:6" x14ac:dyDescent="0.25">
      <c r="A55" s="212" t="s">
        <v>471</v>
      </c>
      <c r="B55" s="213">
        <v>-11978.879999999997</v>
      </c>
      <c r="C55" s="213">
        <v>3920694.11</v>
      </c>
      <c r="D55" s="213">
        <v>-7256.78</v>
      </c>
      <c r="E55" s="213">
        <v>-2658.49</v>
      </c>
      <c r="F55" s="213">
        <v>-10517.280000000002</v>
      </c>
    </row>
    <row r="56" spans="1:6" x14ac:dyDescent="0.25">
      <c r="A56" s="212" t="s">
        <v>472</v>
      </c>
      <c r="B56" s="213">
        <v>53410.04</v>
      </c>
      <c r="C56" s="213">
        <v>5352639.91</v>
      </c>
      <c r="D56" s="213">
        <v>29361.26</v>
      </c>
      <c r="E56" s="213">
        <v>9974</v>
      </c>
      <c r="F56" s="213">
        <v>47587.1</v>
      </c>
    </row>
    <row r="57" spans="1:6" x14ac:dyDescent="0.25">
      <c r="A57" s="212" t="s">
        <v>473</v>
      </c>
      <c r="B57" s="213">
        <v>40085.29</v>
      </c>
      <c r="C57" s="213">
        <v>-7363712.7999999998</v>
      </c>
      <c r="D57" s="213">
        <v>23691.466094563471</v>
      </c>
      <c r="E57" s="213">
        <v>8524.5510853146861</v>
      </c>
      <c r="F57" s="213">
        <v>35331.494832303135</v>
      </c>
    </row>
    <row r="58" spans="1:6" x14ac:dyDescent="0.25">
      <c r="A58" s="212" t="s">
        <v>474</v>
      </c>
      <c r="B58" s="213">
        <v>0</v>
      </c>
      <c r="C58" s="213">
        <v>0</v>
      </c>
      <c r="D58" s="213">
        <v>0</v>
      </c>
      <c r="E58" s="213">
        <v>0</v>
      </c>
      <c r="F58" s="213">
        <v>0</v>
      </c>
    </row>
    <row r="59" spans="1:6" x14ac:dyDescent="0.25">
      <c r="A59" s="212" t="s">
        <v>475</v>
      </c>
      <c r="B59" s="213">
        <v>0</v>
      </c>
      <c r="C59" s="213">
        <v>0</v>
      </c>
      <c r="D59" s="213">
        <v>31359</v>
      </c>
      <c r="E59" s="213">
        <v>120067.68</v>
      </c>
      <c r="F59" s="213">
        <v>-565017</v>
      </c>
    </row>
    <row r="60" spans="1:6" x14ac:dyDescent="0.25">
      <c r="A60" s="212" t="s">
        <v>476</v>
      </c>
      <c r="B60" s="213">
        <v>0</v>
      </c>
      <c r="C60" s="213">
        <v>0</v>
      </c>
      <c r="D60" s="213">
        <v>-493791</v>
      </c>
      <c r="E60" s="213">
        <v>882</v>
      </c>
      <c r="F60" s="213">
        <v>879342</v>
      </c>
    </row>
    <row r="61" spans="1:6" x14ac:dyDescent="0.25">
      <c r="A61" s="212" t="s">
        <v>477</v>
      </c>
      <c r="B61" s="213">
        <v>0</v>
      </c>
      <c r="C61" s="213">
        <v>0</v>
      </c>
      <c r="D61" s="213">
        <v>158057</v>
      </c>
      <c r="E61" s="213">
        <v>-49904</v>
      </c>
      <c r="F61" s="213">
        <v>296077</v>
      </c>
    </row>
    <row r="62" spans="1:6" x14ac:dyDescent="0.25">
      <c r="A62" s="212" t="s">
        <v>478</v>
      </c>
      <c r="B62" s="213">
        <v>0</v>
      </c>
      <c r="C62" s="213">
        <v>0</v>
      </c>
      <c r="D62" s="213">
        <v>313430</v>
      </c>
      <c r="E62" s="213">
        <v>-52706.96</v>
      </c>
      <c r="F62" s="213">
        <v>927404</v>
      </c>
    </row>
    <row r="63" spans="1:6" x14ac:dyDescent="0.25">
      <c r="A63" s="212" t="s">
        <v>479</v>
      </c>
      <c r="B63" s="213">
        <v>0</v>
      </c>
      <c r="C63" s="213">
        <v>0</v>
      </c>
      <c r="D63" s="213">
        <v>0</v>
      </c>
      <c r="E63" s="213">
        <v>0</v>
      </c>
      <c r="F63" s="213">
        <v>219509</v>
      </c>
    </row>
    <row r="64" spans="1:6" x14ac:dyDescent="0.25">
      <c r="A64" s="212" t="s">
        <v>480</v>
      </c>
      <c r="B64" s="213">
        <v>0</v>
      </c>
      <c r="C64" s="213">
        <v>0</v>
      </c>
      <c r="D64" s="213">
        <v>0</v>
      </c>
      <c r="E64" s="213">
        <v>17193.21</v>
      </c>
      <c r="F64" s="213">
        <v>436040.44</v>
      </c>
    </row>
    <row r="65" spans="1:6" x14ac:dyDescent="0.25">
      <c r="A65" s="212" t="s">
        <v>481</v>
      </c>
      <c r="B65" s="213">
        <v>0</v>
      </c>
      <c r="C65" s="213">
        <v>0</v>
      </c>
      <c r="D65" s="213">
        <v>0</v>
      </c>
      <c r="E65" s="213">
        <v>80707</v>
      </c>
      <c r="F65" s="213">
        <v>0</v>
      </c>
    </row>
    <row r="66" spans="1:6" x14ac:dyDescent="0.25">
      <c r="A66" s="212" t="s">
        <v>482</v>
      </c>
      <c r="B66" s="213">
        <v>0</v>
      </c>
      <c r="C66" s="213">
        <v>0</v>
      </c>
      <c r="D66" s="213">
        <v>0</v>
      </c>
      <c r="E66" s="213">
        <v>0</v>
      </c>
      <c r="F66" s="213">
        <v>20766.79999999993</v>
      </c>
    </row>
    <row r="67" spans="1:6" x14ac:dyDescent="0.25">
      <c r="A67" s="212" t="s">
        <v>483</v>
      </c>
      <c r="B67" s="213">
        <v>0</v>
      </c>
      <c r="C67" s="213">
        <v>0</v>
      </c>
      <c r="D67" s="213">
        <v>0</v>
      </c>
      <c r="E67" s="213">
        <v>39993.279999999679</v>
      </c>
      <c r="F67" s="213">
        <v>5214557.7199999988</v>
      </c>
    </row>
    <row r="68" spans="1:6" x14ac:dyDescent="0.25">
      <c r="A68" s="212" t="s">
        <v>484</v>
      </c>
      <c r="B68" s="213">
        <v>-100634.73000000068</v>
      </c>
      <c r="C68" s="213">
        <v>29229268.020000014</v>
      </c>
      <c r="D68" s="213">
        <v>280219.01778223831</v>
      </c>
      <c r="E68" s="213">
        <v>-1051839.5406083842</v>
      </c>
      <c r="F68" s="213">
        <v>-750604.84693381167</v>
      </c>
    </row>
  </sheetData>
  <mergeCells count="1">
    <mergeCell ref="B1:F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ABC9-A533-44D5-8886-40352CE61122}">
  <sheetPr>
    <tabColor theme="9" tint="0.79998168889431442"/>
  </sheetPr>
  <dimension ref="B2:G62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5" x14ac:dyDescent="0.25"/>
  <cols>
    <col min="1" max="1" width="9.140625" style="24"/>
    <col min="2" max="2" width="0" style="21" hidden="1" customWidth="1"/>
    <col min="3" max="3" width="49" style="24" customWidth="1"/>
    <col min="4" max="6" width="16.7109375" style="65" customWidth="1"/>
    <col min="7" max="7" width="25.7109375" style="65" customWidth="1"/>
    <col min="8" max="8" width="8.5703125" style="24" customWidth="1"/>
    <col min="9" max="9" width="9.140625" style="24"/>
    <col min="10" max="12" width="16.42578125" style="24" bestFit="1" customWidth="1"/>
    <col min="13" max="13" width="16.140625" style="24" bestFit="1" customWidth="1"/>
    <col min="14" max="16384" width="9.140625" style="24"/>
  </cols>
  <sheetData>
    <row r="2" spans="2:7" x14ac:dyDescent="0.25">
      <c r="C2" s="251" t="s">
        <v>1163</v>
      </c>
      <c r="D2" s="251"/>
      <c r="E2" s="251"/>
      <c r="F2" s="251"/>
      <c r="G2" s="251"/>
    </row>
    <row r="3" spans="2:7" x14ac:dyDescent="0.25">
      <c r="C3" s="251" t="s">
        <v>1155</v>
      </c>
      <c r="D3" s="251"/>
      <c r="E3" s="251"/>
      <c r="F3" s="251"/>
      <c r="G3" s="251"/>
    </row>
    <row r="4" spans="2:7" x14ac:dyDescent="0.25">
      <c r="C4" s="251" t="s">
        <v>1156</v>
      </c>
      <c r="D4" s="251"/>
      <c r="E4" s="251"/>
      <c r="F4" s="251"/>
      <c r="G4" s="251"/>
    </row>
    <row r="5" spans="2:7" x14ac:dyDescent="0.25">
      <c r="C5" s="252" t="s">
        <v>1278</v>
      </c>
      <c r="D5" s="252"/>
      <c r="E5" s="252"/>
      <c r="F5" s="252"/>
      <c r="G5" s="252"/>
    </row>
    <row r="6" spans="2:7" x14ac:dyDescent="0.25">
      <c r="C6" s="49"/>
      <c r="D6" s="253" t="s">
        <v>278</v>
      </c>
      <c r="E6" s="253"/>
      <c r="F6" s="57"/>
      <c r="G6" s="57"/>
    </row>
    <row r="7" spans="2:7" ht="47.25" customHeight="1" x14ac:dyDescent="0.25">
      <c r="B7" s="115" t="s">
        <v>97</v>
      </c>
      <c r="C7" s="114" t="s">
        <v>182</v>
      </c>
      <c r="D7" s="58" t="s">
        <v>279</v>
      </c>
      <c r="E7" s="59" t="s">
        <v>280</v>
      </c>
      <c r="F7" s="60" t="s">
        <v>281</v>
      </c>
      <c r="G7" s="60" t="s">
        <v>282</v>
      </c>
    </row>
    <row r="8" spans="2:7" x14ac:dyDescent="0.25">
      <c r="B8" s="115"/>
      <c r="C8" s="123"/>
      <c r="D8" s="124"/>
      <c r="E8" s="124"/>
      <c r="F8" s="125"/>
      <c r="G8" s="125"/>
    </row>
    <row r="9" spans="2:7" x14ac:dyDescent="0.25">
      <c r="C9" s="50" t="s">
        <v>184</v>
      </c>
      <c r="D9" s="61"/>
      <c r="E9" s="61"/>
      <c r="F9" s="62"/>
      <c r="G9" s="62"/>
    </row>
    <row r="10" spans="2:7" x14ac:dyDescent="0.25">
      <c r="B10" s="21" t="s">
        <v>285</v>
      </c>
      <c r="C10" s="24" t="s">
        <v>185</v>
      </c>
      <c r="D10" s="66">
        <f>VLOOKUP($B10,Comp[#All],4,0)</f>
        <v>25669760</v>
      </c>
      <c r="E10" s="66">
        <f>VLOOKUP($B10,Comp[#All],3,0)</f>
        <v>21313043.870000001</v>
      </c>
      <c r="F10" s="66">
        <f>VLOOKUP($B10,Comp[#All],2,0)</f>
        <v>12839339.35</v>
      </c>
      <c r="G10" s="67">
        <f>F10-E10</f>
        <v>-8473704.5200000014</v>
      </c>
    </row>
    <row r="11" spans="2:7" x14ac:dyDescent="0.25">
      <c r="B11" s="21" t="s">
        <v>289</v>
      </c>
      <c r="C11" s="51" t="s">
        <v>186</v>
      </c>
      <c r="D11" s="66">
        <f>VLOOKUP($B11,Comp[#All],4,0)</f>
        <v>198374009</v>
      </c>
      <c r="E11" s="66">
        <f>VLOOKUP($B11,Comp[#All],3,0)</f>
        <v>211112873.28</v>
      </c>
      <c r="F11" s="66">
        <f>VLOOKUP($B11,Comp[#All],2,0)</f>
        <v>209687772.70000005</v>
      </c>
      <c r="G11" s="67">
        <f t="shared" ref="G11:G18" si="0">F11-E11</f>
        <v>-1425100.5799999535</v>
      </c>
    </row>
    <row r="12" spans="2:7" x14ac:dyDescent="0.25">
      <c r="B12" s="21" t="s">
        <v>290</v>
      </c>
      <c r="C12" s="52" t="s">
        <v>187</v>
      </c>
      <c r="D12" s="66">
        <f>VLOOKUP($B12,Comp[#All],4,0)</f>
        <v>10421708</v>
      </c>
      <c r="E12" s="66">
        <f>VLOOKUP($B12,Comp[#All],3,0)</f>
        <v>7874991.8399999999</v>
      </c>
      <c r="F12" s="66">
        <f>VLOOKUP($B12,Comp[#All],2,0)</f>
        <v>11519665.93</v>
      </c>
      <c r="G12" s="67">
        <f t="shared" si="0"/>
        <v>3644674.09</v>
      </c>
    </row>
    <row r="13" spans="2:7" x14ac:dyDescent="0.25">
      <c r="B13" s="21" t="s">
        <v>292</v>
      </c>
      <c r="C13" s="51" t="s">
        <v>188</v>
      </c>
      <c r="D13" s="66">
        <f>VLOOKUP($B13,Comp[#All],4,0)</f>
        <v>134885667</v>
      </c>
      <c r="E13" s="66">
        <f>VLOOKUP($B13,Comp[#All],3,0)</f>
        <v>130967954.47</v>
      </c>
      <c r="F13" s="66">
        <f>VLOOKUP($B13,Comp[#All],2,0)</f>
        <v>118800465.76000001</v>
      </c>
      <c r="G13" s="67">
        <f t="shared" si="0"/>
        <v>-12167488.709999993</v>
      </c>
    </row>
    <row r="14" spans="2:7" x14ac:dyDescent="0.25">
      <c r="B14" s="21" t="s">
        <v>293</v>
      </c>
      <c r="C14" s="51" t="s">
        <v>189</v>
      </c>
      <c r="D14" s="66">
        <f>VLOOKUP($B14,Comp[#All],4,0)</f>
        <v>104262395</v>
      </c>
      <c r="E14" s="66">
        <f>VLOOKUP($B14,Comp[#All],3,0)</f>
        <v>103456802.29000001</v>
      </c>
      <c r="F14" s="66">
        <f>VLOOKUP($B14,Comp[#All],2,0)</f>
        <v>84261260.24000001</v>
      </c>
      <c r="G14" s="67">
        <f t="shared" si="0"/>
        <v>-19195542.049999997</v>
      </c>
    </row>
    <row r="15" spans="2:7" x14ac:dyDescent="0.25">
      <c r="B15" s="21" t="s">
        <v>294</v>
      </c>
      <c r="C15" s="51" t="s">
        <v>190</v>
      </c>
      <c r="D15" s="66">
        <f>VLOOKUP($B15,Comp[#All],4,0)</f>
        <v>76539028</v>
      </c>
      <c r="E15" s="66">
        <f>VLOOKUP($B15,Comp[#All],3,0)</f>
        <v>76130338.219999999</v>
      </c>
      <c r="F15" s="66">
        <f>VLOOKUP($B15,Comp[#All],2,0)</f>
        <v>82766490.659999996</v>
      </c>
      <c r="G15" s="67">
        <f t="shared" si="0"/>
        <v>6636152.4399999976</v>
      </c>
    </row>
    <row r="16" spans="2:7" x14ac:dyDescent="0.25">
      <c r="B16" s="21" t="s">
        <v>295</v>
      </c>
      <c r="C16" s="51" t="s">
        <v>10</v>
      </c>
      <c r="D16" s="66">
        <f>VLOOKUP($B16,Comp[#All],4,0)</f>
        <v>0</v>
      </c>
      <c r="E16" s="66">
        <f>VLOOKUP($B16,Comp[#All],3,0)</f>
        <v>0</v>
      </c>
      <c r="F16" s="66">
        <f>VLOOKUP($B16,Comp[#All],2,0)</f>
        <v>0</v>
      </c>
      <c r="G16" s="67">
        <f t="shared" si="0"/>
        <v>0</v>
      </c>
    </row>
    <row r="17" spans="2:7" x14ac:dyDescent="0.25">
      <c r="B17" s="21" t="s">
        <v>296</v>
      </c>
      <c r="C17" s="51" t="s">
        <v>191</v>
      </c>
      <c r="D17" s="66">
        <f>VLOOKUP($B17,Comp[#All],4,0)</f>
        <v>0</v>
      </c>
      <c r="E17" s="66">
        <f>VLOOKUP($B17,Comp[#All],3,0)</f>
        <v>0</v>
      </c>
      <c r="F17" s="66">
        <f>VLOOKUP($B17,Comp[#All],2,0)</f>
        <v>0</v>
      </c>
      <c r="G17" s="67">
        <f>F17-E17</f>
        <v>0</v>
      </c>
    </row>
    <row r="18" spans="2:7" x14ac:dyDescent="0.25">
      <c r="B18" s="21" t="s">
        <v>297</v>
      </c>
      <c r="C18" s="51" t="s">
        <v>192</v>
      </c>
      <c r="D18" s="66">
        <f>VLOOKUP($B18,Comp[#All],4,0)</f>
        <v>0</v>
      </c>
      <c r="E18" s="66">
        <f>VLOOKUP($B18,Comp[#All],3,0)</f>
        <v>0</v>
      </c>
      <c r="F18" s="66">
        <f>VLOOKUP($B18,Comp[#All],2,0)</f>
        <v>50</v>
      </c>
      <c r="G18" s="67">
        <f t="shared" si="0"/>
        <v>50</v>
      </c>
    </row>
    <row r="19" spans="2:7" x14ac:dyDescent="0.25">
      <c r="B19" s="21" t="s">
        <v>298</v>
      </c>
      <c r="C19" s="53" t="s">
        <v>193</v>
      </c>
      <c r="D19" s="68">
        <f>SUM(D10:D18)</f>
        <v>550152567</v>
      </c>
      <c r="E19" s="68">
        <f>SUM(E10:E18)</f>
        <v>550856003.97000003</v>
      </c>
      <c r="F19" s="68">
        <f>SUM(F10:F18)</f>
        <v>519875044.6400001</v>
      </c>
      <c r="G19" s="69">
        <f>SUM(G10:G18)</f>
        <v>-30980959.329999946</v>
      </c>
    </row>
    <row r="20" spans="2:7" x14ac:dyDescent="0.25">
      <c r="C20" s="54"/>
      <c r="D20" s="70"/>
      <c r="E20" s="70"/>
      <c r="F20" s="70"/>
      <c r="G20" s="70"/>
    </row>
    <row r="21" spans="2:7" x14ac:dyDescent="0.25">
      <c r="C21" s="55" t="s">
        <v>194</v>
      </c>
      <c r="D21" s="71"/>
      <c r="E21" s="71"/>
      <c r="F21" s="71"/>
      <c r="G21" s="71"/>
    </row>
    <row r="22" spans="2:7" x14ac:dyDescent="0.25">
      <c r="B22" s="21" t="s">
        <v>301</v>
      </c>
      <c r="C22" s="24" t="s">
        <v>195</v>
      </c>
      <c r="D22" s="66">
        <f>VLOOKUP($B22,Comp[#All],4,0)</f>
        <v>47571458</v>
      </c>
      <c r="E22" s="66">
        <f>VLOOKUP($B22,Comp[#All],3,0)</f>
        <v>47700293.740000002</v>
      </c>
      <c r="F22" s="66">
        <f>VLOOKUP($B22,Comp[#All],2,0)</f>
        <v>20719157.050000004</v>
      </c>
      <c r="G22" s="67">
        <f>E22-F22</f>
        <v>26981136.689999998</v>
      </c>
    </row>
    <row r="23" spans="2:7" x14ac:dyDescent="0.25">
      <c r="B23" s="21" t="s">
        <v>302</v>
      </c>
      <c r="C23" s="51" t="s">
        <v>196</v>
      </c>
      <c r="D23" s="66">
        <f>VLOOKUP($B23,Comp[#All],4,0)</f>
        <v>391883221.44999999</v>
      </c>
      <c r="E23" s="66">
        <f>VLOOKUP($B23,Comp[#All],3,0)</f>
        <v>394362081.16000003</v>
      </c>
      <c r="F23" s="66">
        <f>VLOOKUP($B23,Comp[#All],2,0)</f>
        <v>374422938.35000002</v>
      </c>
      <c r="G23" s="67">
        <f t="shared" ref="G23:G35" si="1">E23-F23</f>
        <v>19939142.810000002</v>
      </c>
    </row>
    <row r="24" spans="2:7" x14ac:dyDescent="0.25">
      <c r="B24" s="21" t="s">
        <v>303</v>
      </c>
      <c r="C24" s="51" t="s">
        <v>197</v>
      </c>
      <c r="D24" s="66">
        <f>VLOOKUP($B24,Comp[#All],4,0)</f>
        <v>123391173</v>
      </c>
      <c r="E24" s="66">
        <f>VLOOKUP($B24,Comp[#All],3,0)</f>
        <v>120751217.60000001</v>
      </c>
      <c r="F24" s="66">
        <f>VLOOKUP($B24,Comp[#All],2,0)</f>
        <v>89774941.330000013</v>
      </c>
      <c r="G24" s="67">
        <f t="shared" si="1"/>
        <v>30976276.269999996</v>
      </c>
    </row>
    <row r="25" spans="2:7" x14ac:dyDescent="0.25">
      <c r="B25" s="21" t="s">
        <v>304</v>
      </c>
      <c r="C25" s="51" t="s">
        <v>198</v>
      </c>
      <c r="D25" s="66">
        <f>VLOOKUP($B25,Comp[#All],4,0)</f>
        <v>0</v>
      </c>
      <c r="E25" s="66">
        <f>VLOOKUP($B25,Comp[#All],3,0)</f>
        <v>0</v>
      </c>
      <c r="F25" s="66">
        <f>VLOOKUP($B25,Comp[#All],2,0)</f>
        <v>0</v>
      </c>
      <c r="G25" s="67">
        <f t="shared" si="1"/>
        <v>0</v>
      </c>
    </row>
    <row r="26" spans="2:7" x14ac:dyDescent="0.25">
      <c r="B26" s="21" t="s">
        <v>305</v>
      </c>
      <c r="C26" s="51" t="s">
        <v>199</v>
      </c>
      <c r="D26" s="66">
        <f>VLOOKUP($B26,Comp[#All],4,0)</f>
        <v>0</v>
      </c>
      <c r="E26" s="66">
        <f>VLOOKUP($B26,Comp[#All],3,0)</f>
        <v>0</v>
      </c>
      <c r="F26" s="66">
        <f>VLOOKUP($B26,Comp[#All],2,0)</f>
        <v>0</v>
      </c>
      <c r="G26" s="67">
        <f t="shared" si="1"/>
        <v>0</v>
      </c>
    </row>
    <row r="27" spans="2:7" x14ac:dyDescent="0.25">
      <c r="B27" s="21" t="s">
        <v>306</v>
      </c>
      <c r="C27" s="52" t="s">
        <v>200</v>
      </c>
      <c r="D27" s="66">
        <f>VLOOKUP($B27,Comp[#All],4,0)</f>
        <v>0</v>
      </c>
      <c r="E27" s="66">
        <f>VLOOKUP($B27,Comp[#All],3,0)</f>
        <v>0</v>
      </c>
      <c r="F27" s="66">
        <f>VLOOKUP($B27,Comp[#All],2,0)</f>
        <v>0</v>
      </c>
      <c r="G27" s="67">
        <f t="shared" si="1"/>
        <v>0</v>
      </c>
    </row>
    <row r="28" spans="2:7" x14ac:dyDescent="0.25">
      <c r="B28" s="21" t="s">
        <v>307</v>
      </c>
      <c r="C28" s="52" t="s">
        <v>48</v>
      </c>
      <c r="D28" s="66">
        <f>VLOOKUP($B28,Comp[#All],4,0)</f>
        <v>0</v>
      </c>
      <c r="E28" s="66">
        <f>VLOOKUP($B28,Comp[#All],3,0)</f>
        <v>0</v>
      </c>
      <c r="F28" s="66">
        <f>VLOOKUP($B28,Comp[#All],2,0)</f>
        <v>0</v>
      </c>
      <c r="G28" s="67">
        <f t="shared" si="1"/>
        <v>0</v>
      </c>
    </row>
    <row r="29" spans="2:7" x14ac:dyDescent="0.25">
      <c r="B29" s="21" t="s">
        <v>308</v>
      </c>
      <c r="C29" s="51" t="s">
        <v>201</v>
      </c>
      <c r="D29" s="66">
        <f>VLOOKUP($B29,Comp[#All],4,0)</f>
        <v>0</v>
      </c>
      <c r="E29" s="66">
        <f>VLOOKUP($B29,Comp[#All],3,0)</f>
        <v>0</v>
      </c>
      <c r="F29" s="66">
        <f>VLOOKUP($B29,Comp[#All],2,0)</f>
        <v>0</v>
      </c>
      <c r="G29" s="67">
        <f t="shared" si="1"/>
        <v>0</v>
      </c>
    </row>
    <row r="30" spans="2:7" x14ac:dyDescent="0.25">
      <c r="B30" s="21" t="s">
        <v>309</v>
      </c>
      <c r="C30" s="52" t="s">
        <v>202</v>
      </c>
      <c r="D30" s="66">
        <f>VLOOKUP($B30,Comp[#All],4,0)</f>
        <v>0</v>
      </c>
      <c r="E30" s="66">
        <f>VLOOKUP($B30,Comp[#All],3,0)</f>
        <v>0</v>
      </c>
      <c r="F30" s="66">
        <f>VLOOKUP($B30,Comp[#All],2,0)</f>
        <v>0</v>
      </c>
      <c r="G30" s="67">
        <f t="shared" si="1"/>
        <v>0</v>
      </c>
    </row>
    <row r="31" spans="2:7" x14ac:dyDescent="0.25">
      <c r="B31" s="21" t="s">
        <v>310</v>
      </c>
      <c r="C31" s="52" t="s">
        <v>203</v>
      </c>
      <c r="D31" s="66">
        <f>VLOOKUP($B31,Comp[#All],4,0)</f>
        <v>0</v>
      </c>
      <c r="E31" s="66">
        <f>VLOOKUP($B31,Comp[#All],3,0)</f>
        <v>0</v>
      </c>
      <c r="F31" s="66">
        <f>VLOOKUP($B31,Comp[#All],2,0)</f>
        <v>0</v>
      </c>
      <c r="G31" s="67">
        <f t="shared" si="1"/>
        <v>0</v>
      </c>
    </row>
    <row r="32" spans="2:7" x14ac:dyDescent="0.25">
      <c r="B32" s="21" t="s">
        <v>311</v>
      </c>
      <c r="C32" s="51" t="s">
        <v>283</v>
      </c>
      <c r="D32" s="66">
        <f>VLOOKUP($B32,Comp[#All],4,0)</f>
        <v>0</v>
      </c>
      <c r="E32" s="66">
        <f>VLOOKUP($B32,Comp[#All],3,0)</f>
        <v>0</v>
      </c>
      <c r="F32" s="66">
        <f>VLOOKUP($B32,Comp[#All],2,0)</f>
        <v>0</v>
      </c>
      <c r="G32" s="67">
        <f t="shared" si="1"/>
        <v>0</v>
      </c>
    </row>
    <row r="33" spans="2:7" x14ac:dyDescent="0.25">
      <c r="B33" s="21" t="s">
        <v>312</v>
      </c>
      <c r="C33" s="51" t="s">
        <v>204</v>
      </c>
      <c r="D33" s="66">
        <f>VLOOKUP($B33,Comp[#All],4,0)</f>
        <v>0</v>
      </c>
      <c r="E33" s="66">
        <f>VLOOKUP($B33,Comp[#All],3,0)</f>
        <v>0</v>
      </c>
      <c r="F33" s="66">
        <f>VLOOKUP($B33,Comp[#All],2,0)</f>
        <v>0</v>
      </c>
      <c r="G33" s="67">
        <f t="shared" si="1"/>
        <v>0</v>
      </c>
    </row>
    <row r="34" spans="2:7" x14ac:dyDescent="0.25">
      <c r="B34" s="21" t="s">
        <v>313</v>
      </c>
      <c r="C34" s="51" t="s">
        <v>205</v>
      </c>
      <c r="D34" s="66">
        <f>VLOOKUP($B34,Comp[#All],4,0)</f>
        <v>4338849</v>
      </c>
      <c r="E34" s="66">
        <f>VLOOKUP($B34,Comp[#All],3,0)</f>
        <v>4272291.04</v>
      </c>
      <c r="F34" s="66">
        <f>VLOOKUP($B34,Comp[#All],2,0)</f>
        <v>7510208.830000001</v>
      </c>
      <c r="G34" s="67">
        <f t="shared" si="1"/>
        <v>-3237917.790000001</v>
      </c>
    </row>
    <row r="35" spans="2:7" x14ac:dyDescent="0.25">
      <c r="B35" s="21" t="s">
        <v>314</v>
      </c>
      <c r="C35" s="51" t="s">
        <v>206</v>
      </c>
      <c r="D35" s="66">
        <f>VLOOKUP($B35,Comp[#All],4,0)</f>
        <v>0</v>
      </c>
      <c r="E35" s="66">
        <f>VLOOKUP($B35,Comp[#All],3,0)</f>
        <v>0</v>
      </c>
      <c r="F35" s="66">
        <f>VLOOKUP($B35,Comp[#All],2,0)</f>
        <v>60319.38</v>
      </c>
      <c r="G35" s="67">
        <f t="shared" si="1"/>
        <v>-60319.38</v>
      </c>
    </row>
    <row r="36" spans="2:7" x14ac:dyDescent="0.25">
      <c r="B36" s="21" t="s">
        <v>315</v>
      </c>
      <c r="C36" s="53" t="s">
        <v>207</v>
      </c>
      <c r="D36" s="68">
        <f>SUM(D22:D35)</f>
        <v>567184701.45000005</v>
      </c>
      <c r="E36" s="68">
        <f t="shared" ref="E36:G36" si="2">SUM(E22:E35)</f>
        <v>567085883.53999996</v>
      </c>
      <c r="F36" s="68">
        <f t="shared" si="2"/>
        <v>492487564.94</v>
      </c>
      <c r="G36" s="69">
        <f t="shared" si="2"/>
        <v>74598318.599999994</v>
      </c>
    </row>
    <row r="37" spans="2:7" x14ac:dyDescent="0.25">
      <c r="C37" s="54"/>
      <c r="D37" s="72"/>
      <c r="E37" s="72"/>
      <c r="F37" s="72"/>
      <c r="G37" s="72"/>
    </row>
    <row r="38" spans="2:7" x14ac:dyDescent="0.25">
      <c r="B38" s="21" t="s">
        <v>317</v>
      </c>
      <c r="C38" s="56" t="s">
        <v>208</v>
      </c>
      <c r="D38" s="68">
        <f>D19-D36</f>
        <v>-17032134.450000048</v>
      </c>
      <c r="E38" s="68">
        <f t="shared" ref="E38:F38" si="3">E19-E36</f>
        <v>-16229879.569999933</v>
      </c>
      <c r="F38" s="68">
        <f t="shared" si="3"/>
        <v>27387479.700000107</v>
      </c>
      <c r="G38" s="68">
        <f>F38-E38</f>
        <v>43617359.270000041</v>
      </c>
    </row>
    <row r="39" spans="2:7" x14ac:dyDescent="0.25">
      <c r="C39" s="54"/>
      <c r="D39" s="70"/>
      <c r="E39" s="70"/>
      <c r="F39" s="70"/>
      <c r="G39" s="70"/>
    </row>
    <row r="40" spans="2:7" x14ac:dyDescent="0.25">
      <c r="C40" s="55" t="s">
        <v>209</v>
      </c>
      <c r="D40" s="71"/>
      <c r="E40" s="71"/>
      <c r="F40" s="71"/>
      <c r="G40" s="71"/>
    </row>
    <row r="41" spans="2:7" x14ac:dyDescent="0.25">
      <c r="B41" s="21" t="s">
        <v>318</v>
      </c>
      <c r="C41" s="24" t="s">
        <v>210</v>
      </c>
      <c r="D41" s="66">
        <f>VLOOKUP($B41,Comp[#All],4,0)</f>
        <v>1493605.48</v>
      </c>
      <c r="E41" s="66">
        <f>VLOOKUP($B41,Comp[#All],3,0)</f>
        <v>1493605.48</v>
      </c>
      <c r="F41" s="66">
        <f>VLOOKUP($B41,Comp[#All],2,0)</f>
        <v>5791394.1900000004</v>
      </c>
      <c r="G41" s="67">
        <f>F41-E41</f>
        <v>4297788.7100000009</v>
      </c>
    </row>
    <row r="42" spans="2:7" x14ac:dyDescent="0.25">
      <c r="B42" s="21" t="s">
        <v>319</v>
      </c>
      <c r="C42" s="51" t="s">
        <v>211</v>
      </c>
      <c r="D42" s="66">
        <f>VLOOKUP($B42,Comp[#All],4,0)</f>
        <v>-399840</v>
      </c>
      <c r="E42" s="66">
        <f>VLOOKUP($B42,Comp[#All],3,0)</f>
        <v>-408075</v>
      </c>
      <c r="F42" s="66">
        <f>VLOOKUP($B42,Comp[#All],2,0)</f>
        <v>-1089234.6700000002</v>
      </c>
      <c r="G42" s="67">
        <f t="shared" ref="G42:G47" si="4">F42-E42</f>
        <v>-681159.67000000016</v>
      </c>
    </row>
    <row r="43" spans="2:7" x14ac:dyDescent="0.25">
      <c r="B43" s="21" t="s">
        <v>320</v>
      </c>
      <c r="C43" s="51" t="s">
        <v>212</v>
      </c>
      <c r="D43" s="66">
        <f>VLOOKUP($B43,Comp[#All],4,0)</f>
        <v>20000</v>
      </c>
      <c r="E43" s="66">
        <f>VLOOKUP($B43,Comp[#All],3,0)</f>
        <v>20000</v>
      </c>
      <c r="F43" s="66">
        <f>VLOOKUP($B43,Comp[#All],2,0)</f>
        <v>119221.48000000001</v>
      </c>
      <c r="G43" s="67">
        <f t="shared" si="4"/>
        <v>99221.48000000001</v>
      </c>
    </row>
    <row r="44" spans="2:7" x14ac:dyDescent="0.25">
      <c r="B44" s="21" t="s">
        <v>321</v>
      </c>
      <c r="C44" s="51" t="s">
        <v>213</v>
      </c>
      <c r="D44" s="66">
        <f>VLOOKUP($B44,Comp[#All],4,0)</f>
        <v>0</v>
      </c>
      <c r="E44" s="66">
        <f>VLOOKUP($B44,Comp[#All],3,0)</f>
        <v>0</v>
      </c>
      <c r="F44" s="66">
        <f>VLOOKUP($B44,Comp[#All],2,0)</f>
        <v>-184724.1</v>
      </c>
      <c r="G44" s="67">
        <f t="shared" si="4"/>
        <v>-184724.1</v>
      </c>
    </row>
    <row r="45" spans="2:7" x14ac:dyDescent="0.25">
      <c r="B45" s="21" t="s">
        <v>322</v>
      </c>
      <c r="C45" s="51" t="s">
        <v>214</v>
      </c>
      <c r="D45" s="66">
        <f>VLOOKUP($B45,Comp[#All],4,0)</f>
        <v>75459</v>
      </c>
      <c r="E45" s="66">
        <f>VLOOKUP($B45,Comp[#All],3,0)</f>
        <v>75459</v>
      </c>
      <c r="F45" s="66">
        <f>VLOOKUP($B45,Comp[#All],2,0)</f>
        <v>-122094.59</v>
      </c>
      <c r="G45" s="67">
        <f t="shared" si="4"/>
        <v>-197553.59</v>
      </c>
    </row>
    <row r="46" spans="2:7" x14ac:dyDescent="0.25">
      <c r="B46" s="21" t="s">
        <v>323</v>
      </c>
      <c r="C46" s="51" t="s">
        <v>215</v>
      </c>
      <c r="D46" s="66">
        <f>VLOOKUP($B46,Comp[#All],4,0)</f>
        <v>0</v>
      </c>
      <c r="E46" s="66">
        <f>VLOOKUP($B46,Comp[#All],3,0)</f>
        <v>0</v>
      </c>
      <c r="F46" s="66">
        <f>VLOOKUP($B46,Comp[#All],2,0)</f>
        <v>121846.92</v>
      </c>
      <c r="G46" s="67">
        <f t="shared" si="4"/>
        <v>121846.92</v>
      </c>
    </row>
    <row r="47" spans="2:7" x14ac:dyDescent="0.25">
      <c r="B47" s="21" t="s">
        <v>324</v>
      </c>
      <c r="C47" s="51" t="s">
        <v>216</v>
      </c>
      <c r="D47" s="66">
        <f>VLOOKUP($B47,Comp[#All],4,0)</f>
        <v>0</v>
      </c>
      <c r="E47" s="66">
        <f>VLOOKUP($B47,Comp[#All],3,0)</f>
        <v>0</v>
      </c>
      <c r="F47" s="66">
        <f>VLOOKUP($B47,Comp[#All],2,0)</f>
        <v>78792.850000000006</v>
      </c>
      <c r="G47" s="67">
        <f t="shared" si="4"/>
        <v>78792.850000000006</v>
      </c>
    </row>
    <row r="48" spans="2:7" x14ac:dyDescent="0.25">
      <c r="B48" s="21" t="s">
        <v>325</v>
      </c>
      <c r="C48" s="51" t="s">
        <v>217</v>
      </c>
      <c r="D48" s="66">
        <f>VLOOKUP($B48,Comp[#All],4,0)</f>
        <v>0</v>
      </c>
      <c r="E48" s="66">
        <f>VLOOKUP($B48,Comp[#All],3,0)</f>
        <v>0</v>
      </c>
      <c r="F48" s="66">
        <f>VLOOKUP($B48,Comp[#All],2,0)</f>
        <v>80558.45</v>
      </c>
      <c r="G48" s="67">
        <f>F48-E48</f>
        <v>80558.45</v>
      </c>
    </row>
    <row r="49" spans="2:7" x14ac:dyDescent="0.25">
      <c r="B49" s="21" t="s">
        <v>326</v>
      </c>
      <c r="C49" s="53" t="s">
        <v>218</v>
      </c>
      <c r="D49" s="68">
        <f>SUM(D41:D48)</f>
        <v>1189224.48</v>
      </c>
      <c r="E49" s="68">
        <f t="shared" ref="E49:F49" si="5">SUM(E41:E48)</f>
        <v>1180989.48</v>
      </c>
      <c r="F49" s="68">
        <f t="shared" si="5"/>
        <v>4795760.5300000012</v>
      </c>
      <c r="G49" s="69">
        <f>SUM(G41:G48)</f>
        <v>3614771.0500000012</v>
      </c>
    </row>
    <row r="50" spans="2:7" x14ac:dyDescent="0.25">
      <c r="C50" s="54"/>
      <c r="D50" s="72"/>
      <c r="E50" s="72"/>
      <c r="F50" s="72"/>
      <c r="G50" s="72"/>
    </row>
    <row r="51" spans="2:7" x14ac:dyDescent="0.25">
      <c r="B51" s="21" t="s">
        <v>328</v>
      </c>
      <c r="C51" s="56" t="s">
        <v>219</v>
      </c>
      <c r="D51" s="68">
        <f>D38+D49</f>
        <v>-15842909.970000047</v>
      </c>
      <c r="E51" s="68">
        <f t="shared" ref="E51:F51" si="6">E38+E49</f>
        <v>-15048890.089999933</v>
      </c>
      <c r="F51" s="68">
        <f t="shared" si="6"/>
        <v>32183240.230000108</v>
      </c>
      <c r="G51" s="69">
        <f>F51-E51</f>
        <v>47232130.320000038</v>
      </c>
    </row>
    <row r="52" spans="2:7" x14ac:dyDescent="0.25">
      <c r="B52" s="21" t="s">
        <v>329</v>
      </c>
      <c r="C52" s="24" t="s">
        <v>220</v>
      </c>
      <c r="D52" s="66">
        <f>VLOOKUP($B52,Comp[#All],4,0)</f>
        <v>0</v>
      </c>
      <c r="E52" s="66">
        <f>VLOOKUP($B52,Comp[#All],3,0)</f>
        <v>0</v>
      </c>
      <c r="F52" s="66">
        <f>VLOOKUP($B52,Comp[#All],2,0)</f>
        <v>0</v>
      </c>
      <c r="G52" s="67">
        <f t="shared" ref="G52:G54" si="7">F52-E52</f>
        <v>0</v>
      </c>
    </row>
    <row r="53" spans="2:7" x14ac:dyDescent="0.25">
      <c r="B53" s="21" t="s">
        <v>330</v>
      </c>
      <c r="C53" s="51" t="s">
        <v>221</v>
      </c>
      <c r="D53" s="66">
        <f>VLOOKUP($B53,Comp[#All],4,0)</f>
        <v>0</v>
      </c>
      <c r="E53" s="66">
        <f>VLOOKUP($B53,Comp[#All],3,0)</f>
        <v>0</v>
      </c>
      <c r="F53" s="66">
        <f>VLOOKUP($B53,Comp[#All],2,0)</f>
        <v>0</v>
      </c>
      <c r="G53" s="67">
        <f t="shared" si="7"/>
        <v>0</v>
      </c>
    </row>
    <row r="54" spans="2:7" x14ac:dyDescent="0.25">
      <c r="B54" s="21" t="s">
        <v>331</v>
      </c>
      <c r="C54" s="53" t="s">
        <v>222</v>
      </c>
      <c r="D54" s="68">
        <f>SUM(D51:D53)</f>
        <v>-15842909.970000047</v>
      </c>
      <c r="E54" s="68">
        <f t="shared" ref="E54:F54" si="8">SUM(E51:E53)</f>
        <v>-15048890.089999933</v>
      </c>
      <c r="F54" s="68">
        <f t="shared" si="8"/>
        <v>32183240.230000108</v>
      </c>
      <c r="G54" s="69">
        <f t="shared" si="7"/>
        <v>47232130.320000038</v>
      </c>
    </row>
    <row r="55" spans="2:7" x14ac:dyDescent="0.25">
      <c r="C55" s="54"/>
      <c r="D55" s="66"/>
      <c r="E55" s="66"/>
      <c r="F55" s="66"/>
      <c r="G55" s="66"/>
    </row>
    <row r="56" spans="2:7" x14ac:dyDescent="0.25">
      <c r="B56" s="21" t="s">
        <v>333</v>
      </c>
      <c r="C56" s="56" t="s">
        <v>223</v>
      </c>
      <c r="D56" s="66">
        <f>VLOOKUP($B56,Comp[#All],4,0)</f>
        <v>87316942.670000002</v>
      </c>
      <c r="E56" s="66">
        <f>VLOOKUP($B56,Comp[#All],3,0)</f>
        <v>92064225.060000002</v>
      </c>
      <c r="F56" s="66">
        <f>VLOOKUP($B56,Comp[#All],2,0)</f>
        <v>132267903.22</v>
      </c>
      <c r="G56" s="137">
        <f t="shared" ref="G56:G58" si="9">F56-E56</f>
        <v>40203678.159999996</v>
      </c>
    </row>
    <row r="57" spans="2:7" x14ac:dyDescent="0.25">
      <c r="B57" s="21" t="s">
        <v>334</v>
      </c>
      <c r="C57" s="24" t="s">
        <v>284</v>
      </c>
      <c r="D57" s="66">
        <f>VLOOKUP($B57,Comp[#All],4,0)</f>
        <v>0</v>
      </c>
      <c r="E57" s="66">
        <f>VLOOKUP($B57,Comp[#All],3,0)</f>
        <v>0</v>
      </c>
      <c r="F57" s="66">
        <f>VLOOKUP($B57,Comp[#All],2,0)</f>
        <v>-9799774.4900000002</v>
      </c>
      <c r="G57" s="67">
        <f t="shared" si="9"/>
        <v>-9799774.4900000002</v>
      </c>
    </row>
    <row r="58" spans="2:7" x14ac:dyDescent="0.25">
      <c r="B58" s="21" t="s">
        <v>335</v>
      </c>
      <c r="C58" s="51" t="s">
        <v>225</v>
      </c>
      <c r="D58" s="66">
        <f>VLOOKUP($B58,Comp[#All],4,0)</f>
        <v>0</v>
      </c>
      <c r="E58" s="66">
        <f>VLOOKUP($B58,Comp[#All],3,0)</f>
        <v>0</v>
      </c>
      <c r="F58" s="66">
        <f>VLOOKUP($B58,Comp[#All],2,0)</f>
        <v>0</v>
      </c>
      <c r="G58" s="67">
        <f t="shared" si="9"/>
        <v>0</v>
      </c>
    </row>
    <row r="59" spans="2:7" x14ac:dyDescent="0.25">
      <c r="B59" s="21" t="s">
        <v>336</v>
      </c>
      <c r="C59" s="56" t="s">
        <v>226</v>
      </c>
      <c r="D59" s="68">
        <f>D54+D56+D57</f>
        <v>71474032.699999958</v>
      </c>
      <c r="E59" s="68">
        <f>E54+E56+E57</f>
        <v>77015334.970000073</v>
      </c>
      <c r="F59" s="68">
        <f>F54+F56+F57+F58</f>
        <v>154651368.9600001</v>
      </c>
      <c r="G59" s="69">
        <f>F59-E59</f>
        <v>77636033.990000024</v>
      </c>
    </row>
    <row r="60" spans="2:7" x14ac:dyDescent="0.25">
      <c r="C60" s="54"/>
      <c r="D60" s="63"/>
      <c r="E60" s="63"/>
      <c r="F60" s="63"/>
      <c r="G60" s="63"/>
    </row>
    <row r="61" spans="2:7" x14ac:dyDescent="0.25">
      <c r="D61" s="64"/>
      <c r="E61" s="64"/>
      <c r="F61" s="64"/>
      <c r="G61" s="64"/>
    </row>
    <row r="62" spans="2:7" x14ac:dyDescent="0.25">
      <c r="D62" s="64"/>
      <c r="E62" s="64"/>
      <c r="F62" s="64"/>
      <c r="G62" s="64"/>
    </row>
  </sheetData>
  <mergeCells count="5">
    <mergeCell ref="C2:G2"/>
    <mergeCell ref="C3:G3"/>
    <mergeCell ref="C4:G4"/>
    <mergeCell ref="C5:G5"/>
    <mergeCell ref="D6:E6"/>
  </mergeCells>
  <phoneticPr fontId="5" type="noConversion"/>
  <printOptions horizontalCentered="1"/>
  <pageMargins left="0.7" right="0.7" top="0.75" bottom="0.5" header="0.3" footer="0.3"/>
  <pageSetup scale="90" orientation="landscape" r:id="rId1"/>
  <rowBreaks count="1" manualBreakCount="1">
    <brk id="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7C45-4585-4D8B-95E0-5C5C412A81C0}">
  <dimension ref="A1:D45"/>
  <sheetViews>
    <sheetView topLeftCell="A4" workbookViewId="0">
      <selection activeCell="A2" sqref="A2:D45"/>
    </sheetView>
  </sheetViews>
  <sheetFormatPr defaultRowHeight="15" x14ac:dyDescent="0.25"/>
  <cols>
    <col min="1" max="1" width="6.7109375" customWidth="1"/>
    <col min="2" max="4" width="18.140625" customWidth="1"/>
  </cols>
  <sheetData>
    <row r="1" spans="1:4" x14ac:dyDescent="0.25">
      <c r="B1" s="245" t="s">
        <v>1157</v>
      </c>
      <c r="C1" s="246"/>
      <c r="D1" s="246"/>
    </row>
    <row r="2" spans="1:4" x14ac:dyDescent="0.25">
      <c r="A2" s="210" t="s">
        <v>97</v>
      </c>
      <c r="B2" s="211" t="s">
        <v>1164</v>
      </c>
      <c r="C2" s="211" t="s">
        <v>280</v>
      </c>
      <c r="D2" s="211" t="s">
        <v>279</v>
      </c>
    </row>
    <row r="3" spans="1:4" x14ac:dyDescent="0.25">
      <c r="A3" s="212" t="s">
        <v>285</v>
      </c>
      <c r="B3" s="213">
        <v>12839339.35</v>
      </c>
      <c r="C3" s="213">
        <v>21313043.870000001</v>
      </c>
      <c r="D3" s="213">
        <v>25669760</v>
      </c>
    </row>
    <row r="4" spans="1:4" x14ac:dyDescent="0.25">
      <c r="A4" s="212" t="s">
        <v>289</v>
      </c>
      <c r="B4" s="213">
        <v>209687772.70000005</v>
      </c>
      <c r="C4" s="213">
        <v>211112873.28</v>
      </c>
      <c r="D4" s="213">
        <v>198374009</v>
      </c>
    </row>
    <row r="5" spans="1:4" x14ac:dyDescent="0.25">
      <c r="A5" s="212" t="s">
        <v>290</v>
      </c>
      <c r="B5" s="213">
        <v>11519665.93</v>
      </c>
      <c r="C5" s="213">
        <v>7874991.8399999999</v>
      </c>
      <c r="D5" s="213">
        <v>10421708</v>
      </c>
    </row>
    <row r="6" spans="1:4" x14ac:dyDescent="0.25">
      <c r="A6" s="212" t="s">
        <v>292</v>
      </c>
      <c r="B6" s="213">
        <v>118800465.76000001</v>
      </c>
      <c r="C6" s="213">
        <v>130967954.47</v>
      </c>
      <c r="D6" s="213">
        <v>134885667</v>
      </c>
    </row>
    <row r="7" spans="1:4" x14ac:dyDescent="0.25">
      <c r="A7" s="212" t="s">
        <v>293</v>
      </c>
      <c r="B7" s="213">
        <v>84261260.24000001</v>
      </c>
      <c r="C7" s="213">
        <v>103456802.29000001</v>
      </c>
      <c r="D7" s="213">
        <v>104262395</v>
      </c>
    </row>
    <row r="8" spans="1:4" x14ac:dyDescent="0.25">
      <c r="A8" s="212" t="s">
        <v>294</v>
      </c>
      <c r="B8" s="213">
        <v>82766490.659999996</v>
      </c>
      <c r="C8" s="213">
        <v>76130338.219999999</v>
      </c>
      <c r="D8" s="213">
        <v>76539028</v>
      </c>
    </row>
    <row r="9" spans="1:4" x14ac:dyDescent="0.25">
      <c r="A9" s="212" t="s">
        <v>295</v>
      </c>
      <c r="B9" s="213">
        <v>0</v>
      </c>
      <c r="C9" s="213">
        <v>0</v>
      </c>
      <c r="D9" s="213">
        <v>0</v>
      </c>
    </row>
    <row r="10" spans="1:4" x14ac:dyDescent="0.25">
      <c r="A10" s="212" t="s">
        <v>296</v>
      </c>
      <c r="B10" s="213">
        <v>0</v>
      </c>
      <c r="C10" s="213">
        <v>0</v>
      </c>
      <c r="D10" s="213">
        <v>0</v>
      </c>
    </row>
    <row r="11" spans="1:4" x14ac:dyDescent="0.25">
      <c r="A11" s="212" t="s">
        <v>297</v>
      </c>
      <c r="B11" s="213">
        <v>50</v>
      </c>
      <c r="C11" s="213">
        <v>0</v>
      </c>
      <c r="D11" s="213">
        <v>0</v>
      </c>
    </row>
    <row r="12" spans="1:4" x14ac:dyDescent="0.25">
      <c r="A12" s="212" t="s">
        <v>298</v>
      </c>
      <c r="B12" s="213">
        <v>519875044.63999999</v>
      </c>
      <c r="C12" s="213">
        <v>550856003.97000003</v>
      </c>
      <c r="D12" s="213">
        <v>550152567</v>
      </c>
    </row>
    <row r="13" spans="1:4" x14ac:dyDescent="0.25">
      <c r="A13" s="212" t="s">
        <v>301</v>
      </c>
      <c r="B13" s="213">
        <v>20719157.050000004</v>
      </c>
      <c r="C13" s="213">
        <v>47700293.740000002</v>
      </c>
      <c r="D13" s="213">
        <v>47571458</v>
      </c>
    </row>
    <row r="14" spans="1:4" x14ac:dyDescent="0.25">
      <c r="A14" s="212" t="s">
        <v>302</v>
      </c>
      <c r="B14" s="213">
        <v>374422938.35000002</v>
      </c>
      <c r="C14" s="213">
        <v>394362081.16000003</v>
      </c>
      <c r="D14" s="213">
        <v>391883221.44999999</v>
      </c>
    </row>
    <row r="15" spans="1:4" x14ac:dyDescent="0.25">
      <c r="A15" s="212" t="s">
        <v>303</v>
      </c>
      <c r="B15" s="213">
        <v>89774941.330000013</v>
      </c>
      <c r="C15" s="213">
        <v>120751217.60000001</v>
      </c>
      <c r="D15" s="213">
        <v>123391173</v>
      </c>
    </row>
    <row r="16" spans="1:4" x14ac:dyDescent="0.25">
      <c r="A16" s="212" t="s">
        <v>304</v>
      </c>
      <c r="B16" s="213">
        <v>0</v>
      </c>
      <c r="C16" s="213">
        <v>0</v>
      </c>
      <c r="D16" s="213">
        <v>0</v>
      </c>
    </row>
    <row r="17" spans="1:4" x14ac:dyDescent="0.25">
      <c r="A17" s="212" t="s">
        <v>305</v>
      </c>
      <c r="B17" s="213">
        <v>0</v>
      </c>
      <c r="C17" s="213">
        <v>0</v>
      </c>
      <c r="D17" s="213">
        <v>0</v>
      </c>
    </row>
    <row r="18" spans="1:4" x14ac:dyDescent="0.25">
      <c r="A18" s="212" t="s">
        <v>306</v>
      </c>
      <c r="B18" s="213">
        <v>0</v>
      </c>
      <c r="C18" s="213">
        <v>0</v>
      </c>
      <c r="D18" s="213">
        <v>0</v>
      </c>
    </row>
    <row r="19" spans="1:4" x14ac:dyDescent="0.25">
      <c r="A19" s="212" t="s">
        <v>307</v>
      </c>
      <c r="B19" s="213">
        <v>0</v>
      </c>
      <c r="C19" s="213">
        <v>0</v>
      </c>
      <c r="D19" s="213">
        <v>0</v>
      </c>
    </row>
    <row r="20" spans="1:4" x14ac:dyDescent="0.25">
      <c r="A20" s="212" t="s">
        <v>308</v>
      </c>
      <c r="B20" s="213">
        <v>0</v>
      </c>
      <c r="C20" s="213">
        <v>0</v>
      </c>
      <c r="D20" s="213">
        <v>0</v>
      </c>
    </row>
    <row r="21" spans="1:4" x14ac:dyDescent="0.25">
      <c r="A21" s="212" t="s">
        <v>309</v>
      </c>
      <c r="B21" s="213">
        <v>0</v>
      </c>
      <c r="C21" s="213">
        <v>0</v>
      </c>
      <c r="D21" s="213">
        <v>0</v>
      </c>
    </row>
    <row r="22" spans="1:4" x14ac:dyDescent="0.25">
      <c r="A22" s="212" t="s">
        <v>310</v>
      </c>
      <c r="B22" s="213">
        <v>0</v>
      </c>
      <c r="C22" s="213">
        <v>0</v>
      </c>
      <c r="D22" s="213">
        <v>0</v>
      </c>
    </row>
    <row r="23" spans="1:4" x14ac:dyDescent="0.25">
      <c r="A23" s="212" t="s">
        <v>311</v>
      </c>
      <c r="B23" s="213">
        <v>0</v>
      </c>
      <c r="C23" s="213">
        <v>0</v>
      </c>
      <c r="D23" s="213">
        <v>0</v>
      </c>
    </row>
    <row r="24" spans="1:4" x14ac:dyDescent="0.25">
      <c r="A24" s="212" t="s">
        <v>312</v>
      </c>
      <c r="B24" s="213">
        <v>0</v>
      </c>
      <c r="C24" s="213">
        <v>0</v>
      </c>
      <c r="D24" s="213">
        <v>0</v>
      </c>
    </row>
    <row r="25" spans="1:4" x14ac:dyDescent="0.25">
      <c r="A25" s="212" t="s">
        <v>313</v>
      </c>
      <c r="B25" s="213">
        <v>7510208.830000001</v>
      </c>
      <c r="C25" s="213">
        <v>4272291.04</v>
      </c>
      <c r="D25" s="213">
        <v>4338849</v>
      </c>
    </row>
    <row r="26" spans="1:4" x14ac:dyDescent="0.25">
      <c r="A26" s="212" t="s">
        <v>314</v>
      </c>
      <c r="B26" s="213">
        <v>60319.38</v>
      </c>
      <c r="C26" s="213">
        <v>0</v>
      </c>
      <c r="D26" s="213">
        <v>0</v>
      </c>
    </row>
    <row r="27" spans="1:4" x14ac:dyDescent="0.25">
      <c r="A27" s="212" t="s">
        <v>315</v>
      </c>
      <c r="B27" s="213">
        <v>492487564.94000006</v>
      </c>
      <c r="C27" s="213">
        <v>567240883.53999996</v>
      </c>
      <c r="D27" s="213">
        <v>567339701.45000005</v>
      </c>
    </row>
    <row r="28" spans="1:4" x14ac:dyDescent="0.25">
      <c r="A28" s="212" t="s">
        <v>317</v>
      </c>
      <c r="B28" s="213">
        <v>27387479.699999969</v>
      </c>
      <c r="C28" s="213">
        <v>-16384879.570000023</v>
      </c>
      <c r="D28" s="213">
        <v>-17187134.450000003</v>
      </c>
    </row>
    <row r="29" spans="1:4" x14ac:dyDescent="0.25">
      <c r="A29" s="212" t="s">
        <v>318</v>
      </c>
      <c r="B29" s="213">
        <v>5791394.1900000004</v>
      </c>
      <c r="C29" s="213">
        <v>1493605.48</v>
      </c>
      <c r="D29" s="213">
        <v>1493605.48</v>
      </c>
    </row>
    <row r="30" spans="1:4" x14ac:dyDescent="0.25">
      <c r="A30" s="212" t="s">
        <v>319</v>
      </c>
      <c r="B30" s="213">
        <v>-1089234.6700000002</v>
      </c>
      <c r="C30" s="213">
        <v>-408075</v>
      </c>
      <c r="D30" s="213">
        <v>-399840</v>
      </c>
    </row>
    <row r="31" spans="1:4" x14ac:dyDescent="0.25">
      <c r="A31" s="212" t="s">
        <v>320</v>
      </c>
      <c r="B31" s="213">
        <v>119221.48000000001</v>
      </c>
      <c r="C31" s="213">
        <v>20000</v>
      </c>
      <c r="D31" s="213">
        <v>20000</v>
      </c>
    </row>
    <row r="32" spans="1:4" x14ac:dyDescent="0.25">
      <c r="A32" s="212" t="s">
        <v>321</v>
      </c>
      <c r="B32" s="213">
        <v>-184724.1</v>
      </c>
      <c r="C32" s="213">
        <v>0</v>
      </c>
      <c r="D32" s="213">
        <v>0</v>
      </c>
    </row>
    <row r="33" spans="1:4" x14ac:dyDescent="0.25">
      <c r="A33" s="212" t="s">
        <v>322</v>
      </c>
      <c r="B33" s="213">
        <v>-122094.59</v>
      </c>
      <c r="C33" s="213">
        <v>75459</v>
      </c>
      <c r="D33" s="213">
        <v>75459</v>
      </c>
    </row>
    <row r="34" spans="1:4" x14ac:dyDescent="0.25">
      <c r="A34" s="212" t="s">
        <v>323</v>
      </c>
      <c r="B34" s="213">
        <v>121846.92</v>
      </c>
      <c r="C34" s="213">
        <v>0</v>
      </c>
      <c r="D34" s="213">
        <v>0</v>
      </c>
    </row>
    <row r="35" spans="1:4" x14ac:dyDescent="0.25">
      <c r="A35" s="212" t="s">
        <v>324</v>
      </c>
      <c r="B35" s="213">
        <v>78792.850000000006</v>
      </c>
      <c r="C35" s="213">
        <v>0</v>
      </c>
      <c r="D35" s="213">
        <v>0</v>
      </c>
    </row>
    <row r="36" spans="1:4" x14ac:dyDescent="0.25">
      <c r="A36" s="212" t="s">
        <v>325</v>
      </c>
      <c r="B36" s="213">
        <v>80558.45</v>
      </c>
      <c r="C36" s="213">
        <v>0</v>
      </c>
      <c r="D36" s="213">
        <v>0</v>
      </c>
    </row>
    <row r="37" spans="1:4" x14ac:dyDescent="0.25">
      <c r="A37" s="212" t="s">
        <v>326</v>
      </c>
      <c r="B37" s="213">
        <v>4795760.53</v>
      </c>
      <c r="C37" s="213">
        <v>1180989.48</v>
      </c>
      <c r="D37" s="213">
        <v>1189224.48</v>
      </c>
    </row>
    <row r="38" spans="1:4" x14ac:dyDescent="0.25">
      <c r="A38" s="212" t="s">
        <v>328</v>
      </c>
      <c r="B38" s="213">
        <v>32183240.229999967</v>
      </c>
      <c r="C38" s="213">
        <v>-15358890.090000022</v>
      </c>
      <c r="D38" s="213">
        <v>-16152909.970000003</v>
      </c>
    </row>
    <row r="39" spans="1:4" x14ac:dyDescent="0.25">
      <c r="A39" s="212" t="s">
        <v>329</v>
      </c>
      <c r="B39" s="213">
        <v>0</v>
      </c>
      <c r="C39" s="213">
        <v>0</v>
      </c>
      <c r="D39" s="213">
        <v>0</v>
      </c>
    </row>
    <row r="40" spans="1:4" x14ac:dyDescent="0.25">
      <c r="A40" s="212" t="s">
        <v>330</v>
      </c>
      <c r="B40" s="213">
        <v>0</v>
      </c>
      <c r="C40" s="213">
        <v>0</v>
      </c>
      <c r="D40" s="213">
        <v>0</v>
      </c>
    </row>
    <row r="41" spans="1:4" x14ac:dyDescent="0.25">
      <c r="A41" s="212" t="s">
        <v>331</v>
      </c>
      <c r="B41" s="213">
        <v>32183240.229999967</v>
      </c>
      <c r="C41" s="213">
        <v>-15358890.090000022</v>
      </c>
      <c r="D41" s="213">
        <v>-16152909.970000003</v>
      </c>
    </row>
    <row r="42" spans="1:4" x14ac:dyDescent="0.25">
      <c r="A42" s="212" t="s">
        <v>333</v>
      </c>
      <c r="B42" s="213">
        <v>132267903.22</v>
      </c>
      <c r="C42" s="213">
        <v>92064225.060000002</v>
      </c>
      <c r="D42" s="213">
        <v>87316942.670000002</v>
      </c>
    </row>
    <row r="43" spans="1:4" x14ac:dyDescent="0.25">
      <c r="A43" s="212" t="s">
        <v>334</v>
      </c>
      <c r="B43" s="213">
        <v>-9799774.4900000002</v>
      </c>
      <c r="C43" s="213">
        <v>0</v>
      </c>
      <c r="D43" s="213">
        <v>0</v>
      </c>
    </row>
    <row r="44" spans="1:4" x14ac:dyDescent="0.25">
      <c r="A44" s="212" t="s">
        <v>335</v>
      </c>
      <c r="B44" s="213">
        <v>0</v>
      </c>
      <c r="C44" s="213">
        <v>0</v>
      </c>
      <c r="D44" s="213">
        <v>0</v>
      </c>
    </row>
    <row r="45" spans="1:4" x14ac:dyDescent="0.25">
      <c r="A45" s="212" t="s">
        <v>336</v>
      </c>
      <c r="B45" s="213">
        <v>154651368.95999998</v>
      </c>
      <c r="C45" s="213">
        <v>76705335.839999974</v>
      </c>
      <c r="D45" s="213">
        <v>71164032.699999988</v>
      </c>
    </row>
  </sheetData>
  <mergeCells count="1">
    <mergeCell ref="B1:D1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C67AB-7E4C-4818-8026-414DC4B5246E}">
  <sheetPr>
    <tabColor theme="9" tint="0.79998168889431442"/>
  </sheetPr>
  <dimension ref="B2:I23"/>
  <sheetViews>
    <sheetView workbookViewId="0"/>
  </sheetViews>
  <sheetFormatPr defaultColWidth="8.85546875" defaultRowHeight="15" x14ac:dyDescent="0.25"/>
  <cols>
    <col min="2" max="2" width="0" style="12" hidden="1" customWidth="1"/>
    <col min="3" max="3" width="48.85546875" bestFit="1" customWidth="1"/>
    <col min="4" max="4" width="17.7109375" style="11" bestFit="1" customWidth="1"/>
    <col min="5" max="5" width="17.7109375" customWidth="1"/>
    <col min="6" max="6" width="11.28515625" bestFit="1" customWidth="1"/>
    <col min="7" max="7" width="12.85546875" bestFit="1" customWidth="1"/>
    <col min="8" max="8" width="9.140625" customWidth="1"/>
    <col min="9" max="9" width="19" bestFit="1" customWidth="1"/>
  </cols>
  <sheetData>
    <row r="2" spans="2:9" s="44" customFormat="1" x14ac:dyDescent="0.25">
      <c r="B2" s="73"/>
      <c r="C2" s="247" t="s">
        <v>1163</v>
      </c>
      <c r="D2" s="247"/>
      <c r="E2" s="247"/>
      <c r="F2"/>
      <c r="G2"/>
      <c r="H2"/>
      <c r="I2"/>
    </row>
    <row r="3" spans="2:9" s="44" customFormat="1" x14ac:dyDescent="0.25">
      <c r="B3" s="73"/>
      <c r="C3" s="248" t="s">
        <v>1119</v>
      </c>
      <c r="D3" s="248"/>
      <c r="E3" s="248"/>
      <c r="F3"/>
      <c r="G3"/>
      <c r="H3"/>
      <c r="I3"/>
    </row>
    <row r="4" spans="2:9" s="44" customFormat="1" x14ac:dyDescent="0.25">
      <c r="B4" s="73"/>
      <c r="C4" s="249" t="s">
        <v>1279</v>
      </c>
      <c r="D4" s="249"/>
      <c r="E4" s="249"/>
      <c r="F4"/>
      <c r="G4"/>
      <c r="H4"/>
      <c r="I4"/>
    </row>
    <row r="5" spans="2:9" x14ac:dyDescent="0.25">
      <c r="C5" s="148"/>
      <c r="D5" s="161"/>
    </row>
    <row r="6" spans="2:9" ht="30" x14ac:dyDescent="0.25">
      <c r="B6" s="93" t="s">
        <v>97</v>
      </c>
      <c r="C6" s="92"/>
      <c r="D6" s="91" t="s">
        <v>1120</v>
      </c>
      <c r="E6" s="91" t="s">
        <v>1121</v>
      </c>
    </row>
    <row r="7" spans="2:9" x14ac:dyDescent="0.25">
      <c r="C7" s="162" t="s">
        <v>3</v>
      </c>
      <c r="D7" s="86"/>
      <c r="E7" s="86"/>
    </row>
    <row r="8" spans="2:9" x14ac:dyDescent="0.25">
      <c r="B8" s="12" t="s">
        <v>619</v>
      </c>
      <c r="C8" s="87" t="s">
        <v>5</v>
      </c>
      <c r="D8" s="193">
        <f>VLOOKUP($B8,Fidos[],3,0)</f>
        <v>73344.740000000005</v>
      </c>
      <c r="E8" s="193">
        <f>VLOOKUP($B8,Fidos[],2,0)</f>
        <v>74896.5</v>
      </c>
    </row>
    <row r="9" spans="2:9" x14ac:dyDescent="0.25">
      <c r="B9" s="12" t="s">
        <v>620</v>
      </c>
      <c r="C9" s="87" t="s">
        <v>7</v>
      </c>
      <c r="D9" s="193">
        <f>VLOOKUP($B9,Fidos[],3,0)</f>
        <v>0</v>
      </c>
      <c r="E9" s="193">
        <f>VLOOKUP($B9,Fidos[],2,0)</f>
        <v>4811080.2</v>
      </c>
    </row>
    <row r="10" spans="2:9" x14ac:dyDescent="0.25">
      <c r="B10" s="12" t="s">
        <v>621</v>
      </c>
      <c r="C10" s="87" t="s">
        <v>1122</v>
      </c>
      <c r="D10" s="193">
        <f>VLOOKUP($B10,Fidos[],3,0)</f>
        <v>0</v>
      </c>
      <c r="E10" s="193">
        <f>VLOOKUP($B10,Fidos[],2,0)</f>
        <v>128647.89000000001</v>
      </c>
    </row>
    <row r="11" spans="2:9" x14ac:dyDescent="0.25">
      <c r="B11" s="12" t="s">
        <v>622</v>
      </c>
      <c r="C11" s="87" t="s">
        <v>1123</v>
      </c>
      <c r="D11" s="193">
        <f>VLOOKUP($B11,Fidos[],3,0)</f>
        <v>0</v>
      </c>
      <c r="E11" s="193">
        <f>VLOOKUP($B11,Fidos[],2,0)</f>
        <v>0</v>
      </c>
    </row>
    <row r="12" spans="2:9" x14ac:dyDescent="0.25">
      <c r="B12" s="12" t="s">
        <v>623</v>
      </c>
      <c r="C12" s="163" t="s">
        <v>1124</v>
      </c>
      <c r="D12" s="128">
        <f>SUM(D8:D11)</f>
        <v>73344.740000000005</v>
      </c>
      <c r="E12" s="128">
        <f>SUM(E8:E11)</f>
        <v>5014624.59</v>
      </c>
    </row>
    <row r="13" spans="2:9" x14ac:dyDescent="0.25">
      <c r="C13" s="88"/>
      <c r="D13" s="130"/>
      <c r="E13" s="25"/>
    </row>
    <row r="14" spans="2:9" x14ac:dyDescent="0.25">
      <c r="C14" s="164" t="s">
        <v>33</v>
      </c>
      <c r="D14" s="131"/>
      <c r="E14" s="172"/>
    </row>
    <row r="15" spans="2:9" x14ac:dyDescent="0.25">
      <c r="B15" s="12" t="s">
        <v>626</v>
      </c>
      <c r="C15" s="89" t="s">
        <v>1125</v>
      </c>
      <c r="D15" s="193">
        <f>VLOOKUP($B15,Fidos[],3,0)</f>
        <v>0</v>
      </c>
      <c r="E15" s="193">
        <f>VLOOKUP($B15,Fidos[],2,0)</f>
        <v>1150580.5899999999</v>
      </c>
    </row>
    <row r="16" spans="2:9" x14ac:dyDescent="0.25">
      <c r="B16" s="12" t="s">
        <v>627</v>
      </c>
      <c r="C16" s="89" t="s">
        <v>1126</v>
      </c>
      <c r="D16" s="193">
        <f>VLOOKUP($B16,Fidos[],3,0)</f>
        <v>0</v>
      </c>
      <c r="E16" s="193">
        <f>VLOOKUP($B16,Fidos[],2,0)</f>
        <v>0</v>
      </c>
    </row>
    <row r="17" spans="2:5" x14ac:dyDescent="0.25">
      <c r="B17" s="12" t="s">
        <v>628</v>
      </c>
      <c r="C17" s="89" t="s">
        <v>1127</v>
      </c>
      <c r="D17" s="193">
        <f>VLOOKUP($B17,Fidos[],3,0)</f>
        <v>0</v>
      </c>
      <c r="E17" s="193">
        <f>VLOOKUP($B17,Fidos[],2,0)</f>
        <v>0</v>
      </c>
    </row>
    <row r="18" spans="2:5" x14ac:dyDescent="0.25">
      <c r="B18" s="12" t="s">
        <v>629</v>
      </c>
      <c r="C18" s="165" t="s">
        <v>58</v>
      </c>
      <c r="D18" s="200">
        <f>SUM(D15:D17)</f>
        <v>0</v>
      </c>
      <c r="E18" s="200">
        <f>SUM(E15:E17)</f>
        <v>1150580.5899999999</v>
      </c>
    </row>
    <row r="19" spans="2:5" x14ac:dyDescent="0.25">
      <c r="C19" s="90"/>
      <c r="D19" s="127"/>
      <c r="E19" s="25"/>
    </row>
    <row r="20" spans="2:5" x14ac:dyDescent="0.25">
      <c r="C20" s="164" t="s">
        <v>61</v>
      </c>
      <c r="D20" s="131"/>
      <c r="E20" s="172"/>
    </row>
    <row r="21" spans="2:5" x14ac:dyDescent="0.25">
      <c r="B21" s="12" t="s">
        <v>633</v>
      </c>
      <c r="C21" s="111" t="s">
        <v>1149</v>
      </c>
      <c r="D21" s="193">
        <f>VLOOKUP($B21,Fidos[],3,0)</f>
        <v>73344.740000000005</v>
      </c>
      <c r="E21" s="193">
        <f>VLOOKUP($B21,Fidos[],2,0)</f>
        <v>3864044</v>
      </c>
    </row>
    <row r="22" spans="2:5" x14ac:dyDescent="0.25">
      <c r="B22" s="12" t="s">
        <v>634</v>
      </c>
      <c r="C22" s="163" t="s">
        <v>64</v>
      </c>
      <c r="D22" s="193">
        <f>VLOOKUP($B22,Fidos[],3,0)</f>
        <v>73344.740000000005</v>
      </c>
      <c r="E22" s="193">
        <f>VLOOKUP($B22,Fidos[],2,0)</f>
        <v>3864044</v>
      </c>
    </row>
    <row r="23" spans="2:5" x14ac:dyDescent="0.25">
      <c r="D23"/>
    </row>
  </sheetData>
  <mergeCells count="3">
    <mergeCell ref="C2:E2"/>
    <mergeCell ref="C3:E3"/>
    <mergeCell ref="C4:E4"/>
  </mergeCells>
  <phoneticPr fontId="5" type="noConversion"/>
  <printOptions horizontalCentered="1"/>
  <pageMargins left="0.5" right="0.5" top="0.75" bottom="0.75" header="0.5" footer="0.5"/>
  <pageSetup orientation="landscape" r:id="rId1"/>
  <headerFooter>
    <oddFooter>&amp;CThe accompanying notes are an integral part of the financial statements.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Stmt of Net Position</vt:lpstr>
      <vt:lpstr>NetPos</vt:lpstr>
      <vt:lpstr>Stmt of Rev Exp Chg in Net Pos</vt:lpstr>
      <vt:lpstr>Chg</vt:lpstr>
      <vt:lpstr>Stmt of Cash Flow</vt:lpstr>
      <vt:lpstr>Flow</vt:lpstr>
      <vt:lpstr>Budget to Actual</vt:lpstr>
      <vt:lpstr>Comp</vt:lpstr>
      <vt:lpstr>Fiduciary Net Position</vt:lpstr>
      <vt:lpstr>Fiduciary Changes</vt:lpstr>
      <vt:lpstr>Expenditure Matrix</vt:lpstr>
      <vt:lpstr>Revenue</vt:lpstr>
      <vt:lpstr>Fidos</vt:lpstr>
      <vt:lpstr>Items</vt:lpstr>
      <vt:lpstr>'Budget to Actual'!Print_Area</vt:lpstr>
      <vt:lpstr>'Fiduciary Changes'!Print_Area</vt:lpstr>
      <vt:lpstr>'Fiduciary Net Position'!Print_Area</vt:lpstr>
      <vt:lpstr>'Stmt of Cash Flow'!Print_Area</vt:lpstr>
      <vt:lpstr>'Stmt of Net Position'!Print_Area</vt:lpstr>
      <vt:lpstr>'Stmt of Rev Exp Chg in Net Pos'!Print_Area</vt:lpstr>
      <vt:lpstr>'Budget to Actual'!Print_Titles</vt:lpstr>
      <vt:lpstr>'Stmt of Cash Flow'!Print_Titles</vt:lpstr>
      <vt:lpstr>'Stmt of Net Position'!Print_Titles</vt:lpstr>
      <vt:lpstr>'Stmt of Rev Exp Chg in Net Pos'!Print_Titles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ESD Stmt of Net Position</dc:title>
  <dc:creator>SAFS OSPI</dc:creator>
  <cp:keywords>ESD F-185</cp:keywords>
  <cp:lastModifiedBy>Mike Sando</cp:lastModifiedBy>
  <cp:lastPrinted>2023-02-23T16:34:01Z</cp:lastPrinted>
  <dcterms:created xsi:type="dcterms:W3CDTF">2018-03-12T16:50:19Z</dcterms:created>
  <dcterms:modified xsi:type="dcterms:W3CDTF">2026-01-26T15:46:29Z</dcterms:modified>
  <cp:category>Accounting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2024-05-21T21:31:48Z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215267a9-a742-4d84-9890-cd3bb3c38db6</vt:lpwstr>
  </property>
  <property fmtid="{D5CDD505-2E9C-101B-9397-08002B2CF9AE}" pid="8" name="MSIP_Label_9145f431-4c8c-42c6-a5a5-ba6d3bdea585_ContentBits">
    <vt:lpwstr>0</vt:lpwstr>
  </property>
</Properties>
</file>